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codeName="ThisWorkbook" autoCompressPictures="0"/>
  <bookViews>
    <workbookView xWindow="3660" yWindow="80" windowWidth="25860" windowHeight="19600" tabRatio="842" firstSheet="4" activeTab="6"/>
  </bookViews>
  <sheets>
    <sheet name="Mixed Conifer Summary" sheetId="61" r:id="rId1"/>
    <sheet name="Legend" sheetId="28" r:id="rId2"/>
    <sheet name="COLE2 forest types-live tree C " sheetId="29" r:id="rId3"/>
    <sheet name="COLE2 live dead soil C ex" sheetId="58" r:id="rId4"/>
    <sheet name="Product half-life and C flows" sheetId="2" r:id="rId5"/>
    <sheet name="Fuels-Health Tmt at Yr40" sheetId="60" r:id="rId6"/>
    <sheet name="Fuels Tmt Climate benefit calcs" sheetId="63" r:id="rId7"/>
    <sheet name="Mixed conifer Even " sheetId="35" r:id="rId8"/>
    <sheet name="Even MixConT@40H@80U00" sheetId="56" r:id="rId9"/>
    <sheet name="MixCon Even T40H80U25" sheetId="53" r:id="rId10"/>
    <sheet name=" MixCon Even T40H80U75" sheetId="55" r:id="rId11"/>
    <sheet name="Uneven Mixed Conifer" sheetId="54" r:id="rId12"/>
  </sheets>
  <externalReferences>
    <externalReference r:id="rId13"/>
  </externalReferences>
  <definedNames>
    <definedName name="pre_T6_fromSAS">#REF!</definedName>
    <definedName name="_xlnm.Print_Area" localSheetId="10">' MixCon Even T40H80U75'!$A$1:$G$70</definedName>
    <definedName name="_xlnm.Print_Area" localSheetId="11">'Uneven Mixed Conifer'!$G$12:$Z$40</definedName>
    <definedName name="T6_long_version">'[1]Table 6'!$A$1:$H$2324</definedName>
    <definedName name="v2buncer_table2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8" i="63" l="1"/>
  <c r="E4" i="63"/>
  <c r="O25" i="63"/>
  <c r="O26" i="63"/>
  <c r="O27" i="63"/>
  <c r="O29" i="63"/>
  <c r="E39" i="63"/>
  <c r="D30" i="63"/>
  <c r="M58" i="63"/>
  <c r="C15" i="63"/>
  <c r="C16" i="63"/>
  <c r="C17" i="63"/>
  <c r="D20" i="63"/>
  <c r="P58" i="63"/>
  <c r="L54" i="63"/>
  <c r="E15" i="63"/>
  <c r="E16" i="63"/>
  <c r="E17" i="63"/>
  <c r="E19" i="63"/>
  <c r="C38" i="63"/>
  <c r="M54" i="63"/>
  <c r="N54" i="63"/>
  <c r="P73" i="63"/>
  <c r="J25" i="63"/>
  <c r="J26" i="63"/>
  <c r="J27" i="63"/>
  <c r="J29" i="63"/>
  <c r="D39" i="63"/>
  <c r="O58" i="63"/>
  <c r="O73" i="63"/>
  <c r="E25" i="63"/>
  <c r="E26" i="63"/>
  <c r="E27" i="63"/>
  <c r="E29" i="63"/>
  <c r="C39" i="63"/>
  <c r="N58" i="63"/>
  <c r="N73" i="63"/>
  <c r="M73" i="63"/>
  <c r="L73" i="63"/>
  <c r="K73" i="63"/>
  <c r="L57" i="63"/>
  <c r="M57" i="63"/>
  <c r="P57" i="63"/>
  <c r="P72" i="63"/>
  <c r="O57" i="63"/>
  <c r="O72" i="63"/>
  <c r="N57" i="63"/>
  <c r="N72" i="63"/>
  <c r="M72" i="63"/>
  <c r="L72" i="63"/>
  <c r="K72" i="63"/>
  <c r="L55" i="63"/>
  <c r="M55" i="63"/>
  <c r="N55" i="63"/>
  <c r="N70" i="63"/>
  <c r="O55" i="63"/>
  <c r="O70" i="63"/>
  <c r="P55" i="63"/>
  <c r="P70" i="63"/>
  <c r="L56" i="63"/>
  <c r="M56" i="63"/>
  <c r="N56" i="63"/>
  <c r="N71" i="63"/>
  <c r="O56" i="63"/>
  <c r="O71" i="63"/>
  <c r="P56" i="63"/>
  <c r="P71" i="63"/>
  <c r="U71" i="63"/>
  <c r="M71" i="63"/>
  <c r="L71" i="63"/>
  <c r="K71" i="63"/>
  <c r="M70" i="63"/>
  <c r="K70" i="63"/>
  <c r="N69" i="63"/>
  <c r="M69" i="63"/>
  <c r="L69" i="63"/>
  <c r="K69" i="63"/>
  <c r="P66" i="63"/>
  <c r="O66" i="63"/>
  <c r="N66" i="63"/>
  <c r="P65" i="63"/>
  <c r="O65" i="63"/>
  <c r="N65" i="63"/>
  <c r="N63" i="63"/>
  <c r="O63" i="63"/>
  <c r="P63" i="63"/>
  <c r="N64" i="63"/>
  <c r="O64" i="63"/>
  <c r="P64" i="63"/>
  <c r="U64" i="63"/>
  <c r="T63" i="63"/>
  <c r="S63" i="63"/>
  <c r="R63" i="63"/>
  <c r="N62" i="63"/>
  <c r="N49" i="63"/>
  <c r="N48" i="63"/>
  <c r="N47" i="63"/>
  <c r="M15" i="63"/>
  <c r="O15" i="63"/>
  <c r="M16" i="63"/>
  <c r="O16" i="63"/>
  <c r="M17" i="63"/>
  <c r="O17" i="63"/>
  <c r="O19" i="63"/>
  <c r="E38" i="63"/>
  <c r="E45" i="63"/>
  <c r="E46" i="63"/>
  <c r="E47" i="63"/>
  <c r="H15" i="63"/>
  <c r="J15" i="63"/>
  <c r="H16" i="63"/>
  <c r="J16" i="63"/>
  <c r="H17" i="63"/>
  <c r="J17" i="63"/>
  <c r="J19" i="63"/>
  <c r="D38" i="63"/>
  <c r="D45" i="63"/>
  <c r="D46" i="63"/>
  <c r="D47" i="63"/>
  <c r="C45" i="63"/>
  <c r="C46" i="63"/>
  <c r="C47" i="63"/>
  <c r="R46" i="63"/>
  <c r="E40" i="63"/>
  <c r="D40" i="63"/>
  <c r="C40" i="63"/>
  <c r="O33" i="63"/>
  <c r="J33" i="63"/>
  <c r="E33" i="63"/>
  <c r="O31" i="63"/>
  <c r="J31" i="63"/>
  <c r="E31" i="63"/>
  <c r="N30" i="63"/>
  <c r="I30" i="63"/>
  <c r="O21" i="63"/>
  <c r="J21" i="63"/>
  <c r="E21" i="63"/>
  <c r="N20" i="63"/>
  <c r="I20" i="63"/>
  <c r="K6" i="58"/>
  <c r="H3" i="58"/>
  <c r="N22" i="61"/>
  <c r="N21" i="61"/>
  <c r="N20" i="61"/>
  <c r="N19" i="61"/>
  <c r="N18" i="61"/>
  <c r="N17" i="61"/>
  <c r="M22" i="61"/>
  <c r="M21" i="61"/>
  <c r="M20" i="61"/>
  <c r="M19" i="61"/>
  <c r="M18" i="61"/>
  <c r="M17" i="61"/>
  <c r="K22" i="61"/>
  <c r="K21" i="61"/>
  <c r="K20" i="61"/>
  <c r="K19" i="61"/>
  <c r="K18" i="61"/>
  <c r="K17" i="61"/>
  <c r="G7" i="61"/>
  <c r="J22" i="61"/>
  <c r="J21" i="61"/>
  <c r="J20" i="61"/>
  <c r="J19" i="61"/>
  <c r="J18" i="61"/>
  <c r="J17" i="61"/>
  <c r="I17" i="61"/>
  <c r="H22" i="61"/>
  <c r="G22" i="61"/>
  <c r="H21" i="61"/>
  <c r="G21" i="61"/>
  <c r="H20" i="61"/>
  <c r="G20" i="61"/>
  <c r="H19" i="61"/>
  <c r="G19" i="61"/>
  <c r="H18" i="61"/>
  <c r="G18" i="61"/>
  <c r="H17" i="61"/>
  <c r="G17" i="61"/>
  <c r="O22" i="61"/>
  <c r="L22" i="61"/>
  <c r="I22" i="61"/>
  <c r="O21" i="61"/>
  <c r="L21" i="61"/>
  <c r="I21" i="61"/>
  <c r="O20" i="61"/>
  <c r="L20" i="61"/>
  <c r="I20" i="61"/>
  <c r="O19" i="61"/>
  <c r="L19" i="61"/>
  <c r="I19" i="61"/>
  <c r="O18" i="61"/>
  <c r="L18" i="61"/>
  <c r="I18" i="61"/>
  <c r="O17" i="61"/>
  <c r="L17" i="61"/>
  <c r="M40" i="54"/>
  <c r="B35" i="54"/>
  <c r="N11" i="61"/>
  <c r="M11" i="61"/>
  <c r="K11" i="61"/>
  <c r="J11" i="61"/>
  <c r="G11" i="61"/>
  <c r="H11" i="61"/>
  <c r="N10" i="61"/>
  <c r="M10" i="61"/>
  <c r="K10" i="61"/>
  <c r="J10" i="61"/>
  <c r="I10" i="61"/>
  <c r="I11" i="61"/>
  <c r="G10" i="61"/>
  <c r="H10" i="61"/>
  <c r="N9" i="61"/>
  <c r="M9" i="61"/>
  <c r="K9" i="61"/>
  <c r="J9" i="61"/>
  <c r="H9" i="61"/>
  <c r="O9" i="61"/>
  <c r="O10" i="61"/>
  <c r="O11" i="61"/>
  <c r="B3" i="61"/>
  <c r="L9" i="61"/>
  <c r="L10" i="61"/>
  <c r="L11" i="61"/>
  <c r="G9" i="61"/>
  <c r="I9" i="61"/>
  <c r="G8" i="61"/>
  <c r="H8" i="61"/>
  <c r="K8" i="61"/>
  <c r="J8" i="61"/>
  <c r="L8" i="61"/>
  <c r="N8" i="61"/>
  <c r="M8" i="61"/>
  <c r="O8" i="61"/>
  <c r="J7" i="61"/>
  <c r="I8" i="61"/>
  <c r="N7" i="61"/>
  <c r="N6" i="61"/>
  <c r="M6" i="61"/>
  <c r="M7" i="61"/>
  <c r="K7" i="61"/>
  <c r="G6" i="61"/>
  <c r="H7" i="61"/>
  <c r="H6" i="61"/>
  <c r="K6" i="61"/>
  <c r="J6" i="61"/>
  <c r="O7" i="61"/>
  <c r="L7" i="61"/>
  <c r="I7" i="61"/>
  <c r="O6" i="61"/>
  <c r="L6" i="61"/>
  <c r="I6" i="61"/>
  <c r="D24" i="35"/>
  <c r="X29" i="60"/>
  <c r="X28" i="60"/>
  <c r="X27" i="60"/>
  <c r="X26" i="60"/>
  <c r="X25" i="60"/>
  <c r="C118" i="60"/>
  <c r="E119" i="60"/>
  <c r="E158" i="60"/>
  <c r="E120" i="60"/>
  <c r="E121" i="60"/>
  <c r="E122" i="60"/>
  <c r="E123" i="60"/>
  <c r="E124" i="60"/>
  <c r="E125" i="60"/>
  <c r="E126" i="60"/>
  <c r="E127" i="60"/>
  <c r="E128" i="60"/>
  <c r="E129" i="60"/>
  <c r="E130" i="60"/>
  <c r="E131" i="60"/>
  <c r="E132" i="60"/>
  <c r="E133" i="60"/>
  <c r="E134" i="60"/>
  <c r="E135" i="60"/>
  <c r="E136" i="60"/>
  <c r="E137" i="60"/>
  <c r="E138" i="60"/>
  <c r="E139" i="60"/>
  <c r="E140" i="60"/>
  <c r="E141" i="60"/>
  <c r="E142" i="60"/>
  <c r="E143" i="60"/>
  <c r="E144" i="60"/>
  <c r="E145" i="60"/>
  <c r="E146" i="60"/>
  <c r="E147" i="60"/>
  <c r="E148" i="60"/>
  <c r="E149" i="60"/>
  <c r="E150" i="60"/>
  <c r="E151" i="60"/>
  <c r="E152" i="60"/>
  <c r="E153" i="60"/>
  <c r="E154" i="60"/>
  <c r="E155" i="60"/>
  <c r="E156" i="60"/>
  <c r="E157" i="60"/>
  <c r="Q22" i="60"/>
  <c r="C119" i="60"/>
  <c r="C120" i="60"/>
  <c r="C121" i="60"/>
  <c r="C122" i="60"/>
  <c r="C123" i="60"/>
  <c r="C124" i="60"/>
  <c r="C125" i="60"/>
  <c r="C126" i="60"/>
  <c r="C127" i="60"/>
  <c r="C128" i="60"/>
  <c r="C129" i="60"/>
  <c r="C130" i="60"/>
  <c r="C131" i="60"/>
  <c r="C132" i="60"/>
  <c r="C133" i="60"/>
  <c r="C134" i="60"/>
  <c r="C135" i="60"/>
  <c r="C136" i="60"/>
  <c r="C137" i="60"/>
  <c r="C138" i="60"/>
  <c r="C139" i="60"/>
  <c r="C140" i="60"/>
  <c r="C141" i="60"/>
  <c r="C142" i="60"/>
  <c r="C143" i="60"/>
  <c r="C144" i="60"/>
  <c r="C145" i="60"/>
  <c r="C146" i="60"/>
  <c r="C147" i="60"/>
  <c r="C148" i="60"/>
  <c r="C149" i="60"/>
  <c r="C150" i="60"/>
  <c r="C151" i="60"/>
  <c r="C152" i="60"/>
  <c r="C153" i="60"/>
  <c r="C154" i="60"/>
  <c r="C155" i="60"/>
  <c r="C156" i="60"/>
  <c r="C157" i="60"/>
  <c r="C158" i="60"/>
  <c r="Q21" i="60"/>
  <c r="X18" i="60"/>
  <c r="X14" i="60"/>
  <c r="Y18" i="60"/>
  <c r="X17" i="60"/>
  <c r="Y17" i="60"/>
  <c r="X16" i="60"/>
  <c r="Y16" i="60"/>
  <c r="X15" i="60"/>
  <c r="Y15" i="60"/>
  <c r="Q16" i="60"/>
  <c r="S16" i="60"/>
  <c r="R15" i="60"/>
  <c r="Q15" i="60"/>
  <c r="S15" i="60"/>
  <c r="P12" i="60"/>
  <c r="B179" i="60"/>
  <c r="B180" i="60"/>
  <c r="B181" i="60"/>
  <c r="B182" i="60"/>
  <c r="B183" i="60"/>
  <c r="B184" i="60"/>
  <c r="B185" i="60"/>
  <c r="B186" i="60"/>
  <c r="B187" i="60"/>
  <c r="B188" i="60"/>
  <c r="B189" i="60"/>
  <c r="B190" i="60"/>
  <c r="B191" i="60"/>
  <c r="B192" i="60"/>
  <c r="B193" i="60"/>
  <c r="B194" i="60"/>
  <c r="B195" i="60"/>
  <c r="B196" i="60"/>
  <c r="B197" i="60"/>
  <c r="B198" i="60"/>
  <c r="B199" i="60"/>
  <c r="B200" i="60"/>
  <c r="B201" i="60"/>
  <c r="B202" i="60"/>
  <c r="B203" i="60"/>
  <c r="B204" i="60"/>
  <c r="B205" i="60"/>
  <c r="B206" i="60"/>
  <c r="B207" i="60"/>
  <c r="B208" i="60"/>
  <c r="B209" i="60"/>
  <c r="B210" i="60"/>
  <c r="B211" i="60"/>
  <c r="B212" i="60"/>
  <c r="B213" i="60"/>
  <c r="B214" i="60"/>
  <c r="B215" i="60"/>
  <c r="B216" i="60"/>
  <c r="B217" i="60"/>
  <c r="B218" i="60"/>
  <c r="B219" i="60"/>
  <c r="B220" i="60"/>
  <c r="B221" i="60"/>
  <c r="B222" i="60"/>
  <c r="B223" i="60"/>
  <c r="B224" i="60"/>
  <c r="B225" i="60"/>
  <c r="B226" i="60"/>
  <c r="B227" i="60"/>
  <c r="B228" i="60"/>
  <c r="B229" i="60"/>
  <c r="B230" i="60"/>
  <c r="B231" i="60"/>
  <c r="B232" i="60"/>
  <c r="B233" i="60"/>
  <c r="B234" i="60"/>
  <c r="B235" i="60"/>
  <c r="B236" i="60"/>
  <c r="B237" i="60"/>
  <c r="B238" i="60"/>
  <c r="B239" i="60"/>
  <c r="C239" i="60"/>
  <c r="E239" i="60"/>
  <c r="F40" i="60"/>
  <c r="F118" i="60"/>
  <c r="F119" i="60"/>
  <c r="F120" i="60"/>
  <c r="F121" i="60"/>
  <c r="F122" i="60"/>
  <c r="F123" i="60"/>
  <c r="F124" i="60"/>
  <c r="F125" i="60"/>
  <c r="F126" i="60"/>
  <c r="F127" i="60"/>
  <c r="F128" i="60"/>
  <c r="F129" i="60"/>
  <c r="F130" i="60"/>
  <c r="F131" i="60"/>
  <c r="F132" i="60"/>
  <c r="F133" i="60"/>
  <c r="F134" i="60"/>
  <c r="F135" i="60"/>
  <c r="F136" i="60"/>
  <c r="F137" i="60"/>
  <c r="F138" i="60"/>
  <c r="F139" i="60"/>
  <c r="F140" i="60"/>
  <c r="F141" i="60"/>
  <c r="F142" i="60"/>
  <c r="F143" i="60"/>
  <c r="F144" i="60"/>
  <c r="F145" i="60"/>
  <c r="F146" i="60"/>
  <c r="F147" i="60"/>
  <c r="F148" i="60"/>
  <c r="F149" i="60"/>
  <c r="F150" i="60"/>
  <c r="F151" i="60"/>
  <c r="F152" i="60"/>
  <c r="F153" i="60"/>
  <c r="F154" i="60"/>
  <c r="F155" i="60"/>
  <c r="F156" i="60"/>
  <c r="F157" i="60"/>
  <c r="F158" i="60"/>
  <c r="F159" i="60"/>
  <c r="F160" i="60"/>
  <c r="F161" i="60"/>
  <c r="F162" i="60"/>
  <c r="F163" i="60"/>
  <c r="F164" i="60"/>
  <c r="F165" i="60"/>
  <c r="F166" i="60"/>
  <c r="F167" i="60"/>
  <c r="F168" i="60"/>
  <c r="F169" i="60"/>
  <c r="F170" i="60"/>
  <c r="F171" i="60"/>
  <c r="F172" i="60"/>
  <c r="F173" i="60"/>
  <c r="F174" i="60"/>
  <c r="F175" i="60"/>
  <c r="F176" i="60"/>
  <c r="F177" i="60"/>
  <c r="F178" i="60"/>
  <c r="F179" i="60"/>
  <c r="F180" i="60"/>
  <c r="F181" i="60"/>
  <c r="F182" i="60"/>
  <c r="F183" i="60"/>
  <c r="F184" i="60"/>
  <c r="F185" i="60"/>
  <c r="F186" i="60"/>
  <c r="F187" i="60"/>
  <c r="F188" i="60"/>
  <c r="F189" i="60"/>
  <c r="F190" i="60"/>
  <c r="F191" i="60"/>
  <c r="F192" i="60"/>
  <c r="F193" i="60"/>
  <c r="F194" i="60"/>
  <c r="F195" i="60"/>
  <c r="F196" i="60"/>
  <c r="F197" i="60"/>
  <c r="F198" i="60"/>
  <c r="F199" i="60"/>
  <c r="F200" i="60"/>
  <c r="F201" i="60"/>
  <c r="F202" i="60"/>
  <c r="F203" i="60"/>
  <c r="F204" i="60"/>
  <c r="F205" i="60"/>
  <c r="F206" i="60"/>
  <c r="F207" i="60"/>
  <c r="F208" i="60"/>
  <c r="F209" i="60"/>
  <c r="F210" i="60"/>
  <c r="F211" i="60"/>
  <c r="F212" i="60"/>
  <c r="F213" i="60"/>
  <c r="F214" i="60"/>
  <c r="F215" i="60"/>
  <c r="F216" i="60"/>
  <c r="F217" i="60"/>
  <c r="F218" i="60"/>
  <c r="F219" i="60"/>
  <c r="F220" i="60"/>
  <c r="F221" i="60"/>
  <c r="F222" i="60"/>
  <c r="F223" i="60"/>
  <c r="F224" i="60"/>
  <c r="F225" i="60"/>
  <c r="F226" i="60"/>
  <c r="F227" i="60"/>
  <c r="F228" i="60"/>
  <c r="F229" i="60"/>
  <c r="F230" i="60"/>
  <c r="F231" i="60"/>
  <c r="F232" i="60"/>
  <c r="F233" i="60"/>
  <c r="F234" i="60"/>
  <c r="F235" i="60"/>
  <c r="F236" i="60"/>
  <c r="F237" i="60"/>
  <c r="F238" i="60"/>
  <c r="F239" i="60"/>
  <c r="G41" i="60"/>
  <c r="G118" i="60"/>
  <c r="G119" i="60"/>
  <c r="G120" i="60"/>
  <c r="G121" i="60"/>
  <c r="G122" i="60"/>
  <c r="G123" i="60"/>
  <c r="G124" i="60"/>
  <c r="G125" i="60"/>
  <c r="G126" i="60"/>
  <c r="G127" i="60"/>
  <c r="G128" i="60"/>
  <c r="G129" i="60"/>
  <c r="G130" i="60"/>
  <c r="G131" i="60"/>
  <c r="G132" i="60"/>
  <c r="G133" i="60"/>
  <c r="G134" i="60"/>
  <c r="G135" i="60"/>
  <c r="G136" i="60"/>
  <c r="G137" i="60"/>
  <c r="G138" i="60"/>
  <c r="G139" i="60"/>
  <c r="G140" i="60"/>
  <c r="G141" i="60"/>
  <c r="G142" i="60"/>
  <c r="G143" i="60"/>
  <c r="G144" i="60"/>
  <c r="G145" i="60"/>
  <c r="G146" i="60"/>
  <c r="G147" i="60"/>
  <c r="G148" i="60"/>
  <c r="G149" i="60"/>
  <c r="G150" i="60"/>
  <c r="G151" i="60"/>
  <c r="G152" i="60"/>
  <c r="G153" i="60"/>
  <c r="G154" i="60"/>
  <c r="G155" i="60"/>
  <c r="G156" i="60"/>
  <c r="G157" i="60"/>
  <c r="G158" i="60"/>
  <c r="G159" i="60"/>
  <c r="G160" i="60"/>
  <c r="G161" i="60"/>
  <c r="G162" i="60"/>
  <c r="G163" i="60"/>
  <c r="G164" i="60"/>
  <c r="G165" i="60"/>
  <c r="G166" i="60"/>
  <c r="G167" i="60"/>
  <c r="G168" i="60"/>
  <c r="G169" i="60"/>
  <c r="G170" i="60"/>
  <c r="G171" i="60"/>
  <c r="G172" i="60"/>
  <c r="G173" i="60"/>
  <c r="G174" i="60"/>
  <c r="G175" i="60"/>
  <c r="G176" i="60"/>
  <c r="G177" i="60"/>
  <c r="G178" i="60"/>
  <c r="G179" i="60"/>
  <c r="G180" i="60"/>
  <c r="G181" i="60"/>
  <c r="G182" i="60"/>
  <c r="G183" i="60"/>
  <c r="G184" i="60"/>
  <c r="G185" i="60"/>
  <c r="G186" i="60"/>
  <c r="G187" i="60"/>
  <c r="G188" i="60"/>
  <c r="G189" i="60"/>
  <c r="G190" i="60"/>
  <c r="G191" i="60"/>
  <c r="G192" i="60"/>
  <c r="G193" i="60"/>
  <c r="G194" i="60"/>
  <c r="G195" i="60"/>
  <c r="G196" i="60"/>
  <c r="G197" i="60"/>
  <c r="G198" i="60"/>
  <c r="G199" i="60"/>
  <c r="G200" i="60"/>
  <c r="G201" i="60"/>
  <c r="G202" i="60"/>
  <c r="G203" i="60"/>
  <c r="G204" i="60"/>
  <c r="G205" i="60"/>
  <c r="G206" i="60"/>
  <c r="G207" i="60"/>
  <c r="G208" i="60"/>
  <c r="G209" i="60"/>
  <c r="G210" i="60"/>
  <c r="G211" i="60"/>
  <c r="G212" i="60"/>
  <c r="G213" i="60"/>
  <c r="G214" i="60"/>
  <c r="G215" i="60"/>
  <c r="G216" i="60"/>
  <c r="G217" i="60"/>
  <c r="G218" i="60"/>
  <c r="G219" i="60"/>
  <c r="G220" i="60"/>
  <c r="G221" i="60"/>
  <c r="G222" i="60"/>
  <c r="G223" i="60"/>
  <c r="G224" i="60"/>
  <c r="G225" i="60"/>
  <c r="G226" i="60"/>
  <c r="G227" i="60"/>
  <c r="G228" i="60"/>
  <c r="G229" i="60"/>
  <c r="G230" i="60"/>
  <c r="G231" i="60"/>
  <c r="G232" i="60"/>
  <c r="G233" i="60"/>
  <c r="G234" i="60"/>
  <c r="G235" i="60"/>
  <c r="G236" i="60"/>
  <c r="G237" i="60"/>
  <c r="G238" i="60"/>
  <c r="G239" i="60"/>
  <c r="H41" i="60"/>
  <c r="C19" i="2"/>
  <c r="L19" i="2"/>
  <c r="H118" i="60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C140" i="2"/>
  <c r="L140" i="2"/>
  <c r="H239" i="60"/>
  <c r="C20" i="2"/>
  <c r="D20" i="2"/>
  <c r="G20" i="2"/>
  <c r="H20" i="2"/>
  <c r="N20" i="2"/>
  <c r="C21" i="2"/>
  <c r="D21" i="2"/>
  <c r="G21" i="2"/>
  <c r="H21" i="2"/>
  <c r="N21" i="2"/>
  <c r="C22" i="2"/>
  <c r="D22" i="2"/>
  <c r="G22" i="2"/>
  <c r="H22" i="2"/>
  <c r="N22" i="2"/>
  <c r="C23" i="2"/>
  <c r="D23" i="2"/>
  <c r="G23" i="2"/>
  <c r="H23" i="2"/>
  <c r="N23" i="2"/>
  <c r="C24" i="2"/>
  <c r="D24" i="2"/>
  <c r="G24" i="2"/>
  <c r="H24" i="2"/>
  <c r="N24" i="2"/>
  <c r="C25" i="2"/>
  <c r="D25" i="2"/>
  <c r="G25" i="2"/>
  <c r="H25" i="2"/>
  <c r="N25" i="2"/>
  <c r="C26" i="2"/>
  <c r="D26" i="2"/>
  <c r="G26" i="2"/>
  <c r="H26" i="2"/>
  <c r="N26" i="2"/>
  <c r="C27" i="2"/>
  <c r="D27" i="2"/>
  <c r="G27" i="2"/>
  <c r="H27" i="2"/>
  <c r="N27" i="2"/>
  <c r="C28" i="2"/>
  <c r="D28" i="2"/>
  <c r="G28" i="2"/>
  <c r="H28" i="2"/>
  <c r="N28" i="2"/>
  <c r="C29" i="2"/>
  <c r="D29" i="2"/>
  <c r="G29" i="2"/>
  <c r="H29" i="2"/>
  <c r="N29" i="2"/>
  <c r="C30" i="2"/>
  <c r="D30" i="2"/>
  <c r="G30" i="2"/>
  <c r="H30" i="2"/>
  <c r="N30" i="2"/>
  <c r="C31" i="2"/>
  <c r="D31" i="2"/>
  <c r="G31" i="2"/>
  <c r="H31" i="2"/>
  <c r="N31" i="2"/>
  <c r="C32" i="2"/>
  <c r="D32" i="2"/>
  <c r="G32" i="2"/>
  <c r="H32" i="2"/>
  <c r="N32" i="2"/>
  <c r="C33" i="2"/>
  <c r="D33" i="2"/>
  <c r="G33" i="2"/>
  <c r="H33" i="2"/>
  <c r="N33" i="2"/>
  <c r="C34" i="2"/>
  <c r="D34" i="2"/>
  <c r="G34" i="2"/>
  <c r="H34" i="2"/>
  <c r="N34" i="2"/>
  <c r="C35" i="2"/>
  <c r="D35" i="2"/>
  <c r="G35" i="2"/>
  <c r="H35" i="2"/>
  <c r="N35" i="2"/>
  <c r="C36" i="2"/>
  <c r="D36" i="2"/>
  <c r="G36" i="2"/>
  <c r="H36" i="2"/>
  <c r="N36" i="2"/>
  <c r="C37" i="2"/>
  <c r="D37" i="2"/>
  <c r="G37" i="2"/>
  <c r="H37" i="2"/>
  <c r="N37" i="2"/>
  <c r="C38" i="2"/>
  <c r="D38" i="2"/>
  <c r="G38" i="2"/>
  <c r="H38" i="2"/>
  <c r="N38" i="2"/>
  <c r="C39" i="2"/>
  <c r="D39" i="2"/>
  <c r="G39" i="2"/>
  <c r="H39" i="2"/>
  <c r="N39" i="2"/>
  <c r="C40" i="2"/>
  <c r="D40" i="2"/>
  <c r="G40" i="2"/>
  <c r="H40" i="2"/>
  <c r="N40" i="2"/>
  <c r="C41" i="2"/>
  <c r="D41" i="2"/>
  <c r="G41" i="2"/>
  <c r="H41" i="2"/>
  <c r="N41" i="2"/>
  <c r="C42" i="2"/>
  <c r="D42" i="2"/>
  <c r="G42" i="2"/>
  <c r="H42" i="2"/>
  <c r="N42" i="2"/>
  <c r="C43" i="2"/>
  <c r="D43" i="2"/>
  <c r="G43" i="2"/>
  <c r="H43" i="2"/>
  <c r="N43" i="2"/>
  <c r="C44" i="2"/>
  <c r="D44" i="2"/>
  <c r="G44" i="2"/>
  <c r="H44" i="2"/>
  <c r="N44" i="2"/>
  <c r="C45" i="2"/>
  <c r="D45" i="2"/>
  <c r="G45" i="2"/>
  <c r="H45" i="2"/>
  <c r="N45" i="2"/>
  <c r="C46" i="2"/>
  <c r="D46" i="2"/>
  <c r="G46" i="2"/>
  <c r="H46" i="2"/>
  <c r="N46" i="2"/>
  <c r="C47" i="2"/>
  <c r="D47" i="2"/>
  <c r="G47" i="2"/>
  <c r="H47" i="2"/>
  <c r="N47" i="2"/>
  <c r="C48" i="2"/>
  <c r="D48" i="2"/>
  <c r="G48" i="2"/>
  <c r="H48" i="2"/>
  <c r="N48" i="2"/>
  <c r="C49" i="2"/>
  <c r="D49" i="2"/>
  <c r="G49" i="2"/>
  <c r="H49" i="2"/>
  <c r="N49" i="2"/>
  <c r="C50" i="2"/>
  <c r="D50" i="2"/>
  <c r="G50" i="2"/>
  <c r="H50" i="2"/>
  <c r="N50" i="2"/>
  <c r="C51" i="2"/>
  <c r="D51" i="2"/>
  <c r="G51" i="2"/>
  <c r="H51" i="2"/>
  <c r="N51" i="2"/>
  <c r="C52" i="2"/>
  <c r="D52" i="2"/>
  <c r="G52" i="2"/>
  <c r="H52" i="2"/>
  <c r="N52" i="2"/>
  <c r="C53" i="2"/>
  <c r="D53" i="2"/>
  <c r="G53" i="2"/>
  <c r="H53" i="2"/>
  <c r="N53" i="2"/>
  <c r="C54" i="2"/>
  <c r="D54" i="2"/>
  <c r="G54" i="2"/>
  <c r="H54" i="2"/>
  <c r="N54" i="2"/>
  <c r="C55" i="2"/>
  <c r="D55" i="2"/>
  <c r="G55" i="2"/>
  <c r="H55" i="2"/>
  <c r="N55" i="2"/>
  <c r="C56" i="2"/>
  <c r="D56" i="2"/>
  <c r="G56" i="2"/>
  <c r="H56" i="2"/>
  <c r="N56" i="2"/>
  <c r="C57" i="2"/>
  <c r="D57" i="2"/>
  <c r="G57" i="2"/>
  <c r="H57" i="2"/>
  <c r="N57" i="2"/>
  <c r="C58" i="2"/>
  <c r="D58" i="2"/>
  <c r="G58" i="2"/>
  <c r="H58" i="2"/>
  <c r="N58" i="2"/>
  <c r="C59" i="2"/>
  <c r="D59" i="2"/>
  <c r="G59" i="2"/>
  <c r="H59" i="2"/>
  <c r="N59" i="2"/>
  <c r="C60" i="2"/>
  <c r="D60" i="2"/>
  <c r="G60" i="2"/>
  <c r="H60" i="2"/>
  <c r="N60" i="2"/>
  <c r="C61" i="2"/>
  <c r="D61" i="2"/>
  <c r="G61" i="2"/>
  <c r="H61" i="2"/>
  <c r="N61" i="2"/>
  <c r="C62" i="2"/>
  <c r="D62" i="2"/>
  <c r="G62" i="2"/>
  <c r="H62" i="2"/>
  <c r="N62" i="2"/>
  <c r="C63" i="2"/>
  <c r="D63" i="2"/>
  <c r="G63" i="2"/>
  <c r="H63" i="2"/>
  <c r="N63" i="2"/>
  <c r="C64" i="2"/>
  <c r="D64" i="2"/>
  <c r="G64" i="2"/>
  <c r="H64" i="2"/>
  <c r="N64" i="2"/>
  <c r="C65" i="2"/>
  <c r="D65" i="2"/>
  <c r="G65" i="2"/>
  <c r="H65" i="2"/>
  <c r="N65" i="2"/>
  <c r="C66" i="2"/>
  <c r="D66" i="2"/>
  <c r="G66" i="2"/>
  <c r="H66" i="2"/>
  <c r="N66" i="2"/>
  <c r="C67" i="2"/>
  <c r="D67" i="2"/>
  <c r="G67" i="2"/>
  <c r="H67" i="2"/>
  <c r="N67" i="2"/>
  <c r="C68" i="2"/>
  <c r="D68" i="2"/>
  <c r="G68" i="2"/>
  <c r="H68" i="2"/>
  <c r="N68" i="2"/>
  <c r="C69" i="2"/>
  <c r="D69" i="2"/>
  <c r="G69" i="2"/>
  <c r="H69" i="2"/>
  <c r="N69" i="2"/>
  <c r="C70" i="2"/>
  <c r="D70" i="2"/>
  <c r="G70" i="2"/>
  <c r="H70" i="2"/>
  <c r="N70" i="2"/>
  <c r="C71" i="2"/>
  <c r="D71" i="2"/>
  <c r="G71" i="2"/>
  <c r="H71" i="2"/>
  <c r="N71" i="2"/>
  <c r="C72" i="2"/>
  <c r="D72" i="2"/>
  <c r="G72" i="2"/>
  <c r="H72" i="2"/>
  <c r="N72" i="2"/>
  <c r="C73" i="2"/>
  <c r="D73" i="2"/>
  <c r="G73" i="2"/>
  <c r="H73" i="2"/>
  <c r="N73" i="2"/>
  <c r="C74" i="2"/>
  <c r="D74" i="2"/>
  <c r="G74" i="2"/>
  <c r="H74" i="2"/>
  <c r="N74" i="2"/>
  <c r="C75" i="2"/>
  <c r="D75" i="2"/>
  <c r="G75" i="2"/>
  <c r="H75" i="2"/>
  <c r="N75" i="2"/>
  <c r="C76" i="2"/>
  <c r="D76" i="2"/>
  <c r="G76" i="2"/>
  <c r="H76" i="2"/>
  <c r="N76" i="2"/>
  <c r="C77" i="2"/>
  <c r="D77" i="2"/>
  <c r="G77" i="2"/>
  <c r="H77" i="2"/>
  <c r="N77" i="2"/>
  <c r="C78" i="2"/>
  <c r="D78" i="2"/>
  <c r="G78" i="2"/>
  <c r="H78" i="2"/>
  <c r="N78" i="2"/>
  <c r="C79" i="2"/>
  <c r="D79" i="2"/>
  <c r="G79" i="2"/>
  <c r="H79" i="2"/>
  <c r="N79" i="2"/>
  <c r="C80" i="2"/>
  <c r="D80" i="2"/>
  <c r="G80" i="2"/>
  <c r="H80" i="2"/>
  <c r="N80" i="2"/>
  <c r="C81" i="2"/>
  <c r="D81" i="2"/>
  <c r="G81" i="2"/>
  <c r="H81" i="2"/>
  <c r="N81" i="2"/>
  <c r="C82" i="2"/>
  <c r="D82" i="2"/>
  <c r="G82" i="2"/>
  <c r="H82" i="2"/>
  <c r="N82" i="2"/>
  <c r="C83" i="2"/>
  <c r="D83" i="2"/>
  <c r="G83" i="2"/>
  <c r="H83" i="2"/>
  <c r="N83" i="2"/>
  <c r="C84" i="2"/>
  <c r="D84" i="2"/>
  <c r="G84" i="2"/>
  <c r="H84" i="2"/>
  <c r="N84" i="2"/>
  <c r="C85" i="2"/>
  <c r="D85" i="2"/>
  <c r="G85" i="2"/>
  <c r="H85" i="2"/>
  <c r="N85" i="2"/>
  <c r="C86" i="2"/>
  <c r="D86" i="2"/>
  <c r="G86" i="2"/>
  <c r="H86" i="2"/>
  <c r="N86" i="2"/>
  <c r="C87" i="2"/>
  <c r="D87" i="2"/>
  <c r="G87" i="2"/>
  <c r="H87" i="2"/>
  <c r="N87" i="2"/>
  <c r="C88" i="2"/>
  <c r="D88" i="2"/>
  <c r="G88" i="2"/>
  <c r="H88" i="2"/>
  <c r="N88" i="2"/>
  <c r="C89" i="2"/>
  <c r="D89" i="2"/>
  <c r="G89" i="2"/>
  <c r="H89" i="2"/>
  <c r="N89" i="2"/>
  <c r="C90" i="2"/>
  <c r="D90" i="2"/>
  <c r="G90" i="2"/>
  <c r="H90" i="2"/>
  <c r="N90" i="2"/>
  <c r="C91" i="2"/>
  <c r="D91" i="2"/>
  <c r="G91" i="2"/>
  <c r="H91" i="2"/>
  <c r="N91" i="2"/>
  <c r="C92" i="2"/>
  <c r="D92" i="2"/>
  <c r="G92" i="2"/>
  <c r="H92" i="2"/>
  <c r="N92" i="2"/>
  <c r="C93" i="2"/>
  <c r="D93" i="2"/>
  <c r="G93" i="2"/>
  <c r="H93" i="2"/>
  <c r="N93" i="2"/>
  <c r="C94" i="2"/>
  <c r="D94" i="2"/>
  <c r="G94" i="2"/>
  <c r="H94" i="2"/>
  <c r="N94" i="2"/>
  <c r="C95" i="2"/>
  <c r="D95" i="2"/>
  <c r="G95" i="2"/>
  <c r="H95" i="2"/>
  <c r="N95" i="2"/>
  <c r="C96" i="2"/>
  <c r="D96" i="2"/>
  <c r="G96" i="2"/>
  <c r="H96" i="2"/>
  <c r="N96" i="2"/>
  <c r="C97" i="2"/>
  <c r="D97" i="2"/>
  <c r="G97" i="2"/>
  <c r="H97" i="2"/>
  <c r="N97" i="2"/>
  <c r="C98" i="2"/>
  <c r="D98" i="2"/>
  <c r="G98" i="2"/>
  <c r="H98" i="2"/>
  <c r="N98" i="2"/>
  <c r="C99" i="2"/>
  <c r="D99" i="2"/>
  <c r="G99" i="2"/>
  <c r="H99" i="2"/>
  <c r="N99" i="2"/>
  <c r="C100" i="2"/>
  <c r="D100" i="2"/>
  <c r="G100" i="2"/>
  <c r="H100" i="2"/>
  <c r="N100" i="2"/>
  <c r="C101" i="2"/>
  <c r="D101" i="2"/>
  <c r="G101" i="2"/>
  <c r="H101" i="2"/>
  <c r="N101" i="2"/>
  <c r="C102" i="2"/>
  <c r="D102" i="2"/>
  <c r="G102" i="2"/>
  <c r="H102" i="2"/>
  <c r="N102" i="2"/>
  <c r="C103" i="2"/>
  <c r="D103" i="2"/>
  <c r="G103" i="2"/>
  <c r="H103" i="2"/>
  <c r="N103" i="2"/>
  <c r="C104" i="2"/>
  <c r="D104" i="2"/>
  <c r="G104" i="2"/>
  <c r="H104" i="2"/>
  <c r="N104" i="2"/>
  <c r="C105" i="2"/>
  <c r="D105" i="2"/>
  <c r="G105" i="2"/>
  <c r="H105" i="2"/>
  <c r="N105" i="2"/>
  <c r="C106" i="2"/>
  <c r="D106" i="2"/>
  <c r="G106" i="2"/>
  <c r="H106" i="2"/>
  <c r="N106" i="2"/>
  <c r="C107" i="2"/>
  <c r="D107" i="2"/>
  <c r="G107" i="2"/>
  <c r="H107" i="2"/>
  <c r="N107" i="2"/>
  <c r="C108" i="2"/>
  <c r="D108" i="2"/>
  <c r="G108" i="2"/>
  <c r="H108" i="2"/>
  <c r="N108" i="2"/>
  <c r="C109" i="2"/>
  <c r="D109" i="2"/>
  <c r="G109" i="2"/>
  <c r="H109" i="2"/>
  <c r="N109" i="2"/>
  <c r="C110" i="2"/>
  <c r="D110" i="2"/>
  <c r="G110" i="2"/>
  <c r="H110" i="2"/>
  <c r="N110" i="2"/>
  <c r="C111" i="2"/>
  <c r="D111" i="2"/>
  <c r="G111" i="2"/>
  <c r="H111" i="2"/>
  <c r="N111" i="2"/>
  <c r="C112" i="2"/>
  <c r="D112" i="2"/>
  <c r="G112" i="2"/>
  <c r="H112" i="2"/>
  <c r="N112" i="2"/>
  <c r="C113" i="2"/>
  <c r="D113" i="2"/>
  <c r="G113" i="2"/>
  <c r="H113" i="2"/>
  <c r="N113" i="2"/>
  <c r="C114" i="2"/>
  <c r="D114" i="2"/>
  <c r="G114" i="2"/>
  <c r="H114" i="2"/>
  <c r="N114" i="2"/>
  <c r="C115" i="2"/>
  <c r="D115" i="2"/>
  <c r="G115" i="2"/>
  <c r="H115" i="2"/>
  <c r="N115" i="2"/>
  <c r="C116" i="2"/>
  <c r="D116" i="2"/>
  <c r="G116" i="2"/>
  <c r="H116" i="2"/>
  <c r="N116" i="2"/>
  <c r="C117" i="2"/>
  <c r="D117" i="2"/>
  <c r="G117" i="2"/>
  <c r="H117" i="2"/>
  <c r="N117" i="2"/>
  <c r="C118" i="2"/>
  <c r="D118" i="2"/>
  <c r="G118" i="2"/>
  <c r="H118" i="2"/>
  <c r="N118" i="2"/>
  <c r="C119" i="2"/>
  <c r="D119" i="2"/>
  <c r="G119" i="2"/>
  <c r="H119" i="2"/>
  <c r="N119" i="2"/>
  <c r="C120" i="2"/>
  <c r="D120" i="2"/>
  <c r="G120" i="2"/>
  <c r="H120" i="2"/>
  <c r="N120" i="2"/>
  <c r="C121" i="2"/>
  <c r="D121" i="2"/>
  <c r="G121" i="2"/>
  <c r="H121" i="2"/>
  <c r="N121" i="2"/>
  <c r="C122" i="2"/>
  <c r="D122" i="2"/>
  <c r="G122" i="2"/>
  <c r="H122" i="2"/>
  <c r="N122" i="2"/>
  <c r="C123" i="2"/>
  <c r="D123" i="2"/>
  <c r="G123" i="2"/>
  <c r="H123" i="2"/>
  <c r="N123" i="2"/>
  <c r="C124" i="2"/>
  <c r="D124" i="2"/>
  <c r="G124" i="2"/>
  <c r="H124" i="2"/>
  <c r="N124" i="2"/>
  <c r="C125" i="2"/>
  <c r="D125" i="2"/>
  <c r="G125" i="2"/>
  <c r="H125" i="2"/>
  <c r="N125" i="2"/>
  <c r="C126" i="2"/>
  <c r="D126" i="2"/>
  <c r="G126" i="2"/>
  <c r="H126" i="2"/>
  <c r="N126" i="2"/>
  <c r="C127" i="2"/>
  <c r="D127" i="2"/>
  <c r="G127" i="2"/>
  <c r="H127" i="2"/>
  <c r="N127" i="2"/>
  <c r="C128" i="2"/>
  <c r="D128" i="2"/>
  <c r="G128" i="2"/>
  <c r="H128" i="2"/>
  <c r="N128" i="2"/>
  <c r="C129" i="2"/>
  <c r="D129" i="2"/>
  <c r="G129" i="2"/>
  <c r="H129" i="2"/>
  <c r="N129" i="2"/>
  <c r="C130" i="2"/>
  <c r="D130" i="2"/>
  <c r="G130" i="2"/>
  <c r="H130" i="2"/>
  <c r="N130" i="2"/>
  <c r="C131" i="2"/>
  <c r="D131" i="2"/>
  <c r="G131" i="2"/>
  <c r="H131" i="2"/>
  <c r="N131" i="2"/>
  <c r="C132" i="2"/>
  <c r="D132" i="2"/>
  <c r="G132" i="2"/>
  <c r="H132" i="2"/>
  <c r="N132" i="2"/>
  <c r="C133" i="2"/>
  <c r="D133" i="2"/>
  <c r="G133" i="2"/>
  <c r="H133" i="2"/>
  <c r="N133" i="2"/>
  <c r="C134" i="2"/>
  <c r="D134" i="2"/>
  <c r="G134" i="2"/>
  <c r="H134" i="2"/>
  <c r="N134" i="2"/>
  <c r="C135" i="2"/>
  <c r="D135" i="2"/>
  <c r="G135" i="2"/>
  <c r="H135" i="2"/>
  <c r="N135" i="2"/>
  <c r="C136" i="2"/>
  <c r="D136" i="2"/>
  <c r="G136" i="2"/>
  <c r="H136" i="2"/>
  <c r="N136" i="2"/>
  <c r="C137" i="2"/>
  <c r="D137" i="2"/>
  <c r="G137" i="2"/>
  <c r="H137" i="2"/>
  <c r="N137" i="2"/>
  <c r="C138" i="2"/>
  <c r="D138" i="2"/>
  <c r="G138" i="2"/>
  <c r="H138" i="2"/>
  <c r="N138" i="2"/>
  <c r="C139" i="2"/>
  <c r="D139" i="2"/>
  <c r="G139" i="2"/>
  <c r="H139" i="2"/>
  <c r="N139" i="2"/>
  <c r="D140" i="2"/>
  <c r="G140" i="2"/>
  <c r="H140" i="2"/>
  <c r="N140" i="2"/>
  <c r="I239" i="60"/>
  <c r="F20" i="2"/>
  <c r="P20" i="2"/>
  <c r="F21" i="2"/>
  <c r="P21" i="2"/>
  <c r="F22" i="2"/>
  <c r="P22" i="2"/>
  <c r="F23" i="2"/>
  <c r="P23" i="2"/>
  <c r="F24" i="2"/>
  <c r="P24" i="2"/>
  <c r="F25" i="2"/>
  <c r="P25" i="2"/>
  <c r="F26" i="2"/>
  <c r="P26" i="2"/>
  <c r="F27" i="2"/>
  <c r="P27" i="2"/>
  <c r="F28" i="2"/>
  <c r="P28" i="2"/>
  <c r="F29" i="2"/>
  <c r="P29" i="2"/>
  <c r="F30" i="2"/>
  <c r="P30" i="2"/>
  <c r="F31" i="2"/>
  <c r="P31" i="2"/>
  <c r="F32" i="2"/>
  <c r="P32" i="2"/>
  <c r="F33" i="2"/>
  <c r="P33" i="2"/>
  <c r="F34" i="2"/>
  <c r="P34" i="2"/>
  <c r="F35" i="2"/>
  <c r="P35" i="2"/>
  <c r="F36" i="2"/>
  <c r="P36" i="2"/>
  <c r="F37" i="2"/>
  <c r="P37" i="2"/>
  <c r="F38" i="2"/>
  <c r="P38" i="2"/>
  <c r="F39" i="2"/>
  <c r="P39" i="2"/>
  <c r="F40" i="2"/>
  <c r="P40" i="2"/>
  <c r="F41" i="2"/>
  <c r="P41" i="2"/>
  <c r="F42" i="2"/>
  <c r="P42" i="2"/>
  <c r="F43" i="2"/>
  <c r="P43" i="2"/>
  <c r="F44" i="2"/>
  <c r="P44" i="2"/>
  <c r="F45" i="2"/>
  <c r="P45" i="2"/>
  <c r="F46" i="2"/>
  <c r="P46" i="2"/>
  <c r="F47" i="2"/>
  <c r="P47" i="2"/>
  <c r="F48" i="2"/>
  <c r="P48" i="2"/>
  <c r="F49" i="2"/>
  <c r="P49" i="2"/>
  <c r="F50" i="2"/>
  <c r="P50" i="2"/>
  <c r="F51" i="2"/>
  <c r="P51" i="2"/>
  <c r="F52" i="2"/>
  <c r="P52" i="2"/>
  <c r="F53" i="2"/>
  <c r="P53" i="2"/>
  <c r="F54" i="2"/>
  <c r="P54" i="2"/>
  <c r="F55" i="2"/>
  <c r="P55" i="2"/>
  <c r="F56" i="2"/>
  <c r="P56" i="2"/>
  <c r="F57" i="2"/>
  <c r="P57" i="2"/>
  <c r="F58" i="2"/>
  <c r="P58" i="2"/>
  <c r="F59" i="2"/>
  <c r="P59" i="2"/>
  <c r="F60" i="2"/>
  <c r="P60" i="2"/>
  <c r="F61" i="2"/>
  <c r="P61" i="2"/>
  <c r="F62" i="2"/>
  <c r="P62" i="2"/>
  <c r="F63" i="2"/>
  <c r="P63" i="2"/>
  <c r="F64" i="2"/>
  <c r="P64" i="2"/>
  <c r="F65" i="2"/>
  <c r="P65" i="2"/>
  <c r="F66" i="2"/>
  <c r="P66" i="2"/>
  <c r="F67" i="2"/>
  <c r="P67" i="2"/>
  <c r="F68" i="2"/>
  <c r="P68" i="2"/>
  <c r="F69" i="2"/>
  <c r="P69" i="2"/>
  <c r="F70" i="2"/>
  <c r="P70" i="2"/>
  <c r="F71" i="2"/>
  <c r="P71" i="2"/>
  <c r="F72" i="2"/>
  <c r="P72" i="2"/>
  <c r="F73" i="2"/>
  <c r="P73" i="2"/>
  <c r="F74" i="2"/>
  <c r="P74" i="2"/>
  <c r="F75" i="2"/>
  <c r="P75" i="2"/>
  <c r="F76" i="2"/>
  <c r="P76" i="2"/>
  <c r="F77" i="2"/>
  <c r="P77" i="2"/>
  <c r="F78" i="2"/>
  <c r="P78" i="2"/>
  <c r="F79" i="2"/>
  <c r="P79" i="2"/>
  <c r="F80" i="2"/>
  <c r="P80" i="2"/>
  <c r="F81" i="2"/>
  <c r="P81" i="2"/>
  <c r="F82" i="2"/>
  <c r="P82" i="2"/>
  <c r="F83" i="2"/>
  <c r="P83" i="2"/>
  <c r="F84" i="2"/>
  <c r="P84" i="2"/>
  <c r="F85" i="2"/>
  <c r="P85" i="2"/>
  <c r="F86" i="2"/>
  <c r="P86" i="2"/>
  <c r="F87" i="2"/>
  <c r="P87" i="2"/>
  <c r="F88" i="2"/>
  <c r="P88" i="2"/>
  <c r="F89" i="2"/>
  <c r="P89" i="2"/>
  <c r="F90" i="2"/>
  <c r="P90" i="2"/>
  <c r="F91" i="2"/>
  <c r="P91" i="2"/>
  <c r="F92" i="2"/>
  <c r="P92" i="2"/>
  <c r="F93" i="2"/>
  <c r="P93" i="2"/>
  <c r="F94" i="2"/>
  <c r="P94" i="2"/>
  <c r="F95" i="2"/>
  <c r="P95" i="2"/>
  <c r="F96" i="2"/>
  <c r="P96" i="2"/>
  <c r="F97" i="2"/>
  <c r="P97" i="2"/>
  <c r="F98" i="2"/>
  <c r="P98" i="2"/>
  <c r="F99" i="2"/>
  <c r="P99" i="2"/>
  <c r="F100" i="2"/>
  <c r="P100" i="2"/>
  <c r="F101" i="2"/>
  <c r="P101" i="2"/>
  <c r="F102" i="2"/>
  <c r="P102" i="2"/>
  <c r="F103" i="2"/>
  <c r="P103" i="2"/>
  <c r="F104" i="2"/>
  <c r="P104" i="2"/>
  <c r="F105" i="2"/>
  <c r="P105" i="2"/>
  <c r="F106" i="2"/>
  <c r="P106" i="2"/>
  <c r="F107" i="2"/>
  <c r="P107" i="2"/>
  <c r="F108" i="2"/>
  <c r="P108" i="2"/>
  <c r="F109" i="2"/>
  <c r="P109" i="2"/>
  <c r="F110" i="2"/>
  <c r="P110" i="2"/>
  <c r="F111" i="2"/>
  <c r="P111" i="2"/>
  <c r="F112" i="2"/>
  <c r="P112" i="2"/>
  <c r="F113" i="2"/>
  <c r="P113" i="2"/>
  <c r="F114" i="2"/>
  <c r="P114" i="2"/>
  <c r="F115" i="2"/>
  <c r="P115" i="2"/>
  <c r="F116" i="2"/>
  <c r="P116" i="2"/>
  <c r="F117" i="2"/>
  <c r="P117" i="2"/>
  <c r="F118" i="2"/>
  <c r="P118" i="2"/>
  <c r="F119" i="2"/>
  <c r="P119" i="2"/>
  <c r="F120" i="2"/>
  <c r="P120" i="2"/>
  <c r="F121" i="2"/>
  <c r="P121" i="2"/>
  <c r="F122" i="2"/>
  <c r="P122" i="2"/>
  <c r="F123" i="2"/>
  <c r="P123" i="2"/>
  <c r="F124" i="2"/>
  <c r="P124" i="2"/>
  <c r="F125" i="2"/>
  <c r="P125" i="2"/>
  <c r="F126" i="2"/>
  <c r="P126" i="2"/>
  <c r="F127" i="2"/>
  <c r="P127" i="2"/>
  <c r="F128" i="2"/>
  <c r="P128" i="2"/>
  <c r="F129" i="2"/>
  <c r="P129" i="2"/>
  <c r="F130" i="2"/>
  <c r="P130" i="2"/>
  <c r="F131" i="2"/>
  <c r="P131" i="2"/>
  <c r="F132" i="2"/>
  <c r="P132" i="2"/>
  <c r="F133" i="2"/>
  <c r="P133" i="2"/>
  <c r="F134" i="2"/>
  <c r="P134" i="2"/>
  <c r="F135" i="2"/>
  <c r="P135" i="2"/>
  <c r="F136" i="2"/>
  <c r="P136" i="2"/>
  <c r="F137" i="2"/>
  <c r="P137" i="2"/>
  <c r="F138" i="2"/>
  <c r="P138" i="2"/>
  <c r="F139" i="2"/>
  <c r="P139" i="2"/>
  <c r="F140" i="2"/>
  <c r="P140" i="2"/>
  <c r="J239" i="60"/>
  <c r="K42" i="60"/>
  <c r="K118" i="60"/>
  <c r="K119" i="60"/>
  <c r="K120" i="60"/>
  <c r="K121" i="60"/>
  <c r="K122" i="60"/>
  <c r="K123" i="60"/>
  <c r="K124" i="60"/>
  <c r="K125" i="60"/>
  <c r="K126" i="60"/>
  <c r="K127" i="60"/>
  <c r="K128" i="60"/>
  <c r="K129" i="60"/>
  <c r="K130" i="60"/>
  <c r="K131" i="60"/>
  <c r="K132" i="60"/>
  <c r="K133" i="60"/>
  <c r="K134" i="60"/>
  <c r="K135" i="60"/>
  <c r="K136" i="60"/>
  <c r="K137" i="60"/>
  <c r="K138" i="60"/>
  <c r="K139" i="60"/>
  <c r="K140" i="60"/>
  <c r="K141" i="60"/>
  <c r="K142" i="60"/>
  <c r="K143" i="60"/>
  <c r="K144" i="60"/>
  <c r="K145" i="60"/>
  <c r="K146" i="60"/>
  <c r="K147" i="60"/>
  <c r="K148" i="60"/>
  <c r="K149" i="60"/>
  <c r="K150" i="60"/>
  <c r="K151" i="60"/>
  <c r="K152" i="60"/>
  <c r="K153" i="60"/>
  <c r="K154" i="60"/>
  <c r="K155" i="60"/>
  <c r="K156" i="60"/>
  <c r="K157" i="60"/>
  <c r="K158" i="60"/>
  <c r="K159" i="60"/>
  <c r="K160" i="60"/>
  <c r="K161" i="60"/>
  <c r="K162" i="60"/>
  <c r="K163" i="60"/>
  <c r="K164" i="60"/>
  <c r="K165" i="60"/>
  <c r="K166" i="60"/>
  <c r="K167" i="60"/>
  <c r="K168" i="60"/>
  <c r="K169" i="60"/>
  <c r="K170" i="60"/>
  <c r="K171" i="60"/>
  <c r="K172" i="60"/>
  <c r="K173" i="60"/>
  <c r="K174" i="60"/>
  <c r="K175" i="60"/>
  <c r="K176" i="60"/>
  <c r="K177" i="60"/>
  <c r="K178" i="60"/>
  <c r="K179" i="60"/>
  <c r="K180" i="60"/>
  <c r="K181" i="60"/>
  <c r="K182" i="60"/>
  <c r="K183" i="60"/>
  <c r="K184" i="60"/>
  <c r="K185" i="60"/>
  <c r="K186" i="60"/>
  <c r="K187" i="60"/>
  <c r="K188" i="60"/>
  <c r="K189" i="60"/>
  <c r="K190" i="60"/>
  <c r="K191" i="60"/>
  <c r="K192" i="60"/>
  <c r="K193" i="60"/>
  <c r="K194" i="60"/>
  <c r="K195" i="60"/>
  <c r="K196" i="60"/>
  <c r="K197" i="60"/>
  <c r="K198" i="60"/>
  <c r="K199" i="60"/>
  <c r="K200" i="60"/>
  <c r="K201" i="60"/>
  <c r="K202" i="60"/>
  <c r="K203" i="60"/>
  <c r="K204" i="60"/>
  <c r="K205" i="60"/>
  <c r="K206" i="60"/>
  <c r="K207" i="60"/>
  <c r="K208" i="60"/>
  <c r="K209" i="60"/>
  <c r="K210" i="60"/>
  <c r="K211" i="60"/>
  <c r="K212" i="60"/>
  <c r="K213" i="60"/>
  <c r="K214" i="60"/>
  <c r="K215" i="60"/>
  <c r="K216" i="60"/>
  <c r="K217" i="60"/>
  <c r="K218" i="60"/>
  <c r="K219" i="60"/>
  <c r="K220" i="60"/>
  <c r="K221" i="60"/>
  <c r="K222" i="60"/>
  <c r="K223" i="60"/>
  <c r="K224" i="60"/>
  <c r="K225" i="60"/>
  <c r="K226" i="60"/>
  <c r="K227" i="60"/>
  <c r="K228" i="60"/>
  <c r="K229" i="60"/>
  <c r="K230" i="60"/>
  <c r="K231" i="60"/>
  <c r="K232" i="60"/>
  <c r="K233" i="60"/>
  <c r="K234" i="60"/>
  <c r="K235" i="60"/>
  <c r="K236" i="60"/>
  <c r="K237" i="60"/>
  <c r="K238" i="60"/>
  <c r="K239" i="60"/>
  <c r="B240" i="60"/>
  <c r="C240" i="60"/>
  <c r="E240" i="60"/>
  <c r="F240" i="60"/>
  <c r="G240" i="60"/>
  <c r="A141" i="2"/>
  <c r="C141" i="2"/>
  <c r="L141" i="2"/>
  <c r="H240" i="60"/>
  <c r="D141" i="2"/>
  <c r="G141" i="2"/>
  <c r="H141" i="2"/>
  <c r="N141" i="2"/>
  <c r="I240" i="60"/>
  <c r="F141" i="2"/>
  <c r="P141" i="2"/>
  <c r="J240" i="60"/>
  <c r="K240" i="60"/>
  <c r="B241" i="60"/>
  <c r="C241" i="60"/>
  <c r="E241" i="60"/>
  <c r="F241" i="60"/>
  <c r="G241" i="60"/>
  <c r="A142" i="2"/>
  <c r="C142" i="2"/>
  <c r="L142" i="2"/>
  <c r="H241" i="60"/>
  <c r="D142" i="2"/>
  <c r="G142" i="2"/>
  <c r="H142" i="2"/>
  <c r="N142" i="2"/>
  <c r="I241" i="60"/>
  <c r="F142" i="2"/>
  <c r="P142" i="2"/>
  <c r="J241" i="60"/>
  <c r="K241" i="60"/>
  <c r="B242" i="60"/>
  <c r="C242" i="60"/>
  <c r="E242" i="60"/>
  <c r="F242" i="60"/>
  <c r="G242" i="60"/>
  <c r="A143" i="2"/>
  <c r="C143" i="2"/>
  <c r="L143" i="2"/>
  <c r="H242" i="60"/>
  <c r="D143" i="2"/>
  <c r="G143" i="2"/>
  <c r="H143" i="2"/>
  <c r="N143" i="2"/>
  <c r="I242" i="60"/>
  <c r="F143" i="2"/>
  <c r="P143" i="2"/>
  <c r="J242" i="60"/>
  <c r="K242" i="60"/>
  <c r="B243" i="60"/>
  <c r="C243" i="60"/>
  <c r="E243" i="60"/>
  <c r="F243" i="60"/>
  <c r="G243" i="60"/>
  <c r="A144" i="2"/>
  <c r="C144" i="2"/>
  <c r="L144" i="2"/>
  <c r="H243" i="60"/>
  <c r="D144" i="2"/>
  <c r="G144" i="2"/>
  <c r="H144" i="2"/>
  <c r="N144" i="2"/>
  <c r="I243" i="60"/>
  <c r="F144" i="2"/>
  <c r="P144" i="2"/>
  <c r="J243" i="60"/>
  <c r="K243" i="60"/>
  <c r="B244" i="60"/>
  <c r="C244" i="60"/>
  <c r="E244" i="60"/>
  <c r="F244" i="60"/>
  <c r="G244" i="60"/>
  <c r="A145" i="2"/>
  <c r="C145" i="2"/>
  <c r="L145" i="2"/>
  <c r="H244" i="60"/>
  <c r="D145" i="2"/>
  <c r="G145" i="2"/>
  <c r="H145" i="2"/>
  <c r="N145" i="2"/>
  <c r="I244" i="60"/>
  <c r="F145" i="2"/>
  <c r="P145" i="2"/>
  <c r="J244" i="60"/>
  <c r="K244" i="60"/>
  <c r="B245" i="60"/>
  <c r="C245" i="60"/>
  <c r="E245" i="60"/>
  <c r="F245" i="60"/>
  <c r="G245" i="60"/>
  <c r="A146" i="2"/>
  <c r="C146" i="2"/>
  <c r="L146" i="2"/>
  <c r="H245" i="60"/>
  <c r="D146" i="2"/>
  <c r="G146" i="2"/>
  <c r="H146" i="2"/>
  <c r="N146" i="2"/>
  <c r="I245" i="60"/>
  <c r="F146" i="2"/>
  <c r="P146" i="2"/>
  <c r="J245" i="60"/>
  <c r="K245" i="60"/>
  <c r="B246" i="60"/>
  <c r="C246" i="60"/>
  <c r="E246" i="60"/>
  <c r="F246" i="60"/>
  <c r="G246" i="60"/>
  <c r="A147" i="2"/>
  <c r="C147" i="2"/>
  <c r="L147" i="2"/>
  <c r="H246" i="60"/>
  <c r="D147" i="2"/>
  <c r="G147" i="2"/>
  <c r="H147" i="2"/>
  <c r="N147" i="2"/>
  <c r="I246" i="60"/>
  <c r="F147" i="2"/>
  <c r="P147" i="2"/>
  <c r="J246" i="60"/>
  <c r="K246" i="60"/>
  <c r="F247" i="60"/>
  <c r="F248" i="60"/>
  <c r="F249" i="60"/>
  <c r="F250" i="60"/>
  <c r="F251" i="60"/>
  <c r="F252" i="60"/>
  <c r="F253" i="60"/>
  <c r="F254" i="60"/>
  <c r="F255" i="60"/>
  <c r="F256" i="60"/>
  <c r="F257" i="60"/>
  <c r="F258" i="60"/>
  <c r="F259" i="60"/>
  <c r="F260" i="60"/>
  <c r="F261" i="60"/>
  <c r="F262" i="60"/>
  <c r="F263" i="60"/>
  <c r="F264" i="60"/>
  <c r="F265" i="60"/>
  <c r="F266" i="60"/>
  <c r="F267" i="60"/>
  <c r="F268" i="60"/>
  <c r="F269" i="60"/>
  <c r="F270" i="60"/>
  <c r="F271" i="60"/>
  <c r="F272" i="60"/>
  <c r="F273" i="60"/>
  <c r="F274" i="60"/>
  <c r="F275" i="60"/>
  <c r="F276" i="60"/>
  <c r="F277" i="60"/>
  <c r="F278" i="60"/>
  <c r="F279" i="60"/>
  <c r="F280" i="60"/>
  <c r="F281" i="60"/>
  <c r="F282" i="60"/>
  <c r="F283" i="60"/>
  <c r="F284" i="60"/>
  <c r="F285" i="60"/>
  <c r="F286" i="60"/>
  <c r="F287" i="60"/>
  <c r="F288" i="60"/>
  <c r="F289" i="60"/>
  <c r="F290" i="60"/>
  <c r="F291" i="60"/>
  <c r="F292" i="60"/>
  <c r="F293" i="60"/>
  <c r="F294" i="60"/>
  <c r="F295" i="60"/>
  <c r="F296" i="60"/>
  <c r="F297" i="60"/>
  <c r="F298" i="60"/>
  <c r="F299" i="60"/>
  <c r="F300" i="60"/>
  <c r="F301" i="60"/>
  <c r="F302" i="60"/>
  <c r="F303" i="60"/>
  <c r="F304" i="60"/>
  <c r="F305" i="60"/>
  <c r="F306" i="60"/>
  <c r="F307" i="60"/>
  <c r="F308" i="60"/>
  <c r="F309" i="60"/>
  <c r="F310" i="60"/>
  <c r="F311" i="60"/>
  <c r="F312" i="60"/>
  <c r="F313" i="60"/>
  <c r="F314" i="60"/>
  <c r="F315" i="60"/>
  <c r="F316" i="60"/>
  <c r="F317" i="60"/>
  <c r="F318" i="60"/>
  <c r="D118" i="60"/>
  <c r="B20" i="2"/>
  <c r="D119" i="60"/>
  <c r="B21" i="2"/>
  <c r="D120" i="60"/>
  <c r="B22" i="2"/>
  <c r="D121" i="60"/>
  <c r="B23" i="2"/>
  <c r="D122" i="60"/>
  <c r="B24" i="2"/>
  <c r="D123" i="60"/>
  <c r="B25" i="2"/>
  <c r="D124" i="60"/>
  <c r="B26" i="2"/>
  <c r="D125" i="60"/>
  <c r="B27" i="2"/>
  <c r="D126" i="60"/>
  <c r="B28" i="2"/>
  <c r="D127" i="60"/>
  <c r="B29" i="2"/>
  <c r="D128" i="60"/>
  <c r="B30" i="2"/>
  <c r="D129" i="60"/>
  <c r="B31" i="2"/>
  <c r="D130" i="60"/>
  <c r="B32" i="2"/>
  <c r="D131" i="60"/>
  <c r="B33" i="2"/>
  <c r="D132" i="60"/>
  <c r="B34" i="2"/>
  <c r="D133" i="60"/>
  <c r="B35" i="2"/>
  <c r="D134" i="60"/>
  <c r="B36" i="2"/>
  <c r="D135" i="60"/>
  <c r="B37" i="2"/>
  <c r="D136" i="60"/>
  <c r="B38" i="2"/>
  <c r="D137" i="60"/>
  <c r="B39" i="2"/>
  <c r="D138" i="60"/>
  <c r="B40" i="2"/>
  <c r="D139" i="60"/>
  <c r="B41" i="2"/>
  <c r="D140" i="60"/>
  <c r="B42" i="2"/>
  <c r="D141" i="60"/>
  <c r="B43" i="2"/>
  <c r="D142" i="60"/>
  <c r="B44" i="2"/>
  <c r="D143" i="60"/>
  <c r="B45" i="2"/>
  <c r="D144" i="60"/>
  <c r="B46" i="2"/>
  <c r="D145" i="60"/>
  <c r="B47" i="2"/>
  <c r="D146" i="60"/>
  <c r="B48" i="2"/>
  <c r="D147" i="60"/>
  <c r="B49" i="2"/>
  <c r="D148" i="60"/>
  <c r="B50" i="2"/>
  <c r="D149" i="60"/>
  <c r="B51" i="2"/>
  <c r="D150" i="60"/>
  <c r="B52" i="2"/>
  <c r="D151" i="60"/>
  <c r="B53" i="2"/>
  <c r="D152" i="60"/>
  <c r="B54" i="2"/>
  <c r="D153" i="60"/>
  <c r="B55" i="2"/>
  <c r="D154" i="60"/>
  <c r="B56" i="2"/>
  <c r="D155" i="60"/>
  <c r="B57" i="2"/>
  <c r="D156" i="60"/>
  <c r="B58" i="2"/>
  <c r="D157" i="60"/>
  <c r="B59" i="2"/>
  <c r="D158" i="60"/>
  <c r="B60" i="2"/>
  <c r="D159" i="60"/>
  <c r="B61" i="2"/>
  <c r="D160" i="60"/>
  <c r="B62" i="2"/>
  <c r="D161" i="60"/>
  <c r="B63" i="2"/>
  <c r="D162" i="60"/>
  <c r="B64" i="2"/>
  <c r="D163" i="60"/>
  <c r="B65" i="2"/>
  <c r="D164" i="60"/>
  <c r="B66" i="2"/>
  <c r="D165" i="60"/>
  <c r="B67" i="2"/>
  <c r="D166" i="60"/>
  <c r="B68" i="2"/>
  <c r="D167" i="60"/>
  <c r="B69" i="2"/>
  <c r="D168" i="60"/>
  <c r="B70" i="2"/>
  <c r="D169" i="60"/>
  <c r="B71" i="2"/>
  <c r="D170" i="60"/>
  <c r="B72" i="2"/>
  <c r="D171" i="60"/>
  <c r="B73" i="2"/>
  <c r="D172" i="60"/>
  <c r="B74" i="2"/>
  <c r="D173" i="60"/>
  <c r="B75" i="2"/>
  <c r="D174" i="60"/>
  <c r="B76" i="2"/>
  <c r="D175" i="60"/>
  <c r="B77" i="2"/>
  <c r="D176" i="60"/>
  <c r="B78" i="2"/>
  <c r="D177" i="60"/>
  <c r="B79" i="2"/>
  <c r="D178" i="60"/>
  <c r="B80" i="2"/>
  <c r="D179" i="60"/>
  <c r="B81" i="2"/>
  <c r="D180" i="60"/>
  <c r="B82" i="2"/>
  <c r="D181" i="60"/>
  <c r="B83" i="2"/>
  <c r="D182" i="60"/>
  <c r="B84" i="2"/>
  <c r="D183" i="60"/>
  <c r="B85" i="2"/>
  <c r="D184" i="60"/>
  <c r="B86" i="2"/>
  <c r="D185" i="60"/>
  <c r="B87" i="2"/>
  <c r="D186" i="60"/>
  <c r="B88" i="2"/>
  <c r="D187" i="60"/>
  <c r="B89" i="2"/>
  <c r="D188" i="60"/>
  <c r="B90" i="2"/>
  <c r="D189" i="60"/>
  <c r="B91" i="2"/>
  <c r="D190" i="60"/>
  <c r="B92" i="2"/>
  <c r="D191" i="60"/>
  <c r="B93" i="2"/>
  <c r="D192" i="60"/>
  <c r="B94" i="2"/>
  <c r="D193" i="60"/>
  <c r="B95" i="2"/>
  <c r="D194" i="60"/>
  <c r="B96" i="2"/>
  <c r="D195" i="60"/>
  <c r="B97" i="2"/>
  <c r="D196" i="60"/>
  <c r="B98" i="2"/>
  <c r="D197" i="60"/>
  <c r="B99" i="2"/>
  <c r="D198" i="60"/>
  <c r="B100" i="2"/>
  <c r="D199" i="60"/>
  <c r="B101" i="2"/>
  <c r="D200" i="60"/>
  <c r="B102" i="2"/>
  <c r="D201" i="60"/>
  <c r="B103" i="2"/>
  <c r="D202" i="60"/>
  <c r="B104" i="2"/>
  <c r="D203" i="60"/>
  <c r="B105" i="2"/>
  <c r="D204" i="60"/>
  <c r="B106" i="2"/>
  <c r="D205" i="60"/>
  <c r="B107" i="2"/>
  <c r="D206" i="60"/>
  <c r="B108" i="2"/>
  <c r="D207" i="60"/>
  <c r="B109" i="2"/>
  <c r="D208" i="60"/>
  <c r="B110" i="2"/>
  <c r="D209" i="60"/>
  <c r="B111" i="2"/>
  <c r="D210" i="60"/>
  <c r="B112" i="2"/>
  <c r="D211" i="60"/>
  <c r="B113" i="2"/>
  <c r="D212" i="60"/>
  <c r="B114" i="2"/>
  <c r="D213" i="60"/>
  <c r="B115" i="2"/>
  <c r="D214" i="60"/>
  <c r="B116" i="2"/>
  <c r="D215" i="60"/>
  <c r="B117" i="2"/>
  <c r="D216" i="60"/>
  <c r="B118" i="2"/>
  <c r="D217" i="60"/>
  <c r="B119" i="2"/>
  <c r="D218" i="60"/>
  <c r="B120" i="2"/>
  <c r="D219" i="60"/>
  <c r="B121" i="2"/>
  <c r="D220" i="60"/>
  <c r="B122" i="2"/>
  <c r="D221" i="60"/>
  <c r="B123" i="2"/>
  <c r="D222" i="60"/>
  <c r="B124" i="2"/>
  <c r="D223" i="60"/>
  <c r="B125" i="2"/>
  <c r="D224" i="60"/>
  <c r="B126" i="2"/>
  <c r="D225" i="60"/>
  <c r="B127" i="2"/>
  <c r="D226" i="60"/>
  <c r="B128" i="2"/>
  <c r="D227" i="60"/>
  <c r="B129" i="2"/>
  <c r="D228" i="60"/>
  <c r="B130" i="2"/>
  <c r="D229" i="60"/>
  <c r="B131" i="2"/>
  <c r="D230" i="60"/>
  <c r="B132" i="2"/>
  <c r="D231" i="60"/>
  <c r="B133" i="2"/>
  <c r="D232" i="60"/>
  <c r="B134" i="2"/>
  <c r="D233" i="60"/>
  <c r="B135" i="2"/>
  <c r="D234" i="60"/>
  <c r="B136" i="2"/>
  <c r="D235" i="60"/>
  <c r="B137" i="2"/>
  <c r="D236" i="60"/>
  <c r="B138" i="2"/>
  <c r="D237" i="60"/>
  <c r="B139" i="2"/>
  <c r="D238" i="60"/>
  <c r="L20" i="2"/>
  <c r="H119" i="60"/>
  <c r="L21" i="2"/>
  <c r="H120" i="60"/>
  <c r="L22" i="2"/>
  <c r="H121" i="60"/>
  <c r="L23" i="2"/>
  <c r="H122" i="60"/>
  <c r="L24" i="2"/>
  <c r="H123" i="60"/>
  <c r="L25" i="2"/>
  <c r="H124" i="60"/>
  <c r="L26" i="2"/>
  <c r="H125" i="60"/>
  <c r="L27" i="2"/>
  <c r="H126" i="60"/>
  <c r="L28" i="2"/>
  <c r="H127" i="60"/>
  <c r="L29" i="2"/>
  <c r="H128" i="60"/>
  <c r="L30" i="2"/>
  <c r="H129" i="60"/>
  <c r="L31" i="2"/>
  <c r="H130" i="60"/>
  <c r="L32" i="2"/>
  <c r="H131" i="60"/>
  <c r="L33" i="2"/>
  <c r="H132" i="60"/>
  <c r="L34" i="2"/>
  <c r="H133" i="60"/>
  <c r="L35" i="2"/>
  <c r="H134" i="60"/>
  <c r="L36" i="2"/>
  <c r="H135" i="60"/>
  <c r="L37" i="2"/>
  <c r="H136" i="60"/>
  <c r="L38" i="2"/>
  <c r="H137" i="60"/>
  <c r="L39" i="2"/>
  <c r="H138" i="60"/>
  <c r="L40" i="2"/>
  <c r="H139" i="60"/>
  <c r="L41" i="2"/>
  <c r="H140" i="60"/>
  <c r="L42" i="2"/>
  <c r="H141" i="60"/>
  <c r="L43" i="2"/>
  <c r="H142" i="60"/>
  <c r="L44" i="2"/>
  <c r="H143" i="60"/>
  <c r="L45" i="2"/>
  <c r="H144" i="60"/>
  <c r="L46" i="2"/>
  <c r="H145" i="60"/>
  <c r="L47" i="2"/>
  <c r="H146" i="60"/>
  <c r="L48" i="2"/>
  <c r="H147" i="60"/>
  <c r="L49" i="2"/>
  <c r="H148" i="60"/>
  <c r="L50" i="2"/>
  <c r="H149" i="60"/>
  <c r="L51" i="2"/>
  <c r="H150" i="60"/>
  <c r="L52" i="2"/>
  <c r="H151" i="60"/>
  <c r="L53" i="2"/>
  <c r="H152" i="60"/>
  <c r="L54" i="2"/>
  <c r="H153" i="60"/>
  <c r="L55" i="2"/>
  <c r="H154" i="60"/>
  <c r="L56" i="2"/>
  <c r="H155" i="60"/>
  <c r="L57" i="2"/>
  <c r="H156" i="60"/>
  <c r="L58" i="2"/>
  <c r="H157" i="60"/>
  <c r="L59" i="2"/>
  <c r="H158" i="60"/>
  <c r="L60" i="2"/>
  <c r="H159" i="60"/>
  <c r="L61" i="2"/>
  <c r="H160" i="60"/>
  <c r="L62" i="2"/>
  <c r="H161" i="60"/>
  <c r="L63" i="2"/>
  <c r="H162" i="60"/>
  <c r="L64" i="2"/>
  <c r="H163" i="60"/>
  <c r="L65" i="2"/>
  <c r="H164" i="60"/>
  <c r="L66" i="2"/>
  <c r="H165" i="60"/>
  <c r="L67" i="2"/>
  <c r="H166" i="60"/>
  <c r="L68" i="2"/>
  <c r="H167" i="60"/>
  <c r="L69" i="2"/>
  <c r="H168" i="60"/>
  <c r="L70" i="2"/>
  <c r="H169" i="60"/>
  <c r="L71" i="2"/>
  <c r="H170" i="60"/>
  <c r="L72" i="2"/>
  <c r="H171" i="60"/>
  <c r="L73" i="2"/>
  <c r="H172" i="60"/>
  <c r="L74" i="2"/>
  <c r="H173" i="60"/>
  <c r="L75" i="2"/>
  <c r="H174" i="60"/>
  <c r="L76" i="2"/>
  <c r="H175" i="60"/>
  <c r="L77" i="2"/>
  <c r="H176" i="60"/>
  <c r="L78" i="2"/>
  <c r="H177" i="60"/>
  <c r="L79" i="2"/>
  <c r="H178" i="60"/>
  <c r="L80" i="2"/>
  <c r="H179" i="60"/>
  <c r="L81" i="2"/>
  <c r="H180" i="60"/>
  <c r="L82" i="2"/>
  <c r="H181" i="60"/>
  <c r="L83" i="2"/>
  <c r="H182" i="60"/>
  <c r="L84" i="2"/>
  <c r="H183" i="60"/>
  <c r="L85" i="2"/>
  <c r="H184" i="60"/>
  <c r="L86" i="2"/>
  <c r="H185" i="60"/>
  <c r="L87" i="2"/>
  <c r="H186" i="60"/>
  <c r="L88" i="2"/>
  <c r="H187" i="60"/>
  <c r="L89" i="2"/>
  <c r="H188" i="60"/>
  <c r="L90" i="2"/>
  <c r="H189" i="60"/>
  <c r="L91" i="2"/>
  <c r="H190" i="60"/>
  <c r="L92" i="2"/>
  <c r="H191" i="60"/>
  <c r="L93" i="2"/>
  <c r="H192" i="60"/>
  <c r="L94" i="2"/>
  <c r="H193" i="60"/>
  <c r="L95" i="2"/>
  <c r="H194" i="60"/>
  <c r="L96" i="2"/>
  <c r="H195" i="60"/>
  <c r="L97" i="2"/>
  <c r="H196" i="60"/>
  <c r="L98" i="2"/>
  <c r="H197" i="60"/>
  <c r="L99" i="2"/>
  <c r="H198" i="60"/>
  <c r="L100" i="2"/>
  <c r="H199" i="60"/>
  <c r="L101" i="2"/>
  <c r="H200" i="60"/>
  <c r="L102" i="2"/>
  <c r="H201" i="60"/>
  <c r="L103" i="2"/>
  <c r="H202" i="60"/>
  <c r="L104" i="2"/>
  <c r="H203" i="60"/>
  <c r="L105" i="2"/>
  <c r="H204" i="60"/>
  <c r="L106" i="2"/>
  <c r="H205" i="60"/>
  <c r="L107" i="2"/>
  <c r="H206" i="60"/>
  <c r="L108" i="2"/>
  <c r="H207" i="60"/>
  <c r="L109" i="2"/>
  <c r="H208" i="60"/>
  <c r="L110" i="2"/>
  <c r="H209" i="60"/>
  <c r="L111" i="2"/>
  <c r="H210" i="60"/>
  <c r="L112" i="2"/>
  <c r="H211" i="60"/>
  <c r="L113" i="2"/>
  <c r="H212" i="60"/>
  <c r="L114" i="2"/>
  <c r="H213" i="60"/>
  <c r="L115" i="2"/>
  <c r="H214" i="60"/>
  <c r="L116" i="2"/>
  <c r="H215" i="60"/>
  <c r="L117" i="2"/>
  <c r="H216" i="60"/>
  <c r="L118" i="2"/>
  <c r="H217" i="60"/>
  <c r="L119" i="2"/>
  <c r="H218" i="60"/>
  <c r="L120" i="2"/>
  <c r="H219" i="60"/>
  <c r="L121" i="2"/>
  <c r="H220" i="60"/>
  <c r="L122" i="2"/>
  <c r="H221" i="60"/>
  <c r="L123" i="2"/>
  <c r="H222" i="60"/>
  <c r="L124" i="2"/>
  <c r="H223" i="60"/>
  <c r="L125" i="2"/>
  <c r="H224" i="60"/>
  <c r="L126" i="2"/>
  <c r="H225" i="60"/>
  <c r="L127" i="2"/>
  <c r="H226" i="60"/>
  <c r="L128" i="2"/>
  <c r="H227" i="60"/>
  <c r="L129" i="2"/>
  <c r="H228" i="60"/>
  <c r="L130" i="2"/>
  <c r="H229" i="60"/>
  <c r="L131" i="2"/>
  <c r="H230" i="60"/>
  <c r="L132" i="2"/>
  <c r="H231" i="60"/>
  <c r="L133" i="2"/>
  <c r="H232" i="60"/>
  <c r="L134" i="2"/>
  <c r="H233" i="60"/>
  <c r="L135" i="2"/>
  <c r="H234" i="60"/>
  <c r="L136" i="2"/>
  <c r="H235" i="60"/>
  <c r="L137" i="2"/>
  <c r="H236" i="60"/>
  <c r="L138" i="2"/>
  <c r="H237" i="60"/>
  <c r="L139" i="2"/>
  <c r="H238" i="60"/>
  <c r="G247" i="60"/>
  <c r="A148" i="2"/>
  <c r="C148" i="2"/>
  <c r="L148" i="2"/>
  <c r="H247" i="60"/>
  <c r="K247" i="60"/>
  <c r="G248" i="60"/>
  <c r="A149" i="2"/>
  <c r="C149" i="2"/>
  <c r="L149" i="2"/>
  <c r="H248" i="60"/>
  <c r="K248" i="60"/>
  <c r="G249" i="60"/>
  <c r="A150" i="2"/>
  <c r="C150" i="2"/>
  <c r="L150" i="2"/>
  <c r="H249" i="60"/>
  <c r="K249" i="60"/>
  <c r="G250" i="60"/>
  <c r="A151" i="2"/>
  <c r="C151" i="2"/>
  <c r="L151" i="2"/>
  <c r="H250" i="60"/>
  <c r="K250" i="60"/>
  <c r="G251" i="60"/>
  <c r="A152" i="2"/>
  <c r="C152" i="2"/>
  <c r="L152" i="2"/>
  <c r="H251" i="60"/>
  <c r="K251" i="60"/>
  <c r="G252" i="60"/>
  <c r="A153" i="2"/>
  <c r="C153" i="2"/>
  <c r="L153" i="2"/>
  <c r="H252" i="60"/>
  <c r="K252" i="60"/>
  <c r="G253" i="60"/>
  <c r="A154" i="2"/>
  <c r="C154" i="2"/>
  <c r="L154" i="2"/>
  <c r="H253" i="60"/>
  <c r="K253" i="60"/>
  <c r="G254" i="60"/>
  <c r="A155" i="2"/>
  <c r="C155" i="2"/>
  <c r="L155" i="2"/>
  <c r="H254" i="60"/>
  <c r="K254" i="60"/>
  <c r="G255" i="60"/>
  <c r="A156" i="2"/>
  <c r="C156" i="2"/>
  <c r="L156" i="2"/>
  <c r="H255" i="60"/>
  <c r="K255" i="60"/>
  <c r="G256" i="60"/>
  <c r="A157" i="2"/>
  <c r="C157" i="2"/>
  <c r="L157" i="2"/>
  <c r="H256" i="60"/>
  <c r="K256" i="60"/>
  <c r="G257" i="60"/>
  <c r="A158" i="2"/>
  <c r="C158" i="2"/>
  <c r="L158" i="2"/>
  <c r="H257" i="60"/>
  <c r="K257" i="60"/>
  <c r="G258" i="60"/>
  <c r="A159" i="2"/>
  <c r="C159" i="2"/>
  <c r="L159" i="2"/>
  <c r="H258" i="60"/>
  <c r="K258" i="60"/>
  <c r="G259" i="60"/>
  <c r="A160" i="2"/>
  <c r="C160" i="2"/>
  <c r="L160" i="2"/>
  <c r="H259" i="60"/>
  <c r="K259" i="60"/>
  <c r="G260" i="60"/>
  <c r="A161" i="2"/>
  <c r="C161" i="2"/>
  <c r="L161" i="2"/>
  <c r="H260" i="60"/>
  <c r="K260" i="60"/>
  <c r="G261" i="60"/>
  <c r="A162" i="2"/>
  <c r="C162" i="2"/>
  <c r="L162" i="2"/>
  <c r="H261" i="60"/>
  <c r="K261" i="60"/>
  <c r="G262" i="60"/>
  <c r="A163" i="2"/>
  <c r="C163" i="2"/>
  <c r="L163" i="2"/>
  <c r="H262" i="60"/>
  <c r="K262" i="60"/>
  <c r="G263" i="60"/>
  <c r="A164" i="2"/>
  <c r="C164" i="2"/>
  <c r="L164" i="2"/>
  <c r="H263" i="60"/>
  <c r="K263" i="60"/>
  <c r="G264" i="60"/>
  <c r="A165" i="2"/>
  <c r="C165" i="2"/>
  <c r="L165" i="2"/>
  <c r="H264" i="60"/>
  <c r="K264" i="60"/>
  <c r="G265" i="60"/>
  <c r="A166" i="2"/>
  <c r="C166" i="2"/>
  <c r="L166" i="2"/>
  <c r="H265" i="60"/>
  <c r="K265" i="60"/>
  <c r="G266" i="60"/>
  <c r="A167" i="2"/>
  <c r="C167" i="2"/>
  <c r="L167" i="2"/>
  <c r="H266" i="60"/>
  <c r="K266" i="60"/>
  <c r="G267" i="60"/>
  <c r="A168" i="2"/>
  <c r="C168" i="2"/>
  <c r="L168" i="2"/>
  <c r="H267" i="60"/>
  <c r="K267" i="60"/>
  <c r="G268" i="60"/>
  <c r="A169" i="2"/>
  <c r="C169" i="2"/>
  <c r="L169" i="2"/>
  <c r="H268" i="60"/>
  <c r="K268" i="60"/>
  <c r="G269" i="60"/>
  <c r="A170" i="2"/>
  <c r="C170" i="2"/>
  <c r="L170" i="2"/>
  <c r="H269" i="60"/>
  <c r="K269" i="60"/>
  <c r="G270" i="60"/>
  <c r="A171" i="2"/>
  <c r="C171" i="2"/>
  <c r="L171" i="2"/>
  <c r="H270" i="60"/>
  <c r="K270" i="60"/>
  <c r="G271" i="60"/>
  <c r="A172" i="2"/>
  <c r="C172" i="2"/>
  <c r="L172" i="2"/>
  <c r="H271" i="60"/>
  <c r="K271" i="60"/>
  <c r="G272" i="60"/>
  <c r="A173" i="2"/>
  <c r="C173" i="2"/>
  <c r="L173" i="2"/>
  <c r="H272" i="60"/>
  <c r="K272" i="60"/>
  <c r="G273" i="60"/>
  <c r="A174" i="2"/>
  <c r="C174" i="2"/>
  <c r="L174" i="2"/>
  <c r="H273" i="60"/>
  <c r="K273" i="60"/>
  <c r="G274" i="60"/>
  <c r="A175" i="2"/>
  <c r="C175" i="2"/>
  <c r="L175" i="2"/>
  <c r="H274" i="60"/>
  <c r="K274" i="60"/>
  <c r="G275" i="60"/>
  <c r="A176" i="2"/>
  <c r="C176" i="2"/>
  <c r="L176" i="2"/>
  <c r="H275" i="60"/>
  <c r="K275" i="60"/>
  <c r="G276" i="60"/>
  <c r="A177" i="2"/>
  <c r="C177" i="2"/>
  <c r="L177" i="2"/>
  <c r="H276" i="60"/>
  <c r="K276" i="60"/>
  <c r="G277" i="60"/>
  <c r="A178" i="2"/>
  <c r="C178" i="2"/>
  <c r="L178" i="2"/>
  <c r="H277" i="60"/>
  <c r="K277" i="60"/>
  <c r="G278" i="60"/>
  <c r="A179" i="2"/>
  <c r="C179" i="2"/>
  <c r="L179" i="2"/>
  <c r="H278" i="60"/>
  <c r="K278" i="60"/>
  <c r="G279" i="60"/>
  <c r="H279" i="60"/>
  <c r="K279" i="60"/>
  <c r="G280" i="60"/>
  <c r="H280" i="60"/>
  <c r="K280" i="60"/>
  <c r="G281" i="60"/>
  <c r="H281" i="60"/>
  <c r="K281" i="60"/>
  <c r="G282" i="60"/>
  <c r="H282" i="60"/>
  <c r="K282" i="60"/>
  <c r="G283" i="60"/>
  <c r="H283" i="60"/>
  <c r="K283" i="60"/>
  <c r="G284" i="60"/>
  <c r="H284" i="60"/>
  <c r="K284" i="60"/>
  <c r="G285" i="60"/>
  <c r="H285" i="60"/>
  <c r="K285" i="60"/>
  <c r="G286" i="60"/>
  <c r="H286" i="60"/>
  <c r="K286" i="60"/>
  <c r="G287" i="60"/>
  <c r="H287" i="60"/>
  <c r="K287" i="60"/>
  <c r="G288" i="60"/>
  <c r="H288" i="60"/>
  <c r="K288" i="60"/>
  <c r="G289" i="60"/>
  <c r="H289" i="60"/>
  <c r="K289" i="60"/>
  <c r="G290" i="60"/>
  <c r="H290" i="60"/>
  <c r="K290" i="60"/>
  <c r="G291" i="60"/>
  <c r="H291" i="60"/>
  <c r="K291" i="60"/>
  <c r="G292" i="60"/>
  <c r="H292" i="60"/>
  <c r="K292" i="60"/>
  <c r="G293" i="60"/>
  <c r="H293" i="60"/>
  <c r="K293" i="60"/>
  <c r="G294" i="60"/>
  <c r="H294" i="60"/>
  <c r="K294" i="60"/>
  <c r="G295" i="60"/>
  <c r="H295" i="60"/>
  <c r="K295" i="60"/>
  <c r="G296" i="60"/>
  <c r="H296" i="60"/>
  <c r="K296" i="60"/>
  <c r="G297" i="60"/>
  <c r="H297" i="60"/>
  <c r="K297" i="60"/>
  <c r="G298" i="60"/>
  <c r="H298" i="60"/>
  <c r="K298" i="60"/>
  <c r="G299" i="60"/>
  <c r="H299" i="60"/>
  <c r="K299" i="60"/>
  <c r="G300" i="60"/>
  <c r="H300" i="60"/>
  <c r="K300" i="60"/>
  <c r="G301" i="60"/>
  <c r="H301" i="60"/>
  <c r="K301" i="60"/>
  <c r="G302" i="60"/>
  <c r="H302" i="60"/>
  <c r="K302" i="60"/>
  <c r="G303" i="60"/>
  <c r="H303" i="60"/>
  <c r="K303" i="60"/>
  <c r="G304" i="60"/>
  <c r="H304" i="60"/>
  <c r="K304" i="60"/>
  <c r="G305" i="60"/>
  <c r="H305" i="60"/>
  <c r="K305" i="60"/>
  <c r="G306" i="60"/>
  <c r="H306" i="60"/>
  <c r="K306" i="60"/>
  <c r="G307" i="60"/>
  <c r="H307" i="60"/>
  <c r="K307" i="60"/>
  <c r="G308" i="60"/>
  <c r="H308" i="60"/>
  <c r="K308" i="60"/>
  <c r="G309" i="60"/>
  <c r="H309" i="60"/>
  <c r="K309" i="60"/>
  <c r="G310" i="60"/>
  <c r="H310" i="60"/>
  <c r="K310" i="60"/>
  <c r="G311" i="60"/>
  <c r="H311" i="60"/>
  <c r="K311" i="60"/>
  <c r="G312" i="60"/>
  <c r="H312" i="60"/>
  <c r="K312" i="60"/>
  <c r="G313" i="60"/>
  <c r="H313" i="60"/>
  <c r="K313" i="60"/>
  <c r="G314" i="60"/>
  <c r="H314" i="60"/>
  <c r="K314" i="60"/>
  <c r="G315" i="60"/>
  <c r="H315" i="60"/>
  <c r="K315" i="60"/>
  <c r="G316" i="60"/>
  <c r="H316" i="60"/>
  <c r="K316" i="60"/>
  <c r="G317" i="60"/>
  <c r="H317" i="60"/>
  <c r="K317" i="60"/>
  <c r="G318" i="60"/>
  <c r="H318" i="60"/>
  <c r="K318" i="60"/>
  <c r="C78" i="60"/>
  <c r="C79" i="60"/>
  <c r="C80" i="60"/>
  <c r="C81" i="60"/>
  <c r="C82" i="60"/>
  <c r="C83" i="60"/>
  <c r="C84" i="60"/>
  <c r="C85" i="60"/>
  <c r="C86" i="60"/>
  <c r="C87" i="60"/>
  <c r="C88" i="60"/>
  <c r="C89" i="60"/>
  <c r="C90" i="60"/>
  <c r="C91" i="60"/>
  <c r="C92" i="60"/>
  <c r="C93" i="60"/>
  <c r="C94" i="60"/>
  <c r="C95" i="60"/>
  <c r="C96" i="60"/>
  <c r="C97" i="60"/>
  <c r="C98" i="60"/>
  <c r="C99" i="60"/>
  <c r="C100" i="60"/>
  <c r="C101" i="60"/>
  <c r="C102" i="60"/>
  <c r="C103" i="60"/>
  <c r="C104" i="60"/>
  <c r="C105" i="60"/>
  <c r="C106" i="60"/>
  <c r="C107" i="60"/>
  <c r="C108" i="60"/>
  <c r="C109" i="60"/>
  <c r="C110" i="60"/>
  <c r="C111" i="60"/>
  <c r="C112" i="60"/>
  <c r="C113" i="60"/>
  <c r="C114" i="60"/>
  <c r="C115" i="60"/>
  <c r="C116" i="60"/>
  <c r="C117" i="60"/>
  <c r="I118" i="60"/>
  <c r="J118" i="60"/>
  <c r="I119" i="60"/>
  <c r="J119" i="60"/>
  <c r="I120" i="60"/>
  <c r="J120" i="60"/>
  <c r="I121" i="60"/>
  <c r="J121" i="60"/>
  <c r="I122" i="60"/>
  <c r="J122" i="60"/>
  <c r="I123" i="60"/>
  <c r="J123" i="60"/>
  <c r="I124" i="60"/>
  <c r="J124" i="60"/>
  <c r="I125" i="60"/>
  <c r="J125" i="60"/>
  <c r="I126" i="60"/>
  <c r="J126" i="60"/>
  <c r="I127" i="60"/>
  <c r="J127" i="60"/>
  <c r="I128" i="60"/>
  <c r="J128" i="60"/>
  <c r="I129" i="60"/>
  <c r="J129" i="60"/>
  <c r="I130" i="60"/>
  <c r="J130" i="60"/>
  <c r="I131" i="60"/>
  <c r="J131" i="60"/>
  <c r="I132" i="60"/>
  <c r="J132" i="60"/>
  <c r="I133" i="60"/>
  <c r="J133" i="60"/>
  <c r="I134" i="60"/>
  <c r="J134" i="60"/>
  <c r="I135" i="60"/>
  <c r="J135" i="60"/>
  <c r="I136" i="60"/>
  <c r="J136" i="60"/>
  <c r="I137" i="60"/>
  <c r="J137" i="60"/>
  <c r="I138" i="60"/>
  <c r="J138" i="60"/>
  <c r="I139" i="60"/>
  <c r="J139" i="60"/>
  <c r="I140" i="60"/>
  <c r="J140" i="60"/>
  <c r="I141" i="60"/>
  <c r="J141" i="60"/>
  <c r="I142" i="60"/>
  <c r="J142" i="60"/>
  <c r="I143" i="60"/>
  <c r="J143" i="60"/>
  <c r="I144" i="60"/>
  <c r="J144" i="60"/>
  <c r="I145" i="60"/>
  <c r="J145" i="60"/>
  <c r="I146" i="60"/>
  <c r="J146" i="60"/>
  <c r="I147" i="60"/>
  <c r="J147" i="60"/>
  <c r="I148" i="60"/>
  <c r="J148" i="60"/>
  <c r="I149" i="60"/>
  <c r="J149" i="60"/>
  <c r="I150" i="60"/>
  <c r="J150" i="60"/>
  <c r="I151" i="60"/>
  <c r="J151" i="60"/>
  <c r="I152" i="60"/>
  <c r="J152" i="60"/>
  <c r="I153" i="60"/>
  <c r="J153" i="60"/>
  <c r="I154" i="60"/>
  <c r="J154" i="60"/>
  <c r="I155" i="60"/>
  <c r="J155" i="60"/>
  <c r="I156" i="60"/>
  <c r="J156" i="60"/>
  <c r="I157" i="60"/>
  <c r="J157" i="60"/>
  <c r="I158" i="60"/>
  <c r="J158" i="60"/>
  <c r="E159" i="60"/>
  <c r="I159" i="60"/>
  <c r="J159" i="60"/>
  <c r="E160" i="60"/>
  <c r="I160" i="60"/>
  <c r="J160" i="60"/>
  <c r="E161" i="60"/>
  <c r="I161" i="60"/>
  <c r="J161" i="60"/>
  <c r="E162" i="60"/>
  <c r="I162" i="60"/>
  <c r="J162" i="60"/>
  <c r="E163" i="60"/>
  <c r="I163" i="60"/>
  <c r="J163" i="60"/>
  <c r="E164" i="60"/>
  <c r="I164" i="60"/>
  <c r="J164" i="60"/>
  <c r="E165" i="60"/>
  <c r="I165" i="60"/>
  <c r="J165" i="60"/>
  <c r="E166" i="60"/>
  <c r="I166" i="60"/>
  <c r="J166" i="60"/>
  <c r="E167" i="60"/>
  <c r="I167" i="60"/>
  <c r="J167" i="60"/>
  <c r="E168" i="60"/>
  <c r="I168" i="60"/>
  <c r="J168" i="60"/>
  <c r="E169" i="60"/>
  <c r="I169" i="60"/>
  <c r="J169" i="60"/>
  <c r="E170" i="60"/>
  <c r="I170" i="60"/>
  <c r="J170" i="60"/>
  <c r="E171" i="60"/>
  <c r="I171" i="60"/>
  <c r="J171" i="60"/>
  <c r="E172" i="60"/>
  <c r="I172" i="60"/>
  <c r="J172" i="60"/>
  <c r="E173" i="60"/>
  <c r="I173" i="60"/>
  <c r="J173" i="60"/>
  <c r="E174" i="60"/>
  <c r="I174" i="60"/>
  <c r="J174" i="60"/>
  <c r="E175" i="60"/>
  <c r="I175" i="60"/>
  <c r="J175" i="60"/>
  <c r="E176" i="60"/>
  <c r="I176" i="60"/>
  <c r="J176" i="60"/>
  <c r="E177" i="60"/>
  <c r="I177" i="60"/>
  <c r="J177" i="60"/>
  <c r="E178" i="60"/>
  <c r="I178" i="60"/>
  <c r="J178" i="60"/>
  <c r="E179" i="60"/>
  <c r="I179" i="60"/>
  <c r="J179" i="60"/>
  <c r="E180" i="60"/>
  <c r="I180" i="60"/>
  <c r="J180" i="60"/>
  <c r="E181" i="60"/>
  <c r="I181" i="60"/>
  <c r="J181" i="60"/>
  <c r="E182" i="60"/>
  <c r="I182" i="60"/>
  <c r="J182" i="60"/>
  <c r="E183" i="60"/>
  <c r="I183" i="60"/>
  <c r="J183" i="60"/>
  <c r="E184" i="60"/>
  <c r="I184" i="60"/>
  <c r="J184" i="60"/>
  <c r="E185" i="60"/>
  <c r="I185" i="60"/>
  <c r="J185" i="60"/>
  <c r="E186" i="60"/>
  <c r="I186" i="60"/>
  <c r="J186" i="60"/>
  <c r="E187" i="60"/>
  <c r="I187" i="60"/>
  <c r="J187" i="60"/>
  <c r="E188" i="60"/>
  <c r="I188" i="60"/>
  <c r="J188" i="60"/>
  <c r="E189" i="60"/>
  <c r="I189" i="60"/>
  <c r="J189" i="60"/>
  <c r="E190" i="60"/>
  <c r="I190" i="60"/>
  <c r="J190" i="60"/>
  <c r="E191" i="60"/>
  <c r="I191" i="60"/>
  <c r="J191" i="60"/>
  <c r="E192" i="60"/>
  <c r="I192" i="60"/>
  <c r="J192" i="60"/>
  <c r="E193" i="60"/>
  <c r="I193" i="60"/>
  <c r="J193" i="60"/>
  <c r="E194" i="60"/>
  <c r="I194" i="60"/>
  <c r="J194" i="60"/>
  <c r="E195" i="60"/>
  <c r="I195" i="60"/>
  <c r="J195" i="60"/>
  <c r="E196" i="60"/>
  <c r="I196" i="60"/>
  <c r="J196" i="60"/>
  <c r="E197" i="60"/>
  <c r="I197" i="60"/>
  <c r="J197" i="60"/>
  <c r="E198" i="60"/>
  <c r="I198" i="60"/>
  <c r="J198" i="60"/>
  <c r="E199" i="60"/>
  <c r="I199" i="60"/>
  <c r="J199" i="60"/>
  <c r="E200" i="60"/>
  <c r="I200" i="60"/>
  <c r="J200" i="60"/>
  <c r="E201" i="60"/>
  <c r="I201" i="60"/>
  <c r="J201" i="60"/>
  <c r="E202" i="60"/>
  <c r="I202" i="60"/>
  <c r="J202" i="60"/>
  <c r="E203" i="60"/>
  <c r="I203" i="60"/>
  <c r="J203" i="60"/>
  <c r="E204" i="60"/>
  <c r="I204" i="60"/>
  <c r="J204" i="60"/>
  <c r="E205" i="60"/>
  <c r="I205" i="60"/>
  <c r="J205" i="60"/>
  <c r="E206" i="60"/>
  <c r="I206" i="60"/>
  <c r="J206" i="60"/>
  <c r="E207" i="60"/>
  <c r="I207" i="60"/>
  <c r="J207" i="60"/>
  <c r="E208" i="60"/>
  <c r="I208" i="60"/>
  <c r="J208" i="60"/>
  <c r="E209" i="60"/>
  <c r="I209" i="60"/>
  <c r="J209" i="60"/>
  <c r="E210" i="60"/>
  <c r="I210" i="60"/>
  <c r="J210" i="60"/>
  <c r="E211" i="60"/>
  <c r="I211" i="60"/>
  <c r="J211" i="60"/>
  <c r="E212" i="60"/>
  <c r="I212" i="60"/>
  <c r="J212" i="60"/>
  <c r="E213" i="60"/>
  <c r="I213" i="60"/>
  <c r="J213" i="60"/>
  <c r="E214" i="60"/>
  <c r="I214" i="60"/>
  <c r="J214" i="60"/>
  <c r="E215" i="60"/>
  <c r="I215" i="60"/>
  <c r="J215" i="60"/>
  <c r="E216" i="60"/>
  <c r="I216" i="60"/>
  <c r="J216" i="60"/>
  <c r="E217" i="60"/>
  <c r="I217" i="60"/>
  <c r="J217" i="60"/>
  <c r="E218" i="60"/>
  <c r="I218" i="60"/>
  <c r="J218" i="60"/>
  <c r="E219" i="60"/>
  <c r="I219" i="60"/>
  <c r="J219" i="60"/>
  <c r="E220" i="60"/>
  <c r="I220" i="60"/>
  <c r="J220" i="60"/>
  <c r="E221" i="60"/>
  <c r="I221" i="60"/>
  <c r="J221" i="60"/>
  <c r="E222" i="60"/>
  <c r="I222" i="60"/>
  <c r="J222" i="60"/>
  <c r="E223" i="60"/>
  <c r="I223" i="60"/>
  <c r="J223" i="60"/>
  <c r="E224" i="60"/>
  <c r="I224" i="60"/>
  <c r="J224" i="60"/>
  <c r="E225" i="60"/>
  <c r="I225" i="60"/>
  <c r="J225" i="60"/>
  <c r="E226" i="60"/>
  <c r="I226" i="60"/>
  <c r="J226" i="60"/>
  <c r="E227" i="60"/>
  <c r="I227" i="60"/>
  <c r="J227" i="60"/>
  <c r="E228" i="60"/>
  <c r="I228" i="60"/>
  <c r="J228" i="60"/>
  <c r="E229" i="60"/>
  <c r="I229" i="60"/>
  <c r="J229" i="60"/>
  <c r="E230" i="60"/>
  <c r="I230" i="60"/>
  <c r="J230" i="60"/>
  <c r="E231" i="60"/>
  <c r="I231" i="60"/>
  <c r="J231" i="60"/>
  <c r="E232" i="60"/>
  <c r="I232" i="60"/>
  <c r="J232" i="60"/>
  <c r="E233" i="60"/>
  <c r="I233" i="60"/>
  <c r="J233" i="60"/>
  <c r="E234" i="60"/>
  <c r="I234" i="60"/>
  <c r="J234" i="60"/>
  <c r="E235" i="60"/>
  <c r="I235" i="60"/>
  <c r="J235" i="60"/>
  <c r="E236" i="60"/>
  <c r="I236" i="60"/>
  <c r="J236" i="60"/>
  <c r="E237" i="60"/>
  <c r="I237" i="60"/>
  <c r="J237" i="60"/>
  <c r="E238" i="60"/>
  <c r="I238" i="60"/>
  <c r="J238" i="60"/>
  <c r="B247" i="60"/>
  <c r="E247" i="60"/>
  <c r="D148" i="2"/>
  <c r="G148" i="2"/>
  <c r="H148" i="2"/>
  <c r="N148" i="2"/>
  <c r="I247" i="60"/>
  <c r="F148" i="2"/>
  <c r="P148" i="2"/>
  <c r="J247" i="60"/>
  <c r="B248" i="60"/>
  <c r="E248" i="60"/>
  <c r="D149" i="2"/>
  <c r="G149" i="2"/>
  <c r="H149" i="2"/>
  <c r="N149" i="2"/>
  <c r="I248" i="60"/>
  <c r="F149" i="2"/>
  <c r="P149" i="2"/>
  <c r="J248" i="60"/>
  <c r="B249" i="60"/>
  <c r="E249" i="60"/>
  <c r="D150" i="2"/>
  <c r="G150" i="2"/>
  <c r="H150" i="2"/>
  <c r="N150" i="2"/>
  <c r="I249" i="60"/>
  <c r="F150" i="2"/>
  <c r="P150" i="2"/>
  <c r="J249" i="60"/>
  <c r="B250" i="60"/>
  <c r="E250" i="60"/>
  <c r="D151" i="2"/>
  <c r="G151" i="2"/>
  <c r="H151" i="2"/>
  <c r="N151" i="2"/>
  <c r="I250" i="60"/>
  <c r="F151" i="2"/>
  <c r="P151" i="2"/>
  <c r="J250" i="60"/>
  <c r="B251" i="60"/>
  <c r="E251" i="60"/>
  <c r="D152" i="2"/>
  <c r="G152" i="2"/>
  <c r="H152" i="2"/>
  <c r="N152" i="2"/>
  <c r="I251" i="60"/>
  <c r="F152" i="2"/>
  <c r="P152" i="2"/>
  <c r="J251" i="60"/>
  <c r="B252" i="60"/>
  <c r="E252" i="60"/>
  <c r="D153" i="2"/>
  <c r="G153" i="2"/>
  <c r="H153" i="2"/>
  <c r="N153" i="2"/>
  <c r="I252" i="60"/>
  <c r="F153" i="2"/>
  <c r="P153" i="2"/>
  <c r="J252" i="60"/>
  <c r="B253" i="60"/>
  <c r="E253" i="60"/>
  <c r="D154" i="2"/>
  <c r="G154" i="2"/>
  <c r="H154" i="2"/>
  <c r="N154" i="2"/>
  <c r="I253" i="60"/>
  <c r="F154" i="2"/>
  <c r="P154" i="2"/>
  <c r="J253" i="60"/>
  <c r="B254" i="60"/>
  <c r="E254" i="60"/>
  <c r="D155" i="2"/>
  <c r="G155" i="2"/>
  <c r="H155" i="2"/>
  <c r="N155" i="2"/>
  <c r="I254" i="60"/>
  <c r="F155" i="2"/>
  <c r="P155" i="2"/>
  <c r="J254" i="60"/>
  <c r="B255" i="60"/>
  <c r="E255" i="60"/>
  <c r="D156" i="2"/>
  <c r="G156" i="2"/>
  <c r="H156" i="2"/>
  <c r="N156" i="2"/>
  <c r="I255" i="60"/>
  <c r="F156" i="2"/>
  <c r="P156" i="2"/>
  <c r="J255" i="60"/>
  <c r="B256" i="60"/>
  <c r="E256" i="60"/>
  <c r="D157" i="2"/>
  <c r="G157" i="2"/>
  <c r="H157" i="2"/>
  <c r="N157" i="2"/>
  <c r="I256" i="60"/>
  <c r="F157" i="2"/>
  <c r="P157" i="2"/>
  <c r="J256" i="60"/>
  <c r="B257" i="60"/>
  <c r="E257" i="60"/>
  <c r="D158" i="2"/>
  <c r="G158" i="2"/>
  <c r="H158" i="2"/>
  <c r="N158" i="2"/>
  <c r="I257" i="60"/>
  <c r="F158" i="2"/>
  <c r="P158" i="2"/>
  <c r="J257" i="60"/>
  <c r="B258" i="60"/>
  <c r="E258" i="60"/>
  <c r="D159" i="2"/>
  <c r="G159" i="2"/>
  <c r="H159" i="2"/>
  <c r="N159" i="2"/>
  <c r="I258" i="60"/>
  <c r="F159" i="2"/>
  <c r="P159" i="2"/>
  <c r="J258" i="60"/>
  <c r="B259" i="60"/>
  <c r="E259" i="60"/>
  <c r="D160" i="2"/>
  <c r="G160" i="2"/>
  <c r="H160" i="2"/>
  <c r="N160" i="2"/>
  <c r="I259" i="60"/>
  <c r="F160" i="2"/>
  <c r="P160" i="2"/>
  <c r="J259" i="60"/>
  <c r="B260" i="60"/>
  <c r="E260" i="60"/>
  <c r="D161" i="2"/>
  <c r="G161" i="2"/>
  <c r="H161" i="2"/>
  <c r="N161" i="2"/>
  <c r="I260" i="60"/>
  <c r="F161" i="2"/>
  <c r="P161" i="2"/>
  <c r="J260" i="60"/>
  <c r="B261" i="60"/>
  <c r="E261" i="60"/>
  <c r="D162" i="2"/>
  <c r="G162" i="2"/>
  <c r="H162" i="2"/>
  <c r="N162" i="2"/>
  <c r="I261" i="60"/>
  <c r="F162" i="2"/>
  <c r="P162" i="2"/>
  <c r="J261" i="60"/>
  <c r="B262" i="60"/>
  <c r="E262" i="60"/>
  <c r="D163" i="2"/>
  <c r="G163" i="2"/>
  <c r="H163" i="2"/>
  <c r="N163" i="2"/>
  <c r="I262" i="60"/>
  <c r="F163" i="2"/>
  <c r="P163" i="2"/>
  <c r="J262" i="60"/>
  <c r="B263" i="60"/>
  <c r="E263" i="60"/>
  <c r="D164" i="2"/>
  <c r="G164" i="2"/>
  <c r="H164" i="2"/>
  <c r="N164" i="2"/>
  <c r="I263" i="60"/>
  <c r="F164" i="2"/>
  <c r="P164" i="2"/>
  <c r="J263" i="60"/>
  <c r="B264" i="60"/>
  <c r="E264" i="60"/>
  <c r="D165" i="2"/>
  <c r="G165" i="2"/>
  <c r="H165" i="2"/>
  <c r="N165" i="2"/>
  <c r="I264" i="60"/>
  <c r="F165" i="2"/>
  <c r="P165" i="2"/>
  <c r="J264" i="60"/>
  <c r="B265" i="60"/>
  <c r="E265" i="60"/>
  <c r="D166" i="2"/>
  <c r="G166" i="2"/>
  <c r="H166" i="2"/>
  <c r="N166" i="2"/>
  <c r="I265" i="60"/>
  <c r="F166" i="2"/>
  <c r="P166" i="2"/>
  <c r="J265" i="60"/>
  <c r="B266" i="60"/>
  <c r="E266" i="60"/>
  <c r="D167" i="2"/>
  <c r="G167" i="2"/>
  <c r="H167" i="2"/>
  <c r="N167" i="2"/>
  <c r="I266" i="60"/>
  <c r="F167" i="2"/>
  <c r="P167" i="2"/>
  <c r="J266" i="60"/>
  <c r="B267" i="60"/>
  <c r="E267" i="60"/>
  <c r="D168" i="2"/>
  <c r="G168" i="2"/>
  <c r="H168" i="2"/>
  <c r="N168" i="2"/>
  <c r="I267" i="60"/>
  <c r="F168" i="2"/>
  <c r="P168" i="2"/>
  <c r="J267" i="60"/>
  <c r="B268" i="60"/>
  <c r="E268" i="60"/>
  <c r="D169" i="2"/>
  <c r="G169" i="2"/>
  <c r="H169" i="2"/>
  <c r="N169" i="2"/>
  <c r="I268" i="60"/>
  <c r="F169" i="2"/>
  <c r="P169" i="2"/>
  <c r="J268" i="60"/>
  <c r="B269" i="60"/>
  <c r="E269" i="60"/>
  <c r="D170" i="2"/>
  <c r="G170" i="2"/>
  <c r="H170" i="2"/>
  <c r="N170" i="2"/>
  <c r="I269" i="60"/>
  <c r="F170" i="2"/>
  <c r="P170" i="2"/>
  <c r="J269" i="60"/>
  <c r="B270" i="60"/>
  <c r="E270" i="60"/>
  <c r="D171" i="2"/>
  <c r="G171" i="2"/>
  <c r="H171" i="2"/>
  <c r="N171" i="2"/>
  <c r="I270" i="60"/>
  <c r="F171" i="2"/>
  <c r="P171" i="2"/>
  <c r="J270" i="60"/>
  <c r="B271" i="60"/>
  <c r="E271" i="60"/>
  <c r="D172" i="2"/>
  <c r="G172" i="2"/>
  <c r="H172" i="2"/>
  <c r="N172" i="2"/>
  <c r="I271" i="60"/>
  <c r="F172" i="2"/>
  <c r="P172" i="2"/>
  <c r="J271" i="60"/>
  <c r="B272" i="60"/>
  <c r="E272" i="60"/>
  <c r="D173" i="2"/>
  <c r="G173" i="2"/>
  <c r="H173" i="2"/>
  <c r="N173" i="2"/>
  <c r="I272" i="60"/>
  <c r="F173" i="2"/>
  <c r="P173" i="2"/>
  <c r="J272" i="60"/>
  <c r="B273" i="60"/>
  <c r="E273" i="60"/>
  <c r="D174" i="2"/>
  <c r="G174" i="2"/>
  <c r="H174" i="2"/>
  <c r="N174" i="2"/>
  <c r="I273" i="60"/>
  <c r="F174" i="2"/>
  <c r="P174" i="2"/>
  <c r="J273" i="60"/>
  <c r="B274" i="60"/>
  <c r="E274" i="60"/>
  <c r="D175" i="2"/>
  <c r="G175" i="2"/>
  <c r="H175" i="2"/>
  <c r="N175" i="2"/>
  <c r="I274" i="60"/>
  <c r="F175" i="2"/>
  <c r="P175" i="2"/>
  <c r="J274" i="60"/>
  <c r="B275" i="60"/>
  <c r="E275" i="60"/>
  <c r="D176" i="2"/>
  <c r="G176" i="2"/>
  <c r="H176" i="2"/>
  <c r="N176" i="2"/>
  <c r="I275" i="60"/>
  <c r="F176" i="2"/>
  <c r="P176" i="2"/>
  <c r="J275" i="60"/>
  <c r="B276" i="60"/>
  <c r="E276" i="60"/>
  <c r="D177" i="2"/>
  <c r="G177" i="2"/>
  <c r="H177" i="2"/>
  <c r="N177" i="2"/>
  <c r="I276" i="60"/>
  <c r="F177" i="2"/>
  <c r="P177" i="2"/>
  <c r="J276" i="60"/>
  <c r="B277" i="60"/>
  <c r="E277" i="60"/>
  <c r="D178" i="2"/>
  <c r="G178" i="2"/>
  <c r="H178" i="2"/>
  <c r="N178" i="2"/>
  <c r="I277" i="60"/>
  <c r="F178" i="2"/>
  <c r="P178" i="2"/>
  <c r="J277" i="60"/>
  <c r="B278" i="60"/>
  <c r="E278" i="60"/>
  <c r="D179" i="2"/>
  <c r="G179" i="2"/>
  <c r="H179" i="2"/>
  <c r="N179" i="2"/>
  <c r="I278" i="60"/>
  <c r="F179" i="2"/>
  <c r="P179" i="2"/>
  <c r="J278" i="60"/>
  <c r="B279" i="60"/>
  <c r="E279" i="60"/>
  <c r="I279" i="60"/>
  <c r="J279" i="60"/>
  <c r="B280" i="60"/>
  <c r="E280" i="60"/>
  <c r="I280" i="60"/>
  <c r="J280" i="60"/>
  <c r="B281" i="60"/>
  <c r="E281" i="60"/>
  <c r="I281" i="60"/>
  <c r="J281" i="60"/>
  <c r="B282" i="60"/>
  <c r="E282" i="60"/>
  <c r="I282" i="60"/>
  <c r="J282" i="60"/>
  <c r="B283" i="60"/>
  <c r="E283" i="60"/>
  <c r="I283" i="60"/>
  <c r="J283" i="60"/>
  <c r="B284" i="60"/>
  <c r="E284" i="60"/>
  <c r="I284" i="60"/>
  <c r="J284" i="60"/>
  <c r="B285" i="60"/>
  <c r="E285" i="60"/>
  <c r="I285" i="60"/>
  <c r="J285" i="60"/>
  <c r="B286" i="60"/>
  <c r="E286" i="60"/>
  <c r="I286" i="60"/>
  <c r="J286" i="60"/>
  <c r="B287" i="60"/>
  <c r="E287" i="60"/>
  <c r="I287" i="60"/>
  <c r="J287" i="60"/>
  <c r="B288" i="60"/>
  <c r="E288" i="60"/>
  <c r="I288" i="60"/>
  <c r="J288" i="60"/>
  <c r="B289" i="60"/>
  <c r="E289" i="60"/>
  <c r="I289" i="60"/>
  <c r="J289" i="60"/>
  <c r="B290" i="60"/>
  <c r="E290" i="60"/>
  <c r="I290" i="60"/>
  <c r="J290" i="60"/>
  <c r="B291" i="60"/>
  <c r="E291" i="60"/>
  <c r="I291" i="60"/>
  <c r="J291" i="60"/>
  <c r="B292" i="60"/>
  <c r="E292" i="60"/>
  <c r="I292" i="60"/>
  <c r="J292" i="60"/>
  <c r="B293" i="60"/>
  <c r="E293" i="60"/>
  <c r="I293" i="60"/>
  <c r="J293" i="60"/>
  <c r="B294" i="60"/>
  <c r="E294" i="60"/>
  <c r="I294" i="60"/>
  <c r="J294" i="60"/>
  <c r="B295" i="60"/>
  <c r="E295" i="60"/>
  <c r="I295" i="60"/>
  <c r="J295" i="60"/>
  <c r="B296" i="60"/>
  <c r="E296" i="60"/>
  <c r="I296" i="60"/>
  <c r="J296" i="60"/>
  <c r="B297" i="60"/>
  <c r="E297" i="60"/>
  <c r="I297" i="60"/>
  <c r="J297" i="60"/>
  <c r="B298" i="60"/>
  <c r="E298" i="60"/>
  <c r="I298" i="60"/>
  <c r="J298" i="60"/>
  <c r="B299" i="60"/>
  <c r="E299" i="60"/>
  <c r="I299" i="60"/>
  <c r="J299" i="60"/>
  <c r="B300" i="60"/>
  <c r="E300" i="60"/>
  <c r="I300" i="60"/>
  <c r="J300" i="60"/>
  <c r="B301" i="60"/>
  <c r="E301" i="60"/>
  <c r="I301" i="60"/>
  <c r="J301" i="60"/>
  <c r="B302" i="60"/>
  <c r="E302" i="60"/>
  <c r="I302" i="60"/>
  <c r="J302" i="60"/>
  <c r="B303" i="60"/>
  <c r="E303" i="60"/>
  <c r="I303" i="60"/>
  <c r="J303" i="60"/>
  <c r="B304" i="60"/>
  <c r="E304" i="60"/>
  <c r="I304" i="60"/>
  <c r="J304" i="60"/>
  <c r="B305" i="60"/>
  <c r="E305" i="60"/>
  <c r="I305" i="60"/>
  <c r="J305" i="60"/>
  <c r="B306" i="60"/>
  <c r="E306" i="60"/>
  <c r="I306" i="60"/>
  <c r="J306" i="60"/>
  <c r="B307" i="60"/>
  <c r="E307" i="60"/>
  <c r="I307" i="60"/>
  <c r="J307" i="60"/>
  <c r="B308" i="60"/>
  <c r="E308" i="60"/>
  <c r="I308" i="60"/>
  <c r="J308" i="60"/>
  <c r="B309" i="60"/>
  <c r="E309" i="60"/>
  <c r="I309" i="60"/>
  <c r="J309" i="60"/>
  <c r="B310" i="60"/>
  <c r="E310" i="60"/>
  <c r="I310" i="60"/>
  <c r="J310" i="60"/>
  <c r="B311" i="60"/>
  <c r="E311" i="60"/>
  <c r="I311" i="60"/>
  <c r="J311" i="60"/>
  <c r="B312" i="60"/>
  <c r="E312" i="60"/>
  <c r="I312" i="60"/>
  <c r="J312" i="60"/>
  <c r="B313" i="60"/>
  <c r="E313" i="60"/>
  <c r="I313" i="60"/>
  <c r="J313" i="60"/>
  <c r="B314" i="60"/>
  <c r="E314" i="60"/>
  <c r="I314" i="60"/>
  <c r="J314" i="60"/>
  <c r="B315" i="60"/>
  <c r="E315" i="60"/>
  <c r="I315" i="60"/>
  <c r="J315" i="60"/>
  <c r="B316" i="60"/>
  <c r="E316" i="60"/>
  <c r="I316" i="60"/>
  <c r="J316" i="60"/>
  <c r="B317" i="60"/>
  <c r="E317" i="60"/>
  <c r="I317" i="60"/>
  <c r="J317" i="60"/>
  <c r="B318" i="60"/>
  <c r="E318" i="60"/>
  <c r="I318" i="60"/>
  <c r="J318" i="60"/>
  <c r="B26" i="60"/>
  <c r="B25" i="60"/>
  <c r="B24" i="60"/>
  <c r="C159" i="60"/>
  <c r="C160" i="60"/>
  <c r="C161" i="60"/>
  <c r="C162" i="60"/>
  <c r="C163" i="60"/>
  <c r="C164" i="60"/>
  <c r="C165" i="60"/>
  <c r="C166" i="60"/>
  <c r="C167" i="60"/>
  <c r="C168" i="60"/>
  <c r="C169" i="60"/>
  <c r="C170" i="60"/>
  <c r="C171" i="60"/>
  <c r="C172" i="60"/>
  <c r="C173" i="60"/>
  <c r="C174" i="60"/>
  <c r="C175" i="60"/>
  <c r="C176" i="60"/>
  <c r="C177" i="60"/>
  <c r="C178" i="60"/>
  <c r="C179" i="60"/>
  <c r="C180" i="60"/>
  <c r="C181" i="60"/>
  <c r="C182" i="60"/>
  <c r="C183" i="60"/>
  <c r="C184" i="60"/>
  <c r="C185" i="60"/>
  <c r="C186" i="60"/>
  <c r="C187" i="60"/>
  <c r="C188" i="60"/>
  <c r="C189" i="60"/>
  <c r="C190" i="60"/>
  <c r="C191" i="60"/>
  <c r="C192" i="60"/>
  <c r="C193" i="60"/>
  <c r="C194" i="60"/>
  <c r="C195" i="60"/>
  <c r="C196" i="60"/>
  <c r="C197" i="60"/>
  <c r="C198" i="60"/>
  <c r="C199" i="60"/>
  <c r="C200" i="60"/>
  <c r="C201" i="60"/>
  <c r="C202" i="60"/>
  <c r="C203" i="60"/>
  <c r="C204" i="60"/>
  <c r="C205" i="60"/>
  <c r="C206" i="60"/>
  <c r="C207" i="60"/>
  <c r="C208" i="60"/>
  <c r="C209" i="60"/>
  <c r="C210" i="60"/>
  <c r="C211" i="60"/>
  <c r="C212" i="60"/>
  <c r="C213" i="60"/>
  <c r="C214" i="60"/>
  <c r="C215" i="60"/>
  <c r="C216" i="60"/>
  <c r="C217" i="60"/>
  <c r="C218" i="60"/>
  <c r="C219" i="60"/>
  <c r="C220" i="60"/>
  <c r="C221" i="60"/>
  <c r="C222" i="60"/>
  <c r="C223" i="60"/>
  <c r="C224" i="60"/>
  <c r="C225" i="60"/>
  <c r="C226" i="60"/>
  <c r="C227" i="60"/>
  <c r="C228" i="60"/>
  <c r="C229" i="60"/>
  <c r="C230" i="60"/>
  <c r="C231" i="60"/>
  <c r="C232" i="60"/>
  <c r="C233" i="60"/>
  <c r="C234" i="60"/>
  <c r="C235" i="60"/>
  <c r="C236" i="60"/>
  <c r="C237" i="60"/>
  <c r="C238" i="60"/>
  <c r="C247" i="60"/>
  <c r="C248" i="60"/>
  <c r="C249" i="60"/>
  <c r="C250" i="60"/>
  <c r="C251" i="60"/>
  <c r="C252" i="60"/>
  <c r="C253" i="60"/>
  <c r="C254" i="60"/>
  <c r="C255" i="60"/>
  <c r="C256" i="60"/>
  <c r="C257" i="60"/>
  <c r="C258" i="60"/>
  <c r="C259" i="60"/>
  <c r="C260" i="60"/>
  <c r="C261" i="60"/>
  <c r="C262" i="60"/>
  <c r="C263" i="60"/>
  <c r="C264" i="60"/>
  <c r="C265" i="60"/>
  <c r="C266" i="60"/>
  <c r="C267" i="60"/>
  <c r="C268" i="60"/>
  <c r="C269" i="60"/>
  <c r="C270" i="60"/>
  <c r="C271" i="60"/>
  <c r="C272" i="60"/>
  <c r="C273" i="60"/>
  <c r="C274" i="60"/>
  <c r="C275" i="60"/>
  <c r="C276" i="60"/>
  <c r="C277" i="60"/>
  <c r="C278" i="60"/>
  <c r="C279" i="60"/>
  <c r="C280" i="60"/>
  <c r="C281" i="60"/>
  <c r="C282" i="60"/>
  <c r="C283" i="60"/>
  <c r="C284" i="60"/>
  <c r="C285" i="60"/>
  <c r="C286" i="60"/>
  <c r="C287" i="60"/>
  <c r="C288" i="60"/>
  <c r="C289" i="60"/>
  <c r="C290" i="60"/>
  <c r="C291" i="60"/>
  <c r="C292" i="60"/>
  <c r="C293" i="60"/>
  <c r="C294" i="60"/>
  <c r="C295" i="60"/>
  <c r="C296" i="60"/>
  <c r="C297" i="60"/>
  <c r="C298" i="60"/>
  <c r="C299" i="60"/>
  <c r="C300" i="60"/>
  <c r="C301" i="60"/>
  <c r="C302" i="60"/>
  <c r="C303" i="60"/>
  <c r="C304" i="60"/>
  <c r="C305" i="60"/>
  <c r="C306" i="60"/>
  <c r="C307" i="60"/>
  <c r="C308" i="60"/>
  <c r="C309" i="60"/>
  <c r="C310" i="60"/>
  <c r="C311" i="60"/>
  <c r="C312" i="60"/>
  <c r="C313" i="60"/>
  <c r="C314" i="60"/>
  <c r="C315" i="60"/>
  <c r="C316" i="60"/>
  <c r="C317" i="60"/>
  <c r="C318" i="60"/>
  <c r="B21" i="60"/>
  <c r="B20" i="60"/>
  <c r="B19" i="60"/>
  <c r="AH318" i="60"/>
  <c r="AG318" i="60"/>
  <c r="AH317" i="60"/>
  <c r="AG317" i="60"/>
  <c r="AH316" i="60"/>
  <c r="AG316" i="60"/>
  <c r="AH315" i="60"/>
  <c r="AG315" i="60"/>
  <c r="AH314" i="60"/>
  <c r="AG314" i="60"/>
  <c r="AH313" i="60"/>
  <c r="AG313" i="60"/>
  <c r="AH312" i="60"/>
  <c r="AG312" i="60"/>
  <c r="AH311" i="60"/>
  <c r="AG311" i="60"/>
  <c r="AH310" i="60"/>
  <c r="AG310" i="60"/>
  <c r="AH309" i="60"/>
  <c r="AG309" i="60"/>
  <c r="AH308" i="60"/>
  <c r="AG308" i="60"/>
  <c r="AH307" i="60"/>
  <c r="AG307" i="60"/>
  <c r="AH306" i="60"/>
  <c r="AG306" i="60"/>
  <c r="AH305" i="60"/>
  <c r="AG305" i="60"/>
  <c r="AH304" i="60"/>
  <c r="AG304" i="60"/>
  <c r="AH303" i="60"/>
  <c r="AG303" i="60"/>
  <c r="AH302" i="60"/>
  <c r="AG302" i="60"/>
  <c r="AH301" i="60"/>
  <c r="AG301" i="60"/>
  <c r="AH300" i="60"/>
  <c r="AG300" i="60"/>
  <c r="AH299" i="60"/>
  <c r="AG299" i="60"/>
  <c r="AH298" i="60"/>
  <c r="AG298" i="60"/>
  <c r="AH297" i="60"/>
  <c r="AG297" i="60"/>
  <c r="AH296" i="60"/>
  <c r="AG296" i="60"/>
  <c r="AH295" i="60"/>
  <c r="AG295" i="60"/>
  <c r="AH294" i="60"/>
  <c r="AG294" i="60"/>
  <c r="AH293" i="60"/>
  <c r="AG293" i="60"/>
  <c r="AH292" i="60"/>
  <c r="AG292" i="60"/>
  <c r="AH291" i="60"/>
  <c r="AG291" i="60"/>
  <c r="AH290" i="60"/>
  <c r="AG290" i="60"/>
  <c r="AH289" i="60"/>
  <c r="AG289" i="60"/>
  <c r="AH288" i="60"/>
  <c r="AG288" i="60"/>
  <c r="AH287" i="60"/>
  <c r="AG287" i="60"/>
  <c r="AH286" i="60"/>
  <c r="AG286" i="60"/>
  <c r="AH285" i="60"/>
  <c r="AG285" i="60"/>
  <c r="AH284" i="60"/>
  <c r="AG284" i="60"/>
  <c r="AH283" i="60"/>
  <c r="AG283" i="60"/>
  <c r="AH282" i="60"/>
  <c r="AG282" i="60"/>
  <c r="AH281" i="60"/>
  <c r="AG281" i="60"/>
  <c r="AH280" i="60"/>
  <c r="AG280" i="60"/>
  <c r="AH279" i="60"/>
  <c r="AG279" i="60"/>
  <c r="AH278" i="60"/>
  <c r="AG278" i="60"/>
  <c r="AH277" i="60"/>
  <c r="AG277" i="60"/>
  <c r="AH276" i="60"/>
  <c r="AG276" i="60"/>
  <c r="AH275" i="60"/>
  <c r="AG275" i="60"/>
  <c r="AH274" i="60"/>
  <c r="AG274" i="60"/>
  <c r="AH273" i="60"/>
  <c r="AG273" i="60"/>
  <c r="AH272" i="60"/>
  <c r="AG272" i="60"/>
  <c r="AH271" i="60"/>
  <c r="AG271" i="60"/>
  <c r="AH270" i="60"/>
  <c r="AG270" i="60"/>
  <c r="AH269" i="60"/>
  <c r="AG269" i="60"/>
  <c r="AH268" i="60"/>
  <c r="AG268" i="60"/>
  <c r="AH267" i="60"/>
  <c r="AG267" i="60"/>
  <c r="AH266" i="60"/>
  <c r="AG266" i="60"/>
  <c r="AH265" i="60"/>
  <c r="AG265" i="60"/>
  <c r="AH264" i="60"/>
  <c r="AG264" i="60"/>
  <c r="AH263" i="60"/>
  <c r="AG263" i="60"/>
  <c r="AH262" i="60"/>
  <c r="AG262" i="60"/>
  <c r="AH261" i="60"/>
  <c r="AG261" i="60"/>
  <c r="AH260" i="60"/>
  <c r="AG260" i="60"/>
  <c r="AH259" i="60"/>
  <c r="AG259" i="60"/>
  <c r="AH258" i="60"/>
  <c r="AG258" i="60"/>
  <c r="AH257" i="60"/>
  <c r="AG257" i="60"/>
  <c r="AH256" i="60"/>
  <c r="AG256" i="60"/>
  <c r="AH255" i="60"/>
  <c r="AG255" i="60"/>
  <c r="AH254" i="60"/>
  <c r="AG254" i="60"/>
  <c r="AH253" i="60"/>
  <c r="AG253" i="60"/>
  <c r="AH252" i="60"/>
  <c r="AG252" i="60"/>
  <c r="AH251" i="60"/>
  <c r="AG251" i="60"/>
  <c r="AH250" i="60"/>
  <c r="AG250" i="60"/>
  <c r="AH249" i="60"/>
  <c r="AG249" i="60"/>
  <c r="AH248" i="60"/>
  <c r="AG248" i="60"/>
  <c r="AH247" i="60"/>
  <c r="AG247" i="60"/>
  <c r="AH246" i="60"/>
  <c r="AG246" i="60"/>
  <c r="AH245" i="60"/>
  <c r="AG245" i="60"/>
  <c r="AH244" i="60"/>
  <c r="AG244" i="60"/>
  <c r="AH243" i="60"/>
  <c r="AG243" i="60"/>
  <c r="AH242" i="60"/>
  <c r="AG242" i="60"/>
  <c r="AH241" i="60"/>
  <c r="AG241" i="60"/>
  <c r="AH240" i="60"/>
  <c r="AG240" i="60"/>
  <c r="AH239" i="60"/>
  <c r="AG239" i="60"/>
  <c r="AH238" i="60"/>
  <c r="AG238" i="60"/>
  <c r="AH237" i="60"/>
  <c r="AG237" i="60"/>
  <c r="AH236" i="60"/>
  <c r="AG236" i="60"/>
  <c r="AH235" i="60"/>
  <c r="AG235" i="60"/>
  <c r="AH234" i="60"/>
  <c r="AG234" i="60"/>
  <c r="AH233" i="60"/>
  <c r="AG233" i="60"/>
  <c r="AH232" i="60"/>
  <c r="AG232" i="60"/>
  <c r="AH231" i="60"/>
  <c r="AG231" i="60"/>
  <c r="AH230" i="60"/>
  <c r="AG230" i="60"/>
  <c r="AH229" i="60"/>
  <c r="AG229" i="60"/>
  <c r="AH228" i="60"/>
  <c r="AG228" i="60"/>
  <c r="AH227" i="60"/>
  <c r="AG227" i="60"/>
  <c r="AH226" i="60"/>
  <c r="AG226" i="60"/>
  <c r="AH225" i="60"/>
  <c r="AG225" i="60"/>
  <c r="AH224" i="60"/>
  <c r="AG224" i="60"/>
  <c r="AH223" i="60"/>
  <c r="AG223" i="60"/>
  <c r="AH222" i="60"/>
  <c r="AG222" i="60"/>
  <c r="AH221" i="60"/>
  <c r="AG221" i="60"/>
  <c r="AH220" i="60"/>
  <c r="AG220" i="60"/>
  <c r="AH219" i="60"/>
  <c r="AG219" i="60"/>
  <c r="AH218" i="60"/>
  <c r="AG218" i="60"/>
  <c r="AH217" i="60"/>
  <c r="AG217" i="60"/>
  <c r="AH216" i="60"/>
  <c r="AG216" i="60"/>
  <c r="AH215" i="60"/>
  <c r="AG215" i="60"/>
  <c r="AH214" i="60"/>
  <c r="AG214" i="60"/>
  <c r="AH213" i="60"/>
  <c r="AG213" i="60"/>
  <c r="AH212" i="60"/>
  <c r="AG212" i="60"/>
  <c r="AH211" i="60"/>
  <c r="AG211" i="60"/>
  <c r="AH210" i="60"/>
  <c r="AG210" i="60"/>
  <c r="AH209" i="60"/>
  <c r="AG209" i="60"/>
  <c r="AH208" i="60"/>
  <c r="AG208" i="60"/>
  <c r="AH207" i="60"/>
  <c r="AG207" i="60"/>
  <c r="AH206" i="60"/>
  <c r="AG206" i="60"/>
  <c r="AH205" i="60"/>
  <c r="AG205" i="60"/>
  <c r="AH204" i="60"/>
  <c r="AG204" i="60"/>
  <c r="AH203" i="60"/>
  <c r="AG203" i="60"/>
  <c r="AH202" i="60"/>
  <c r="AG202" i="60"/>
  <c r="AH201" i="60"/>
  <c r="AG201" i="60"/>
  <c r="AH200" i="60"/>
  <c r="AG200" i="60"/>
  <c r="AH199" i="60"/>
  <c r="AG199" i="60"/>
  <c r="AH198" i="60"/>
  <c r="AG198" i="60"/>
  <c r="AH197" i="60"/>
  <c r="AG197" i="60"/>
  <c r="AH196" i="60"/>
  <c r="AG196" i="60"/>
  <c r="AH195" i="60"/>
  <c r="AG195" i="60"/>
  <c r="AH194" i="60"/>
  <c r="AG194" i="60"/>
  <c r="AH193" i="60"/>
  <c r="AG193" i="60"/>
  <c r="AH192" i="60"/>
  <c r="AG192" i="60"/>
  <c r="AH191" i="60"/>
  <c r="AG191" i="60"/>
  <c r="AH190" i="60"/>
  <c r="AG190" i="60"/>
  <c r="AH189" i="60"/>
  <c r="AG189" i="60"/>
  <c r="AH188" i="60"/>
  <c r="AG188" i="60"/>
  <c r="AH187" i="60"/>
  <c r="AG187" i="60"/>
  <c r="AH186" i="60"/>
  <c r="AG186" i="60"/>
  <c r="AH185" i="60"/>
  <c r="AG185" i="60"/>
  <c r="AH184" i="60"/>
  <c r="AG184" i="60"/>
  <c r="AH183" i="60"/>
  <c r="AG183" i="60"/>
  <c r="AH182" i="60"/>
  <c r="AG182" i="60"/>
  <c r="AH181" i="60"/>
  <c r="AG181" i="60"/>
  <c r="AH180" i="60"/>
  <c r="AG180" i="60"/>
  <c r="AH179" i="60"/>
  <c r="AG179" i="60"/>
  <c r="AH178" i="60"/>
  <c r="AG178" i="60"/>
  <c r="AH177" i="60"/>
  <c r="AG177" i="60"/>
  <c r="AH176" i="60"/>
  <c r="AG176" i="60"/>
  <c r="AH175" i="60"/>
  <c r="AG175" i="60"/>
  <c r="AH174" i="60"/>
  <c r="AG174" i="60"/>
  <c r="AH173" i="60"/>
  <c r="AG173" i="60"/>
  <c r="AH172" i="60"/>
  <c r="AG172" i="60"/>
  <c r="AH171" i="60"/>
  <c r="AG171" i="60"/>
  <c r="AH170" i="60"/>
  <c r="AG170" i="60"/>
  <c r="AH169" i="60"/>
  <c r="AG169" i="60"/>
  <c r="AH168" i="60"/>
  <c r="AG168" i="60"/>
  <c r="AH167" i="60"/>
  <c r="AG167" i="60"/>
  <c r="AH166" i="60"/>
  <c r="AG166" i="60"/>
  <c r="AH165" i="60"/>
  <c r="AG165" i="60"/>
  <c r="AH164" i="60"/>
  <c r="AG164" i="60"/>
  <c r="AH163" i="60"/>
  <c r="AG163" i="60"/>
  <c r="AH162" i="60"/>
  <c r="AG162" i="60"/>
  <c r="AH161" i="60"/>
  <c r="AG161" i="60"/>
  <c r="AH160" i="60"/>
  <c r="AG160" i="60"/>
  <c r="AH159" i="60"/>
  <c r="AG159" i="60"/>
  <c r="AH158" i="60"/>
  <c r="AG158" i="60"/>
  <c r="AH157" i="60"/>
  <c r="AG157" i="60"/>
  <c r="AH156" i="60"/>
  <c r="AG156" i="60"/>
  <c r="AH155" i="60"/>
  <c r="AG155" i="60"/>
  <c r="AH154" i="60"/>
  <c r="AG154" i="60"/>
  <c r="AH153" i="60"/>
  <c r="AG153" i="60"/>
  <c r="AH152" i="60"/>
  <c r="AG152" i="60"/>
  <c r="AH151" i="60"/>
  <c r="AG151" i="60"/>
  <c r="AH150" i="60"/>
  <c r="AG150" i="60"/>
  <c r="AH149" i="60"/>
  <c r="AG149" i="60"/>
  <c r="AH148" i="60"/>
  <c r="AG148" i="60"/>
  <c r="AH147" i="60"/>
  <c r="AG147" i="60"/>
  <c r="AH146" i="60"/>
  <c r="AG146" i="60"/>
  <c r="AH145" i="60"/>
  <c r="AG145" i="60"/>
  <c r="AH144" i="60"/>
  <c r="AG144" i="60"/>
  <c r="AH143" i="60"/>
  <c r="AG143" i="60"/>
  <c r="AH142" i="60"/>
  <c r="AG142" i="60"/>
  <c r="AH141" i="60"/>
  <c r="AG141" i="60"/>
  <c r="AH140" i="60"/>
  <c r="AG140" i="60"/>
  <c r="AH139" i="60"/>
  <c r="AG139" i="60"/>
  <c r="AH138" i="60"/>
  <c r="AG138" i="60"/>
  <c r="AH137" i="60"/>
  <c r="AG137" i="60"/>
  <c r="AH136" i="60"/>
  <c r="AG136" i="60"/>
  <c r="AH135" i="60"/>
  <c r="AG135" i="60"/>
  <c r="AH134" i="60"/>
  <c r="AG134" i="60"/>
  <c r="AH133" i="60"/>
  <c r="AG133" i="60"/>
  <c r="AH132" i="60"/>
  <c r="AG132" i="60"/>
  <c r="AH131" i="60"/>
  <c r="AG131" i="60"/>
  <c r="AH130" i="60"/>
  <c r="AG130" i="60"/>
  <c r="AH129" i="60"/>
  <c r="AG129" i="60"/>
  <c r="AH128" i="60"/>
  <c r="AG128" i="60"/>
  <c r="AH127" i="60"/>
  <c r="AG127" i="60"/>
  <c r="AH126" i="60"/>
  <c r="AG126" i="60"/>
  <c r="AH125" i="60"/>
  <c r="AG125" i="60"/>
  <c r="AH124" i="60"/>
  <c r="AG124" i="60"/>
  <c r="AH123" i="60"/>
  <c r="AG123" i="60"/>
  <c r="AH122" i="60"/>
  <c r="AG122" i="60"/>
  <c r="AH121" i="60"/>
  <c r="AG121" i="60"/>
  <c r="AH120" i="60"/>
  <c r="AG120" i="60"/>
  <c r="AH119" i="60"/>
  <c r="AG119" i="60"/>
  <c r="AH118" i="60"/>
  <c r="D40" i="60"/>
  <c r="AF78" i="60"/>
  <c r="AF79" i="60"/>
  <c r="AF80" i="60"/>
  <c r="AF81" i="60"/>
  <c r="AF82" i="60"/>
  <c r="AF83" i="60"/>
  <c r="AF84" i="60"/>
  <c r="AF85" i="60"/>
  <c r="AF86" i="60"/>
  <c r="AF87" i="60"/>
  <c r="AF88" i="60"/>
  <c r="AF89" i="60"/>
  <c r="AF90" i="60"/>
  <c r="AF91" i="60"/>
  <c r="AF92" i="60"/>
  <c r="AF93" i="60"/>
  <c r="AF94" i="60"/>
  <c r="AF95" i="60"/>
  <c r="AF96" i="60"/>
  <c r="AF97" i="60"/>
  <c r="AF98" i="60"/>
  <c r="AF99" i="60"/>
  <c r="AF100" i="60"/>
  <c r="AF101" i="60"/>
  <c r="AF102" i="60"/>
  <c r="AF103" i="60"/>
  <c r="AF104" i="60"/>
  <c r="AF105" i="60"/>
  <c r="AF106" i="60"/>
  <c r="AF107" i="60"/>
  <c r="AF108" i="60"/>
  <c r="AF109" i="60"/>
  <c r="AF110" i="60"/>
  <c r="AF111" i="60"/>
  <c r="AF112" i="60"/>
  <c r="AF113" i="60"/>
  <c r="AF114" i="60"/>
  <c r="AF115" i="60"/>
  <c r="AF116" i="60"/>
  <c r="AF117" i="60"/>
  <c r="AF118" i="60"/>
  <c r="AF119" i="60"/>
  <c r="AF120" i="60"/>
  <c r="AF121" i="60"/>
  <c r="AF122" i="60"/>
  <c r="AF123" i="60"/>
  <c r="AF124" i="60"/>
  <c r="AF125" i="60"/>
  <c r="AF126" i="60"/>
  <c r="AF127" i="60"/>
  <c r="AF128" i="60"/>
  <c r="AF129" i="60"/>
  <c r="AF130" i="60"/>
  <c r="AF131" i="60"/>
  <c r="AF132" i="60"/>
  <c r="AF133" i="60"/>
  <c r="AF134" i="60"/>
  <c r="AF135" i="60"/>
  <c r="AF136" i="60"/>
  <c r="AF137" i="60"/>
  <c r="AF138" i="60"/>
  <c r="AF139" i="60"/>
  <c r="AF140" i="60"/>
  <c r="AF141" i="60"/>
  <c r="AF142" i="60"/>
  <c r="AF143" i="60"/>
  <c r="AF144" i="60"/>
  <c r="AF145" i="60"/>
  <c r="AF146" i="60"/>
  <c r="AF147" i="60"/>
  <c r="AF148" i="60"/>
  <c r="AF149" i="60"/>
  <c r="AF150" i="60"/>
  <c r="AF151" i="60"/>
  <c r="AF152" i="60"/>
  <c r="AF153" i="60"/>
  <c r="AF154" i="60"/>
  <c r="AF155" i="60"/>
  <c r="AF156" i="60"/>
  <c r="AF157" i="60"/>
  <c r="AH323" i="60"/>
  <c r="AF158" i="60"/>
  <c r="AF159" i="60"/>
  <c r="AF160" i="60"/>
  <c r="AF161" i="60"/>
  <c r="AF162" i="60"/>
  <c r="AF163" i="60"/>
  <c r="AF164" i="60"/>
  <c r="AF165" i="60"/>
  <c r="AF166" i="60"/>
  <c r="AF167" i="60"/>
  <c r="AF168" i="60"/>
  <c r="AF169" i="60"/>
  <c r="AF170" i="60"/>
  <c r="AF171" i="60"/>
  <c r="AF172" i="60"/>
  <c r="AF173" i="60"/>
  <c r="AF174" i="60"/>
  <c r="AF175" i="60"/>
  <c r="AF176" i="60"/>
  <c r="AF177" i="60"/>
  <c r="AF178" i="60"/>
  <c r="AF179" i="60"/>
  <c r="AF180" i="60"/>
  <c r="AF181" i="60"/>
  <c r="AF182" i="60"/>
  <c r="AF183" i="60"/>
  <c r="AF184" i="60"/>
  <c r="AF185" i="60"/>
  <c r="AF186" i="60"/>
  <c r="AF187" i="60"/>
  <c r="AF188" i="60"/>
  <c r="AF189" i="60"/>
  <c r="AF190" i="60"/>
  <c r="AF191" i="60"/>
  <c r="AF192" i="60"/>
  <c r="AF193" i="60"/>
  <c r="AF194" i="60"/>
  <c r="AF195" i="60"/>
  <c r="AF196" i="60"/>
  <c r="AF197" i="60"/>
  <c r="AF198" i="60"/>
  <c r="AF199" i="60"/>
  <c r="AF200" i="60"/>
  <c r="AF201" i="60"/>
  <c r="AF202" i="60"/>
  <c r="AF203" i="60"/>
  <c r="AF204" i="60"/>
  <c r="AF205" i="60"/>
  <c r="AF206" i="60"/>
  <c r="AF207" i="60"/>
  <c r="AF208" i="60"/>
  <c r="AF209" i="60"/>
  <c r="AF210" i="60"/>
  <c r="AF211" i="60"/>
  <c r="AF212" i="60"/>
  <c r="AF213" i="60"/>
  <c r="AF214" i="60"/>
  <c r="AF215" i="60"/>
  <c r="AF216" i="60"/>
  <c r="AF217" i="60"/>
  <c r="AF218" i="60"/>
  <c r="AF219" i="60"/>
  <c r="AF220" i="60"/>
  <c r="AF221" i="60"/>
  <c r="AF222" i="60"/>
  <c r="AF223" i="60"/>
  <c r="AF224" i="60"/>
  <c r="AF225" i="60"/>
  <c r="AF226" i="60"/>
  <c r="AF227" i="60"/>
  <c r="AF228" i="60"/>
  <c r="AF229" i="60"/>
  <c r="AF230" i="60"/>
  <c r="AF231" i="60"/>
  <c r="AF232" i="60"/>
  <c r="AF233" i="60"/>
  <c r="AF234" i="60"/>
  <c r="AF235" i="60"/>
  <c r="AF236" i="60"/>
  <c r="AF237" i="60"/>
  <c r="AF238" i="60"/>
  <c r="AF239" i="60"/>
  <c r="AF240" i="60"/>
  <c r="AF241" i="60"/>
  <c r="AF242" i="60"/>
  <c r="AF243" i="60"/>
  <c r="AF244" i="60"/>
  <c r="AF245" i="60"/>
  <c r="AF246" i="60"/>
  <c r="AF247" i="60"/>
  <c r="AF248" i="60"/>
  <c r="AF249" i="60"/>
  <c r="AF250" i="60"/>
  <c r="AF251" i="60"/>
  <c r="AF252" i="60"/>
  <c r="AF253" i="60"/>
  <c r="AF254" i="60"/>
  <c r="AF255" i="60"/>
  <c r="AF256" i="60"/>
  <c r="AF257" i="60"/>
  <c r="AF258" i="60"/>
  <c r="AF259" i="60"/>
  <c r="AF260" i="60"/>
  <c r="AF261" i="60"/>
  <c r="AF262" i="60"/>
  <c r="AF263" i="60"/>
  <c r="AF264" i="60"/>
  <c r="AF265" i="60"/>
  <c r="AF266" i="60"/>
  <c r="AF267" i="60"/>
  <c r="AF268" i="60"/>
  <c r="AF269" i="60"/>
  <c r="AF270" i="60"/>
  <c r="AF271" i="60"/>
  <c r="AF272" i="60"/>
  <c r="AF273" i="60"/>
  <c r="AF274" i="60"/>
  <c r="AF275" i="60"/>
  <c r="AF276" i="60"/>
  <c r="AF277" i="60"/>
  <c r="AF278" i="60"/>
  <c r="AF279" i="60"/>
  <c r="AF280" i="60"/>
  <c r="AF281" i="60"/>
  <c r="AF282" i="60"/>
  <c r="AF283" i="60"/>
  <c r="AF284" i="60"/>
  <c r="AF285" i="60"/>
  <c r="AF286" i="60"/>
  <c r="AF287" i="60"/>
  <c r="AF288" i="60"/>
  <c r="AF289" i="60"/>
  <c r="AF290" i="60"/>
  <c r="AF291" i="60"/>
  <c r="AF292" i="60"/>
  <c r="AF293" i="60"/>
  <c r="AF294" i="60"/>
  <c r="AF295" i="60"/>
  <c r="AF296" i="60"/>
  <c r="AF297" i="60"/>
  <c r="AF298" i="60"/>
  <c r="AF299" i="60"/>
  <c r="AF300" i="60"/>
  <c r="AF301" i="60"/>
  <c r="AF302" i="60"/>
  <c r="AF303" i="60"/>
  <c r="AF304" i="60"/>
  <c r="AF305" i="60"/>
  <c r="AF306" i="60"/>
  <c r="AF307" i="60"/>
  <c r="AF308" i="60"/>
  <c r="AF309" i="60"/>
  <c r="AF310" i="60"/>
  <c r="AF311" i="60"/>
  <c r="AF312" i="60"/>
  <c r="AF313" i="60"/>
  <c r="AF314" i="60"/>
  <c r="AF315" i="60"/>
  <c r="AF316" i="60"/>
  <c r="AF317" i="60"/>
  <c r="AF318" i="60"/>
  <c r="AF323" i="60"/>
  <c r="T322" i="60"/>
  <c r="S322" i="60"/>
  <c r="R322" i="60"/>
  <c r="Q322" i="60"/>
  <c r="M322" i="60"/>
  <c r="M320" i="60"/>
  <c r="O320" i="60"/>
  <c r="P320" i="60"/>
  <c r="Q320" i="60"/>
  <c r="R320" i="60"/>
  <c r="S320" i="60"/>
  <c r="T42" i="60"/>
  <c r="T320" i="60"/>
  <c r="M321" i="60"/>
  <c r="N320" i="60"/>
  <c r="X40" i="60"/>
  <c r="AI318" i="60"/>
  <c r="Y41" i="60"/>
  <c r="AJ318" i="60"/>
  <c r="Z41" i="60"/>
  <c r="AK318" i="60"/>
  <c r="AL318" i="60"/>
  <c r="AM318" i="60"/>
  <c r="AO318" i="60"/>
  <c r="AC42" i="60"/>
  <c r="AN318" i="60"/>
  <c r="V40" i="60"/>
  <c r="A159" i="60"/>
  <c r="A160" i="60"/>
  <c r="A161" i="60"/>
  <c r="A162" i="60"/>
  <c r="A163" i="60"/>
  <c r="A164" i="60"/>
  <c r="A165" i="60"/>
  <c r="A166" i="60"/>
  <c r="A167" i="60"/>
  <c r="A168" i="60"/>
  <c r="A169" i="60"/>
  <c r="A170" i="60"/>
  <c r="A171" i="60"/>
  <c r="A172" i="60"/>
  <c r="A173" i="60"/>
  <c r="A174" i="60"/>
  <c r="A175" i="60"/>
  <c r="A176" i="60"/>
  <c r="A177" i="60"/>
  <c r="A178" i="60"/>
  <c r="A179" i="60"/>
  <c r="A180" i="60"/>
  <c r="A181" i="60"/>
  <c r="A182" i="60"/>
  <c r="A183" i="60"/>
  <c r="A184" i="60"/>
  <c r="A185" i="60"/>
  <c r="A186" i="60"/>
  <c r="A187" i="60"/>
  <c r="A188" i="60"/>
  <c r="A189" i="60"/>
  <c r="A190" i="60"/>
  <c r="A191" i="60"/>
  <c r="A192" i="60"/>
  <c r="A193" i="60"/>
  <c r="A194" i="60"/>
  <c r="A195" i="60"/>
  <c r="A196" i="60"/>
  <c r="A197" i="60"/>
  <c r="A198" i="60"/>
  <c r="A199" i="60"/>
  <c r="A200" i="60"/>
  <c r="A201" i="60"/>
  <c r="A202" i="60"/>
  <c r="A203" i="60"/>
  <c r="A204" i="60"/>
  <c r="A205" i="60"/>
  <c r="A206" i="60"/>
  <c r="A207" i="60"/>
  <c r="A208" i="60"/>
  <c r="A209" i="60"/>
  <c r="A210" i="60"/>
  <c r="A211" i="60"/>
  <c r="A212" i="60"/>
  <c r="A213" i="60"/>
  <c r="A214" i="60"/>
  <c r="A215" i="60"/>
  <c r="A216" i="60"/>
  <c r="A217" i="60"/>
  <c r="A218" i="60"/>
  <c r="A219" i="60"/>
  <c r="A220" i="60"/>
  <c r="A221" i="60"/>
  <c r="A222" i="60"/>
  <c r="A223" i="60"/>
  <c r="A224" i="60"/>
  <c r="A225" i="60"/>
  <c r="A226" i="60"/>
  <c r="A227" i="60"/>
  <c r="A228" i="60"/>
  <c r="A229" i="60"/>
  <c r="A230" i="60"/>
  <c r="A231" i="60"/>
  <c r="A232" i="60"/>
  <c r="A233" i="60"/>
  <c r="A234" i="60"/>
  <c r="A235" i="60"/>
  <c r="A236" i="60"/>
  <c r="A237" i="60"/>
  <c r="A238" i="60"/>
  <c r="A239" i="60"/>
  <c r="A240" i="60"/>
  <c r="A241" i="60"/>
  <c r="A242" i="60"/>
  <c r="A243" i="60"/>
  <c r="A244" i="60"/>
  <c r="A245" i="60"/>
  <c r="A246" i="60"/>
  <c r="A247" i="60"/>
  <c r="A248" i="60"/>
  <c r="A249" i="60"/>
  <c r="A250" i="60"/>
  <c r="A251" i="60"/>
  <c r="A252" i="60"/>
  <c r="A253" i="60"/>
  <c r="A254" i="60"/>
  <c r="A255" i="60"/>
  <c r="A256" i="60"/>
  <c r="A257" i="60"/>
  <c r="A258" i="60"/>
  <c r="A259" i="60"/>
  <c r="A260" i="60"/>
  <c r="A261" i="60"/>
  <c r="A262" i="60"/>
  <c r="A263" i="60"/>
  <c r="A264" i="60"/>
  <c r="A265" i="60"/>
  <c r="A266" i="60"/>
  <c r="A267" i="60"/>
  <c r="A268" i="60"/>
  <c r="A269" i="60"/>
  <c r="A270" i="60"/>
  <c r="A271" i="60"/>
  <c r="A272" i="60"/>
  <c r="A273" i="60"/>
  <c r="A274" i="60"/>
  <c r="A275" i="60"/>
  <c r="A276" i="60"/>
  <c r="A277" i="60"/>
  <c r="A278" i="60"/>
  <c r="A279" i="60"/>
  <c r="A280" i="60"/>
  <c r="A281" i="60"/>
  <c r="A282" i="60"/>
  <c r="A283" i="60"/>
  <c r="A284" i="60"/>
  <c r="A285" i="60"/>
  <c r="A286" i="60"/>
  <c r="A287" i="60"/>
  <c r="A288" i="60"/>
  <c r="A289" i="60"/>
  <c r="A290" i="60"/>
  <c r="A291" i="60"/>
  <c r="A292" i="60"/>
  <c r="A293" i="60"/>
  <c r="A294" i="60"/>
  <c r="A295" i="60"/>
  <c r="A296" i="60"/>
  <c r="A297" i="60"/>
  <c r="A298" i="60"/>
  <c r="A299" i="60"/>
  <c r="A300" i="60"/>
  <c r="A301" i="60"/>
  <c r="A302" i="60"/>
  <c r="A303" i="60"/>
  <c r="A304" i="60"/>
  <c r="A305" i="60"/>
  <c r="A306" i="60"/>
  <c r="A307" i="60"/>
  <c r="A308" i="60"/>
  <c r="A309" i="60"/>
  <c r="A310" i="60"/>
  <c r="A311" i="60"/>
  <c r="A312" i="60"/>
  <c r="A313" i="60"/>
  <c r="A314" i="60"/>
  <c r="A315" i="60"/>
  <c r="A316" i="60"/>
  <c r="A317" i="60"/>
  <c r="A318" i="60"/>
  <c r="AE318" i="60"/>
  <c r="AI317" i="60"/>
  <c r="AJ317" i="60"/>
  <c r="AK317" i="60"/>
  <c r="AL317" i="60"/>
  <c r="AM317" i="60"/>
  <c r="AO317" i="60"/>
  <c r="AN317" i="60"/>
  <c r="AE317" i="60"/>
  <c r="AI316" i="60"/>
  <c r="AJ316" i="60"/>
  <c r="AK316" i="60"/>
  <c r="AL316" i="60"/>
  <c r="AM316" i="60"/>
  <c r="AO316" i="60"/>
  <c r="AN316" i="60"/>
  <c r="AE316" i="60"/>
  <c r="AI315" i="60"/>
  <c r="AJ315" i="60"/>
  <c r="AK315" i="60"/>
  <c r="AL315" i="60"/>
  <c r="AM315" i="60"/>
  <c r="AO315" i="60"/>
  <c r="AN315" i="60"/>
  <c r="AE315" i="60"/>
  <c r="AI314" i="60"/>
  <c r="AJ314" i="60"/>
  <c r="AK314" i="60"/>
  <c r="AL314" i="60"/>
  <c r="AM314" i="60"/>
  <c r="AO314" i="60"/>
  <c r="AN314" i="60"/>
  <c r="AE314" i="60"/>
  <c r="AI313" i="60"/>
  <c r="AJ313" i="60"/>
  <c r="AK313" i="60"/>
  <c r="AL313" i="60"/>
  <c r="AM313" i="60"/>
  <c r="AO313" i="60"/>
  <c r="AN313" i="60"/>
  <c r="AE313" i="60"/>
  <c r="AI312" i="60"/>
  <c r="AJ312" i="60"/>
  <c r="AK312" i="60"/>
  <c r="AL312" i="60"/>
  <c r="AM312" i="60"/>
  <c r="AO312" i="60"/>
  <c r="AN312" i="60"/>
  <c r="AE312" i="60"/>
  <c r="AI311" i="60"/>
  <c r="AJ311" i="60"/>
  <c r="AK311" i="60"/>
  <c r="AL311" i="60"/>
  <c r="AM311" i="60"/>
  <c r="AO311" i="60"/>
  <c r="AN311" i="60"/>
  <c r="AE311" i="60"/>
  <c r="AI310" i="60"/>
  <c r="AJ310" i="60"/>
  <c r="AK310" i="60"/>
  <c r="AL310" i="60"/>
  <c r="AM310" i="60"/>
  <c r="AO310" i="60"/>
  <c r="AN310" i="60"/>
  <c r="AE310" i="60"/>
  <c r="AI309" i="60"/>
  <c r="AJ309" i="60"/>
  <c r="AK309" i="60"/>
  <c r="AL309" i="60"/>
  <c r="AM309" i="60"/>
  <c r="AO309" i="60"/>
  <c r="AN309" i="60"/>
  <c r="AE309" i="60"/>
  <c r="AI308" i="60"/>
  <c r="AJ308" i="60"/>
  <c r="AK308" i="60"/>
  <c r="AL308" i="60"/>
  <c r="AM308" i="60"/>
  <c r="AO308" i="60"/>
  <c r="AN308" i="60"/>
  <c r="AE308" i="60"/>
  <c r="AI307" i="60"/>
  <c r="AJ307" i="60"/>
  <c r="AK307" i="60"/>
  <c r="AL307" i="60"/>
  <c r="AM307" i="60"/>
  <c r="AO307" i="60"/>
  <c r="AN307" i="60"/>
  <c r="AE307" i="60"/>
  <c r="AI306" i="60"/>
  <c r="AJ306" i="60"/>
  <c r="AK306" i="60"/>
  <c r="AL306" i="60"/>
  <c r="AM306" i="60"/>
  <c r="AO306" i="60"/>
  <c r="AN306" i="60"/>
  <c r="AE306" i="60"/>
  <c r="AI305" i="60"/>
  <c r="AJ305" i="60"/>
  <c r="AK305" i="60"/>
  <c r="AL305" i="60"/>
  <c r="AM305" i="60"/>
  <c r="AO305" i="60"/>
  <c r="AN305" i="60"/>
  <c r="AE305" i="60"/>
  <c r="AI304" i="60"/>
  <c r="AJ304" i="60"/>
  <c r="AK304" i="60"/>
  <c r="AL304" i="60"/>
  <c r="AM304" i="60"/>
  <c r="AO304" i="60"/>
  <c r="AN304" i="60"/>
  <c r="AE304" i="60"/>
  <c r="AI303" i="60"/>
  <c r="AJ303" i="60"/>
  <c r="AK303" i="60"/>
  <c r="AL303" i="60"/>
  <c r="AM303" i="60"/>
  <c r="AO303" i="60"/>
  <c r="AN303" i="60"/>
  <c r="AE303" i="60"/>
  <c r="AI302" i="60"/>
  <c r="AJ302" i="60"/>
  <c r="AK302" i="60"/>
  <c r="AL302" i="60"/>
  <c r="AM302" i="60"/>
  <c r="AO302" i="60"/>
  <c r="AN302" i="60"/>
  <c r="AE302" i="60"/>
  <c r="AI301" i="60"/>
  <c r="AJ301" i="60"/>
  <c r="AK301" i="60"/>
  <c r="AL301" i="60"/>
  <c r="AM301" i="60"/>
  <c r="AO301" i="60"/>
  <c r="AN301" i="60"/>
  <c r="AE301" i="60"/>
  <c r="AI300" i="60"/>
  <c r="AJ300" i="60"/>
  <c r="AK300" i="60"/>
  <c r="AL300" i="60"/>
  <c r="AM300" i="60"/>
  <c r="AO300" i="60"/>
  <c r="AN300" i="60"/>
  <c r="AE300" i="60"/>
  <c r="AI299" i="60"/>
  <c r="AJ299" i="60"/>
  <c r="AK299" i="60"/>
  <c r="AL299" i="60"/>
  <c r="AM299" i="60"/>
  <c r="AO299" i="60"/>
  <c r="AN299" i="60"/>
  <c r="AE299" i="60"/>
  <c r="AI298" i="60"/>
  <c r="AJ298" i="60"/>
  <c r="AK298" i="60"/>
  <c r="AL298" i="60"/>
  <c r="AM298" i="60"/>
  <c r="AO298" i="60"/>
  <c r="AN298" i="60"/>
  <c r="AE298" i="60"/>
  <c r="AI297" i="60"/>
  <c r="AJ297" i="60"/>
  <c r="AK297" i="60"/>
  <c r="AL297" i="60"/>
  <c r="AM297" i="60"/>
  <c r="AO297" i="60"/>
  <c r="AN297" i="60"/>
  <c r="AE297" i="60"/>
  <c r="AI296" i="60"/>
  <c r="AJ296" i="60"/>
  <c r="AK296" i="60"/>
  <c r="AL296" i="60"/>
  <c r="AM296" i="60"/>
  <c r="AO296" i="60"/>
  <c r="AN296" i="60"/>
  <c r="AE296" i="60"/>
  <c r="AI295" i="60"/>
  <c r="AJ295" i="60"/>
  <c r="AK295" i="60"/>
  <c r="AL295" i="60"/>
  <c r="AM295" i="60"/>
  <c r="AO295" i="60"/>
  <c r="AN295" i="60"/>
  <c r="AE295" i="60"/>
  <c r="AI294" i="60"/>
  <c r="AJ294" i="60"/>
  <c r="AK294" i="60"/>
  <c r="AL294" i="60"/>
  <c r="AM294" i="60"/>
  <c r="AO294" i="60"/>
  <c r="AN294" i="60"/>
  <c r="AE294" i="60"/>
  <c r="AI293" i="60"/>
  <c r="AJ293" i="60"/>
  <c r="AK293" i="60"/>
  <c r="AL293" i="60"/>
  <c r="AM293" i="60"/>
  <c r="AO293" i="60"/>
  <c r="AN293" i="60"/>
  <c r="AE293" i="60"/>
  <c r="AI292" i="60"/>
  <c r="AJ292" i="60"/>
  <c r="AK292" i="60"/>
  <c r="AL292" i="60"/>
  <c r="AM292" i="60"/>
  <c r="AO292" i="60"/>
  <c r="AN292" i="60"/>
  <c r="AE292" i="60"/>
  <c r="AI291" i="60"/>
  <c r="AJ291" i="60"/>
  <c r="AK291" i="60"/>
  <c r="AL291" i="60"/>
  <c r="AM291" i="60"/>
  <c r="AO291" i="60"/>
  <c r="AN291" i="60"/>
  <c r="AE291" i="60"/>
  <c r="AI290" i="60"/>
  <c r="AJ290" i="60"/>
  <c r="AK290" i="60"/>
  <c r="AL290" i="60"/>
  <c r="AM290" i="60"/>
  <c r="AO290" i="60"/>
  <c r="AN290" i="60"/>
  <c r="AE290" i="60"/>
  <c r="AI289" i="60"/>
  <c r="AJ289" i="60"/>
  <c r="AK289" i="60"/>
  <c r="AL289" i="60"/>
  <c r="AM289" i="60"/>
  <c r="AO289" i="60"/>
  <c r="AN289" i="60"/>
  <c r="AE289" i="60"/>
  <c r="AI288" i="60"/>
  <c r="AJ288" i="60"/>
  <c r="AK288" i="60"/>
  <c r="AL288" i="60"/>
  <c r="AM288" i="60"/>
  <c r="AO288" i="60"/>
  <c r="AN288" i="60"/>
  <c r="AE288" i="60"/>
  <c r="AI287" i="60"/>
  <c r="AJ287" i="60"/>
  <c r="AK287" i="60"/>
  <c r="AL287" i="60"/>
  <c r="AM287" i="60"/>
  <c r="AO287" i="60"/>
  <c r="AN287" i="60"/>
  <c r="AE287" i="60"/>
  <c r="AI286" i="60"/>
  <c r="AJ286" i="60"/>
  <c r="AK286" i="60"/>
  <c r="AL286" i="60"/>
  <c r="AM286" i="60"/>
  <c r="AO286" i="60"/>
  <c r="AN286" i="60"/>
  <c r="AE286" i="60"/>
  <c r="AI285" i="60"/>
  <c r="AJ285" i="60"/>
  <c r="AK285" i="60"/>
  <c r="AL285" i="60"/>
  <c r="AM285" i="60"/>
  <c r="AO285" i="60"/>
  <c r="AN285" i="60"/>
  <c r="AE285" i="60"/>
  <c r="AI284" i="60"/>
  <c r="AJ284" i="60"/>
  <c r="AK284" i="60"/>
  <c r="AL284" i="60"/>
  <c r="AM284" i="60"/>
  <c r="AO284" i="60"/>
  <c r="AN284" i="60"/>
  <c r="AE284" i="60"/>
  <c r="AI283" i="60"/>
  <c r="AJ283" i="60"/>
  <c r="AK283" i="60"/>
  <c r="AL283" i="60"/>
  <c r="AM283" i="60"/>
  <c r="AO283" i="60"/>
  <c r="AN283" i="60"/>
  <c r="AE283" i="60"/>
  <c r="AI282" i="60"/>
  <c r="AJ282" i="60"/>
  <c r="AK282" i="60"/>
  <c r="AL282" i="60"/>
  <c r="AM282" i="60"/>
  <c r="AO282" i="60"/>
  <c r="AN282" i="60"/>
  <c r="AE282" i="60"/>
  <c r="AI281" i="60"/>
  <c r="AJ281" i="60"/>
  <c r="AK281" i="60"/>
  <c r="AL281" i="60"/>
  <c r="AM281" i="60"/>
  <c r="AO281" i="60"/>
  <c r="AN281" i="60"/>
  <c r="AE281" i="60"/>
  <c r="AI280" i="60"/>
  <c r="AJ280" i="60"/>
  <c r="AK280" i="60"/>
  <c r="AL280" i="60"/>
  <c r="AM280" i="60"/>
  <c r="AO280" i="60"/>
  <c r="AN280" i="60"/>
  <c r="AE280" i="60"/>
  <c r="AI279" i="60"/>
  <c r="AJ279" i="60"/>
  <c r="AK279" i="60"/>
  <c r="AL279" i="60"/>
  <c r="AM279" i="60"/>
  <c r="AO279" i="60"/>
  <c r="AN279" i="60"/>
  <c r="AE279" i="60"/>
  <c r="AI278" i="60"/>
  <c r="AJ278" i="60"/>
  <c r="AK278" i="60"/>
  <c r="AL278" i="60"/>
  <c r="AM278" i="60"/>
  <c r="AO278" i="60"/>
  <c r="AN278" i="60"/>
  <c r="AE278" i="60"/>
  <c r="AI277" i="60"/>
  <c r="AJ277" i="60"/>
  <c r="AK277" i="60"/>
  <c r="AL277" i="60"/>
  <c r="AM277" i="60"/>
  <c r="AO277" i="60"/>
  <c r="AN277" i="60"/>
  <c r="AE277" i="60"/>
  <c r="AI276" i="60"/>
  <c r="AJ276" i="60"/>
  <c r="AK276" i="60"/>
  <c r="AL276" i="60"/>
  <c r="AM276" i="60"/>
  <c r="AO276" i="60"/>
  <c r="AN276" i="60"/>
  <c r="AE276" i="60"/>
  <c r="AI275" i="60"/>
  <c r="AJ275" i="60"/>
  <c r="AK275" i="60"/>
  <c r="AL275" i="60"/>
  <c r="AM275" i="60"/>
  <c r="AO275" i="60"/>
  <c r="AN275" i="60"/>
  <c r="AE275" i="60"/>
  <c r="AI274" i="60"/>
  <c r="AJ274" i="60"/>
  <c r="AK274" i="60"/>
  <c r="AL274" i="60"/>
  <c r="AM274" i="60"/>
  <c r="AO274" i="60"/>
  <c r="AN274" i="60"/>
  <c r="AE274" i="60"/>
  <c r="AI273" i="60"/>
  <c r="AJ273" i="60"/>
  <c r="AK273" i="60"/>
  <c r="AL273" i="60"/>
  <c r="AM273" i="60"/>
  <c r="AO273" i="60"/>
  <c r="AN273" i="60"/>
  <c r="AE273" i="60"/>
  <c r="AI272" i="60"/>
  <c r="AJ272" i="60"/>
  <c r="AK272" i="60"/>
  <c r="AL272" i="60"/>
  <c r="AM272" i="60"/>
  <c r="AO272" i="60"/>
  <c r="AN272" i="60"/>
  <c r="AE272" i="60"/>
  <c r="AI271" i="60"/>
  <c r="AJ271" i="60"/>
  <c r="AK271" i="60"/>
  <c r="AL271" i="60"/>
  <c r="AM271" i="60"/>
  <c r="AO271" i="60"/>
  <c r="AN271" i="60"/>
  <c r="AE271" i="60"/>
  <c r="AI270" i="60"/>
  <c r="AJ270" i="60"/>
  <c r="AK270" i="60"/>
  <c r="AL270" i="60"/>
  <c r="AM270" i="60"/>
  <c r="AO270" i="60"/>
  <c r="AN270" i="60"/>
  <c r="AE270" i="60"/>
  <c r="AI269" i="60"/>
  <c r="AJ269" i="60"/>
  <c r="AK269" i="60"/>
  <c r="AL269" i="60"/>
  <c r="AM269" i="60"/>
  <c r="AO269" i="60"/>
  <c r="AN269" i="60"/>
  <c r="AE269" i="60"/>
  <c r="AI268" i="60"/>
  <c r="AJ268" i="60"/>
  <c r="AK268" i="60"/>
  <c r="AL268" i="60"/>
  <c r="AM268" i="60"/>
  <c r="AO268" i="60"/>
  <c r="AN268" i="60"/>
  <c r="AE268" i="60"/>
  <c r="AI267" i="60"/>
  <c r="AJ267" i="60"/>
  <c r="AK267" i="60"/>
  <c r="AL267" i="60"/>
  <c r="AM267" i="60"/>
  <c r="AO267" i="60"/>
  <c r="AN267" i="60"/>
  <c r="AE267" i="60"/>
  <c r="AI266" i="60"/>
  <c r="AJ266" i="60"/>
  <c r="AK266" i="60"/>
  <c r="AL266" i="60"/>
  <c r="AM266" i="60"/>
  <c r="AO266" i="60"/>
  <c r="AN266" i="60"/>
  <c r="AE266" i="60"/>
  <c r="AI265" i="60"/>
  <c r="AJ265" i="60"/>
  <c r="AK265" i="60"/>
  <c r="AL265" i="60"/>
  <c r="AM265" i="60"/>
  <c r="AO265" i="60"/>
  <c r="AN265" i="60"/>
  <c r="AE265" i="60"/>
  <c r="AI264" i="60"/>
  <c r="AJ264" i="60"/>
  <c r="AK264" i="60"/>
  <c r="AL264" i="60"/>
  <c r="AM264" i="60"/>
  <c r="AO264" i="60"/>
  <c r="AN264" i="60"/>
  <c r="AE264" i="60"/>
  <c r="AI263" i="60"/>
  <c r="AJ263" i="60"/>
  <c r="AK263" i="60"/>
  <c r="AL263" i="60"/>
  <c r="AM263" i="60"/>
  <c r="AO263" i="60"/>
  <c r="AN263" i="60"/>
  <c r="AE263" i="60"/>
  <c r="AI262" i="60"/>
  <c r="AJ262" i="60"/>
  <c r="AK262" i="60"/>
  <c r="AL262" i="60"/>
  <c r="AM262" i="60"/>
  <c r="AO262" i="60"/>
  <c r="AN262" i="60"/>
  <c r="AE262" i="60"/>
  <c r="AI261" i="60"/>
  <c r="AJ261" i="60"/>
  <c r="AK261" i="60"/>
  <c r="AL261" i="60"/>
  <c r="AM261" i="60"/>
  <c r="AO261" i="60"/>
  <c r="AN261" i="60"/>
  <c r="AE261" i="60"/>
  <c r="AI260" i="60"/>
  <c r="AJ260" i="60"/>
  <c r="AK260" i="60"/>
  <c r="AL260" i="60"/>
  <c r="AM260" i="60"/>
  <c r="AO260" i="60"/>
  <c r="AN260" i="60"/>
  <c r="AE260" i="60"/>
  <c r="AI259" i="60"/>
  <c r="AJ259" i="60"/>
  <c r="AK259" i="60"/>
  <c r="AL259" i="60"/>
  <c r="AM259" i="60"/>
  <c r="AO259" i="60"/>
  <c r="AN259" i="60"/>
  <c r="AE259" i="60"/>
  <c r="AI258" i="60"/>
  <c r="AJ258" i="60"/>
  <c r="AK258" i="60"/>
  <c r="AL258" i="60"/>
  <c r="AM258" i="60"/>
  <c r="AO258" i="60"/>
  <c r="AN258" i="60"/>
  <c r="AE258" i="60"/>
  <c r="AI257" i="60"/>
  <c r="AJ257" i="60"/>
  <c r="AK257" i="60"/>
  <c r="AL257" i="60"/>
  <c r="AM257" i="60"/>
  <c r="AO257" i="60"/>
  <c r="AN257" i="60"/>
  <c r="AE257" i="60"/>
  <c r="AI256" i="60"/>
  <c r="AJ256" i="60"/>
  <c r="AK256" i="60"/>
  <c r="AL256" i="60"/>
  <c r="AM256" i="60"/>
  <c r="AO256" i="60"/>
  <c r="AN256" i="60"/>
  <c r="AE256" i="60"/>
  <c r="AI255" i="60"/>
  <c r="AJ255" i="60"/>
  <c r="AK255" i="60"/>
  <c r="AL255" i="60"/>
  <c r="AM255" i="60"/>
  <c r="AO255" i="60"/>
  <c r="AN255" i="60"/>
  <c r="AE255" i="60"/>
  <c r="AI254" i="60"/>
  <c r="AJ254" i="60"/>
  <c r="AK254" i="60"/>
  <c r="AL254" i="60"/>
  <c r="AM254" i="60"/>
  <c r="AO254" i="60"/>
  <c r="AN254" i="60"/>
  <c r="AE254" i="60"/>
  <c r="AI253" i="60"/>
  <c r="AJ253" i="60"/>
  <c r="AK253" i="60"/>
  <c r="AL253" i="60"/>
  <c r="AM253" i="60"/>
  <c r="AO253" i="60"/>
  <c r="AN253" i="60"/>
  <c r="AE253" i="60"/>
  <c r="AI252" i="60"/>
  <c r="AJ252" i="60"/>
  <c r="AK252" i="60"/>
  <c r="AL252" i="60"/>
  <c r="AM252" i="60"/>
  <c r="AO252" i="60"/>
  <c r="AN252" i="60"/>
  <c r="AE252" i="60"/>
  <c r="AI251" i="60"/>
  <c r="AJ251" i="60"/>
  <c r="AK251" i="60"/>
  <c r="AL251" i="60"/>
  <c r="AM251" i="60"/>
  <c r="AO251" i="60"/>
  <c r="AN251" i="60"/>
  <c r="AE251" i="60"/>
  <c r="AI250" i="60"/>
  <c r="AJ250" i="60"/>
  <c r="AK250" i="60"/>
  <c r="AL250" i="60"/>
  <c r="AM250" i="60"/>
  <c r="AO250" i="60"/>
  <c r="AN250" i="60"/>
  <c r="AE250" i="60"/>
  <c r="AI249" i="60"/>
  <c r="AJ249" i="60"/>
  <c r="AK249" i="60"/>
  <c r="AL249" i="60"/>
  <c r="AM249" i="60"/>
  <c r="AO249" i="60"/>
  <c r="AN249" i="60"/>
  <c r="AE249" i="60"/>
  <c r="AI248" i="60"/>
  <c r="AJ248" i="60"/>
  <c r="AK248" i="60"/>
  <c r="AL248" i="60"/>
  <c r="AM248" i="60"/>
  <c r="AO248" i="60"/>
  <c r="AN248" i="60"/>
  <c r="AE248" i="60"/>
  <c r="AI247" i="60"/>
  <c r="AJ247" i="60"/>
  <c r="AK247" i="60"/>
  <c r="AL247" i="60"/>
  <c r="AM247" i="60"/>
  <c r="AO247" i="60"/>
  <c r="AN247" i="60"/>
  <c r="AE247" i="60"/>
  <c r="AI246" i="60"/>
  <c r="AJ246" i="60"/>
  <c r="AK246" i="60"/>
  <c r="AL246" i="60"/>
  <c r="AM246" i="60"/>
  <c r="AO246" i="60"/>
  <c r="AN246" i="60"/>
  <c r="AE246" i="60"/>
  <c r="AI245" i="60"/>
  <c r="AJ245" i="60"/>
  <c r="AK245" i="60"/>
  <c r="AL245" i="60"/>
  <c r="AM245" i="60"/>
  <c r="AO245" i="60"/>
  <c r="AN245" i="60"/>
  <c r="AE245" i="60"/>
  <c r="AI244" i="60"/>
  <c r="AJ244" i="60"/>
  <c r="AK244" i="60"/>
  <c r="AL244" i="60"/>
  <c r="AM244" i="60"/>
  <c r="AO244" i="60"/>
  <c r="AN244" i="60"/>
  <c r="AE244" i="60"/>
  <c r="AI243" i="60"/>
  <c r="AJ243" i="60"/>
  <c r="AK243" i="60"/>
  <c r="AL243" i="60"/>
  <c r="AM243" i="60"/>
  <c r="AO243" i="60"/>
  <c r="AN243" i="60"/>
  <c r="AE243" i="60"/>
  <c r="AI242" i="60"/>
  <c r="AJ242" i="60"/>
  <c r="AK242" i="60"/>
  <c r="AL242" i="60"/>
  <c r="AM242" i="60"/>
  <c r="AO242" i="60"/>
  <c r="AN242" i="60"/>
  <c r="AE242" i="60"/>
  <c r="AI241" i="60"/>
  <c r="AJ241" i="60"/>
  <c r="AK241" i="60"/>
  <c r="AL241" i="60"/>
  <c r="AM241" i="60"/>
  <c r="AO241" i="60"/>
  <c r="AN241" i="60"/>
  <c r="AE241" i="60"/>
  <c r="AI240" i="60"/>
  <c r="AJ240" i="60"/>
  <c r="AK240" i="60"/>
  <c r="AL240" i="60"/>
  <c r="AM240" i="60"/>
  <c r="AO240" i="60"/>
  <c r="AN240" i="60"/>
  <c r="AE240" i="60"/>
  <c r="AI239" i="60"/>
  <c r="AJ239" i="60"/>
  <c r="AK239" i="60"/>
  <c r="AL239" i="60"/>
  <c r="AM239" i="60"/>
  <c r="AO239" i="60"/>
  <c r="AN239" i="60"/>
  <c r="AE239" i="60"/>
  <c r="AI238" i="60"/>
  <c r="AJ238" i="60"/>
  <c r="AK238" i="60"/>
  <c r="AL238" i="60"/>
  <c r="AM238" i="60"/>
  <c r="AO238" i="60"/>
  <c r="AN238" i="60"/>
  <c r="AE238" i="60"/>
  <c r="AI237" i="60"/>
  <c r="AJ237" i="60"/>
  <c r="AK237" i="60"/>
  <c r="AL237" i="60"/>
  <c r="AM237" i="60"/>
  <c r="AO237" i="60"/>
  <c r="AN237" i="60"/>
  <c r="AE237" i="60"/>
  <c r="AI236" i="60"/>
  <c r="AJ236" i="60"/>
  <c r="AK236" i="60"/>
  <c r="AL236" i="60"/>
  <c r="AM236" i="60"/>
  <c r="AO236" i="60"/>
  <c r="AN236" i="60"/>
  <c r="AE236" i="60"/>
  <c r="AI235" i="60"/>
  <c r="AJ235" i="60"/>
  <c r="AK235" i="60"/>
  <c r="AL235" i="60"/>
  <c r="AM235" i="60"/>
  <c r="AO235" i="60"/>
  <c r="AN235" i="60"/>
  <c r="AE235" i="60"/>
  <c r="AI234" i="60"/>
  <c r="AJ234" i="60"/>
  <c r="AK234" i="60"/>
  <c r="AL234" i="60"/>
  <c r="AM234" i="60"/>
  <c r="AO234" i="60"/>
  <c r="AN234" i="60"/>
  <c r="AE234" i="60"/>
  <c r="AI233" i="60"/>
  <c r="AJ233" i="60"/>
  <c r="AK233" i="60"/>
  <c r="AL233" i="60"/>
  <c r="AM233" i="60"/>
  <c r="AO233" i="60"/>
  <c r="AN233" i="60"/>
  <c r="AE233" i="60"/>
  <c r="AI232" i="60"/>
  <c r="AJ232" i="60"/>
  <c r="AK232" i="60"/>
  <c r="AL232" i="60"/>
  <c r="AM232" i="60"/>
  <c r="AO232" i="60"/>
  <c r="AN232" i="60"/>
  <c r="AE232" i="60"/>
  <c r="AI231" i="60"/>
  <c r="AJ231" i="60"/>
  <c r="AK231" i="60"/>
  <c r="AL231" i="60"/>
  <c r="AM231" i="60"/>
  <c r="AO231" i="60"/>
  <c r="AN231" i="60"/>
  <c r="AE231" i="60"/>
  <c r="AI230" i="60"/>
  <c r="AJ230" i="60"/>
  <c r="AK230" i="60"/>
  <c r="AL230" i="60"/>
  <c r="AM230" i="60"/>
  <c r="AO230" i="60"/>
  <c r="AN230" i="60"/>
  <c r="AE230" i="60"/>
  <c r="AI229" i="60"/>
  <c r="AJ229" i="60"/>
  <c r="AK229" i="60"/>
  <c r="AL229" i="60"/>
  <c r="AM229" i="60"/>
  <c r="AO229" i="60"/>
  <c r="AN229" i="60"/>
  <c r="AE229" i="60"/>
  <c r="AI228" i="60"/>
  <c r="AJ228" i="60"/>
  <c r="AK228" i="60"/>
  <c r="AL228" i="60"/>
  <c r="AM228" i="60"/>
  <c r="AO228" i="60"/>
  <c r="AN228" i="60"/>
  <c r="AE228" i="60"/>
  <c r="AI227" i="60"/>
  <c r="AJ227" i="60"/>
  <c r="AK227" i="60"/>
  <c r="AL227" i="60"/>
  <c r="AM227" i="60"/>
  <c r="AO227" i="60"/>
  <c r="AN227" i="60"/>
  <c r="AE227" i="60"/>
  <c r="AI226" i="60"/>
  <c r="AJ226" i="60"/>
  <c r="AK226" i="60"/>
  <c r="AL226" i="60"/>
  <c r="AM226" i="60"/>
  <c r="AO226" i="60"/>
  <c r="AN226" i="60"/>
  <c r="AE226" i="60"/>
  <c r="AI225" i="60"/>
  <c r="AJ225" i="60"/>
  <c r="AK225" i="60"/>
  <c r="AL225" i="60"/>
  <c r="AM225" i="60"/>
  <c r="AO225" i="60"/>
  <c r="AN225" i="60"/>
  <c r="AE225" i="60"/>
  <c r="AI224" i="60"/>
  <c r="AJ224" i="60"/>
  <c r="AK224" i="60"/>
  <c r="AL224" i="60"/>
  <c r="AM224" i="60"/>
  <c r="AO224" i="60"/>
  <c r="AN224" i="60"/>
  <c r="AE224" i="60"/>
  <c r="AI223" i="60"/>
  <c r="AJ223" i="60"/>
  <c r="AK223" i="60"/>
  <c r="AL223" i="60"/>
  <c r="AM223" i="60"/>
  <c r="AO223" i="60"/>
  <c r="AN223" i="60"/>
  <c r="AE223" i="60"/>
  <c r="AI222" i="60"/>
  <c r="AJ222" i="60"/>
  <c r="AK222" i="60"/>
  <c r="AL222" i="60"/>
  <c r="AM222" i="60"/>
  <c r="AO222" i="60"/>
  <c r="AN222" i="60"/>
  <c r="AE222" i="60"/>
  <c r="AI221" i="60"/>
  <c r="AJ221" i="60"/>
  <c r="AK221" i="60"/>
  <c r="AL221" i="60"/>
  <c r="AM221" i="60"/>
  <c r="AO221" i="60"/>
  <c r="AN221" i="60"/>
  <c r="AE221" i="60"/>
  <c r="AI220" i="60"/>
  <c r="AJ220" i="60"/>
  <c r="AK220" i="60"/>
  <c r="AL220" i="60"/>
  <c r="AM220" i="60"/>
  <c r="AO220" i="60"/>
  <c r="AN220" i="60"/>
  <c r="AE220" i="60"/>
  <c r="AI219" i="60"/>
  <c r="AJ219" i="60"/>
  <c r="AK219" i="60"/>
  <c r="AL219" i="60"/>
  <c r="AM219" i="60"/>
  <c r="AO219" i="60"/>
  <c r="AN219" i="60"/>
  <c r="AE219" i="60"/>
  <c r="AI218" i="60"/>
  <c r="AJ218" i="60"/>
  <c r="AK218" i="60"/>
  <c r="AL218" i="60"/>
  <c r="AM218" i="60"/>
  <c r="AO218" i="60"/>
  <c r="AN218" i="60"/>
  <c r="AE218" i="60"/>
  <c r="AI217" i="60"/>
  <c r="AJ217" i="60"/>
  <c r="AK217" i="60"/>
  <c r="AL217" i="60"/>
  <c r="AM217" i="60"/>
  <c r="AO217" i="60"/>
  <c r="AN217" i="60"/>
  <c r="AE217" i="60"/>
  <c r="AI216" i="60"/>
  <c r="AJ216" i="60"/>
  <c r="AK216" i="60"/>
  <c r="AL216" i="60"/>
  <c r="AM216" i="60"/>
  <c r="AO216" i="60"/>
  <c r="AN216" i="60"/>
  <c r="AE216" i="60"/>
  <c r="AI215" i="60"/>
  <c r="AJ215" i="60"/>
  <c r="AK215" i="60"/>
  <c r="AL215" i="60"/>
  <c r="AM215" i="60"/>
  <c r="AO215" i="60"/>
  <c r="AN215" i="60"/>
  <c r="AE215" i="60"/>
  <c r="AI214" i="60"/>
  <c r="AJ214" i="60"/>
  <c r="AK214" i="60"/>
  <c r="AL214" i="60"/>
  <c r="AM214" i="60"/>
  <c r="AO214" i="60"/>
  <c r="AN214" i="60"/>
  <c r="AE214" i="60"/>
  <c r="AI213" i="60"/>
  <c r="AJ213" i="60"/>
  <c r="AK213" i="60"/>
  <c r="AL213" i="60"/>
  <c r="AM213" i="60"/>
  <c r="AO213" i="60"/>
  <c r="AN213" i="60"/>
  <c r="AE213" i="60"/>
  <c r="AI212" i="60"/>
  <c r="AJ212" i="60"/>
  <c r="AK212" i="60"/>
  <c r="AL212" i="60"/>
  <c r="AM212" i="60"/>
  <c r="AO212" i="60"/>
  <c r="AN212" i="60"/>
  <c r="AE212" i="60"/>
  <c r="AI211" i="60"/>
  <c r="AJ211" i="60"/>
  <c r="AK211" i="60"/>
  <c r="AL211" i="60"/>
  <c r="AM211" i="60"/>
  <c r="AO211" i="60"/>
  <c r="AN211" i="60"/>
  <c r="AE211" i="60"/>
  <c r="AI210" i="60"/>
  <c r="AJ210" i="60"/>
  <c r="AK210" i="60"/>
  <c r="AL210" i="60"/>
  <c r="AM210" i="60"/>
  <c r="AO210" i="60"/>
  <c r="AN210" i="60"/>
  <c r="AE210" i="60"/>
  <c r="AI209" i="60"/>
  <c r="AJ209" i="60"/>
  <c r="AK209" i="60"/>
  <c r="AL209" i="60"/>
  <c r="AM209" i="60"/>
  <c r="AO209" i="60"/>
  <c r="AN209" i="60"/>
  <c r="AE209" i="60"/>
  <c r="AI208" i="60"/>
  <c r="AJ208" i="60"/>
  <c r="AK208" i="60"/>
  <c r="AL208" i="60"/>
  <c r="AM208" i="60"/>
  <c r="AO208" i="60"/>
  <c r="AN208" i="60"/>
  <c r="AE208" i="60"/>
  <c r="AI207" i="60"/>
  <c r="AJ207" i="60"/>
  <c r="AK207" i="60"/>
  <c r="AL207" i="60"/>
  <c r="AM207" i="60"/>
  <c r="AO207" i="60"/>
  <c r="AN207" i="60"/>
  <c r="AE207" i="60"/>
  <c r="AI206" i="60"/>
  <c r="AJ206" i="60"/>
  <c r="AK206" i="60"/>
  <c r="AL206" i="60"/>
  <c r="AM206" i="60"/>
  <c r="AO206" i="60"/>
  <c r="AN206" i="60"/>
  <c r="AE206" i="60"/>
  <c r="AI205" i="60"/>
  <c r="AJ205" i="60"/>
  <c r="AK205" i="60"/>
  <c r="AL205" i="60"/>
  <c r="AM205" i="60"/>
  <c r="AO205" i="60"/>
  <c r="AN205" i="60"/>
  <c r="AE205" i="60"/>
  <c r="AI204" i="60"/>
  <c r="AJ204" i="60"/>
  <c r="AK204" i="60"/>
  <c r="AL204" i="60"/>
  <c r="AM204" i="60"/>
  <c r="AO204" i="60"/>
  <c r="AN204" i="60"/>
  <c r="AE204" i="60"/>
  <c r="AI203" i="60"/>
  <c r="AJ203" i="60"/>
  <c r="AK203" i="60"/>
  <c r="AL203" i="60"/>
  <c r="AM203" i="60"/>
  <c r="AO203" i="60"/>
  <c r="AN203" i="60"/>
  <c r="AE203" i="60"/>
  <c r="AI202" i="60"/>
  <c r="AJ202" i="60"/>
  <c r="AK202" i="60"/>
  <c r="AL202" i="60"/>
  <c r="AM202" i="60"/>
  <c r="AO202" i="60"/>
  <c r="AN202" i="60"/>
  <c r="AE202" i="60"/>
  <c r="AI201" i="60"/>
  <c r="AJ201" i="60"/>
  <c r="AK201" i="60"/>
  <c r="AL201" i="60"/>
  <c r="AM201" i="60"/>
  <c r="AO201" i="60"/>
  <c r="AN201" i="60"/>
  <c r="AE201" i="60"/>
  <c r="AI200" i="60"/>
  <c r="AJ200" i="60"/>
  <c r="AK200" i="60"/>
  <c r="AL200" i="60"/>
  <c r="AM200" i="60"/>
  <c r="AO200" i="60"/>
  <c r="AN200" i="60"/>
  <c r="AE200" i="60"/>
  <c r="AI199" i="60"/>
  <c r="AJ199" i="60"/>
  <c r="AK199" i="60"/>
  <c r="AL199" i="60"/>
  <c r="AM199" i="60"/>
  <c r="AO199" i="60"/>
  <c r="AN199" i="60"/>
  <c r="AE199" i="60"/>
  <c r="AI198" i="60"/>
  <c r="AJ198" i="60"/>
  <c r="AK198" i="60"/>
  <c r="AL198" i="60"/>
  <c r="AM198" i="60"/>
  <c r="AO198" i="60"/>
  <c r="AN198" i="60"/>
  <c r="AE198" i="60"/>
  <c r="AI197" i="60"/>
  <c r="AJ197" i="60"/>
  <c r="AK197" i="60"/>
  <c r="AL197" i="60"/>
  <c r="AM197" i="60"/>
  <c r="AO197" i="60"/>
  <c r="AN197" i="60"/>
  <c r="AE197" i="60"/>
  <c r="AI196" i="60"/>
  <c r="AJ196" i="60"/>
  <c r="AK196" i="60"/>
  <c r="AL196" i="60"/>
  <c r="AM196" i="60"/>
  <c r="AO196" i="60"/>
  <c r="AN196" i="60"/>
  <c r="AE196" i="60"/>
  <c r="AI195" i="60"/>
  <c r="AJ195" i="60"/>
  <c r="AK195" i="60"/>
  <c r="AL195" i="60"/>
  <c r="AM195" i="60"/>
  <c r="AO195" i="60"/>
  <c r="AN195" i="60"/>
  <c r="AE195" i="60"/>
  <c r="AI194" i="60"/>
  <c r="AJ194" i="60"/>
  <c r="AK194" i="60"/>
  <c r="AL194" i="60"/>
  <c r="AM194" i="60"/>
  <c r="AO194" i="60"/>
  <c r="AN194" i="60"/>
  <c r="AE194" i="60"/>
  <c r="AI193" i="60"/>
  <c r="AJ193" i="60"/>
  <c r="AK193" i="60"/>
  <c r="AL193" i="60"/>
  <c r="AM193" i="60"/>
  <c r="AO193" i="60"/>
  <c r="AN193" i="60"/>
  <c r="AE193" i="60"/>
  <c r="AI192" i="60"/>
  <c r="AJ192" i="60"/>
  <c r="AK192" i="60"/>
  <c r="AL192" i="60"/>
  <c r="AM192" i="60"/>
  <c r="AO192" i="60"/>
  <c r="AN192" i="60"/>
  <c r="AE192" i="60"/>
  <c r="AI191" i="60"/>
  <c r="AJ191" i="60"/>
  <c r="AK191" i="60"/>
  <c r="AL191" i="60"/>
  <c r="AM191" i="60"/>
  <c r="AO191" i="60"/>
  <c r="AN191" i="60"/>
  <c r="AE191" i="60"/>
  <c r="AI190" i="60"/>
  <c r="AJ190" i="60"/>
  <c r="AK190" i="60"/>
  <c r="AL190" i="60"/>
  <c r="AM190" i="60"/>
  <c r="AO190" i="60"/>
  <c r="AN190" i="60"/>
  <c r="AE190" i="60"/>
  <c r="AI189" i="60"/>
  <c r="AJ189" i="60"/>
  <c r="AK189" i="60"/>
  <c r="AL189" i="60"/>
  <c r="AM189" i="60"/>
  <c r="AO189" i="60"/>
  <c r="AN189" i="60"/>
  <c r="AE189" i="60"/>
  <c r="AI188" i="60"/>
  <c r="AJ188" i="60"/>
  <c r="AK188" i="60"/>
  <c r="AL188" i="60"/>
  <c r="AM188" i="60"/>
  <c r="AO188" i="60"/>
  <c r="AN188" i="60"/>
  <c r="AE188" i="60"/>
  <c r="AI187" i="60"/>
  <c r="AJ187" i="60"/>
  <c r="AK187" i="60"/>
  <c r="AL187" i="60"/>
  <c r="AM187" i="60"/>
  <c r="AO187" i="60"/>
  <c r="AN187" i="60"/>
  <c r="AE187" i="60"/>
  <c r="AI186" i="60"/>
  <c r="AJ186" i="60"/>
  <c r="AK186" i="60"/>
  <c r="AL186" i="60"/>
  <c r="AM186" i="60"/>
  <c r="AO186" i="60"/>
  <c r="AN186" i="60"/>
  <c r="AE186" i="60"/>
  <c r="AI185" i="60"/>
  <c r="AJ185" i="60"/>
  <c r="AK185" i="60"/>
  <c r="AL185" i="60"/>
  <c r="AM185" i="60"/>
  <c r="AO185" i="60"/>
  <c r="AN185" i="60"/>
  <c r="AE185" i="60"/>
  <c r="AI184" i="60"/>
  <c r="AJ184" i="60"/>
  <c r="AK184" i="60"/>
  <c r="AL184" i="60"/>
  <c r="AM184" i="60"/>
  <c r="AO184" i="60"/>
  <c r="AN184" i="60"/>
  <c r="AE184" i="60"/>
  <c r="AI183" i="60"/>
  <c r="AJ183" i="60"/>
  <c r="AK183" i="60"/>
  <c r="AL183" i="60"/>
  <c r="AM183" i="60"/>
  <c r="AO183" i="60"/>
  <c r="AN183" i="60"/>
  <c r="AE183" i="60"/>
  <c r="AI182" i="60"/>
  <c r="AJ182" i="60"/>
  <c r="AK182" i="60"/>
  <c r="AL182" i="60"/>
  <c r="AM182" i="60"/>
  <c r="AO182" i="60"/>
  <c r="AN182" i="60"/>
  <c r="AE182" i="60"/>
  <c r="AI181" i="60"/>
  <c r="AJ181" i="60"/>
  <c r="AK181" i="60"/>
  <c r="AL181" i="60"/>
  <c r="AM181" i="60"/>
  <c r="AO181" i="60"/>
  <c r="AN181" i="60"/>
  <c r="AE181" i="60"/>
  <c r="AI180" i="60"/>
  <c r="AJ180" i="60"/>
  <c r="AK180" i="60"/>
  <c r="AL180" i="60"/>
  <c r="AM180" i="60"/>
  <c r="AO180" i="60"/>
  <c r="AN180" i="60"/>
  <c r="AE180" i="60"/>
  <c r="AI179" i="60"/>
  <c r="AJ179" i="60"/>
  <c r="AK179" i="60"/>
  <c r="AL179" i="60"/>
  <c r="AM179" i="60"/>
  <c r="AO179" i="60"/>
  <c r="AN179" i="60"/>
  <c r="AE179" i="60"/>
  <c r="AI178" i="60"/>
  <c r="AJ178" i="60"/>
  <c r="AK178" i="60"/>
  <c r="AL178" i="60"/>
  <c r="AM178" i="60"/>
  <c r="AO178" i="60"/>
  <c r="AN178" i="60"/>
  <c r="AE178" i="60"/>
  <c r="AI177" i="60"/>
  <c r="AJ177" i="60"/>
  <c r="AK177" i="60"/>
  <c r="AL177" i="60"/>
  <c r="AM177" i="60"/>
  <c r="AO177" i="60"/>
  <c r="AN177" i="60"/>
  <c r="AE177" i="60"/>
  <c r="AI176" i="60"/>
  <c r="AJ176" i="60"/>
  <c r="AK176" i="60"/>
  <c r="AL176" i="60"/>
  <c r="AM176" i="60"/>
  <c r="AO176" i="60"/>
  <c r="AN176" i="60"/>
  <c r="AE176" i="60"/>
  <c r="AI175" i="60"/>
  <c r="AJ175" i="60"/>
  <c r="AK175" i="60"/>
  <c r="AL175" i="60"/>
  <c r="AM175" i="60"/>
  <c r="AO175" i="60"/>
  <c r="AN175" i="60"/>
  <c r="AE175" i="60"/>
  <c r="AI174" i="60"/>
  <c r="AJ174" i="60"/>
  <c r="AK174" i="60"/>
  <c r="AL174" i="60"/>
  <c r="AM174" i="60"/>
  <c r="AO174" i="60"/>
  <c r="AN174" i="60"/>
  <c r="AE174" i="60"/>
  <c r="AI173" i="60"/>
  <c r="AJ173" i="60"/>
  <c r="AK173" i="60"/>
  <c r="AL173" i="60"/>
  <c r="AM173" i="60"/>
  <c r="AO173" i="60"/>
  <c r="AN173" i="60"/>
  <c r="AE173" i="60"/>
  <c r="AI172" i="60"/>
  <c r="AJ172" i="60"/>
  <c r="AK172" i="60"/>
  <c r="AL172" i="60"/>
  <c r="AM172" i="60"/>
  <c r="AO172" i="60"/>
  <c r="AN172" i="60"/>
  <c r="AE172" i="60"/>
  <c r="AI171" i="60"/>
  <c r="AJ171" i="60"/>
  <c r="AK171" i="60"/>
  <c r="AL171" i="60"/>
  <c r="AM171" i="60"/>
  <c r="AO171" i="60"/>
  <c r="AN171" i="60"/>
  <c r="AE171" i="60"/>
  <c r="AI170" i="60"/>
  <c r="AJ170" i="60"/>
  <c r="AK170" i="60"/>
  <c r="AL170" i="60"/>
  <c r="AM170" i="60"/>
  <c r="AO170" i="60"/>
  <c r="AN170" i="60"/>
  <c r="AE170" i="60"/>
  <c r="AI169" i="60"/>
  <c r="AJ169" i="60"/>
  <c r="AK169" i="60"/>
  <c r="AL169" i="60"/>
  <c r="AM169" i="60"/>
  <c r="AO169" i="60"/>
  <c r="AN169" i="60"/>
  <c r="AE169" i="60"/>
  <c r="AI168" i="60"/>
  <c r="AJ168" i="60"/>
  <c r="AK168" i="60"/>
  <c r="AL168" i="60"/>
  <c r="AM168" i="60"/>
  <c r="AO168" i="60"/>
  <c r="AN168" i="60"/>
  <c r="AE168" i="60"/>
  <c r="AI167" i="60"/>
  <c r="AJ167" i="60"/>
  <c r="AK167" i="60"/>
  <c r="AL167" i="60"/>
  <c r="AM167" i="60"/>
  <c r="AO167" i="60"/>
  <c r="AN167" i="60"/>
  <c r="AE167" i="60"/>
  <c r="AI166" i="60"/>
  <c r="AJ166" i="60"/>
  <c r="AK166" i="60"/>
  <c r="AL166" i="60"/>
  <c r="AM166" i="60"/>
  <c r="AO166" i="60"/>
  <c r="AN166" i="60"/>
  <c r="AE166" i="60"/>
  <c r="AI165" i="60"/>
  <c r="AJ165" i="60"/>
  <c r="AK165" i="60"/>
  <c r="AL165" i="60"/>
  <c r="AM165" i="60"/>
  <c r="AO165" i="60"/>
  <c r="AN165" i="60"/>
  <c r="AE165" i="60"/>
  <c r="AI164" i="60"/>
  <c r="AJ164" i="60"/>
  <c r="AK164" i="60"/>
  <c r="AL164" i="60"/>
  <c r="AM164" i="60"/>
  <c r="AO164" i="60"/>
  <c r="AN164" i="60"/>
  <c r="AE164" i="60"/>
  <c r="AI163" i="60"/>
  <c r="AJ163" i="60"/>
  <c r="AK163" i="60"/>
  <c r="AL163" i="60"/>
  <c r="AM163" i="60"/>
  <c r="AO163" i="60"/>
  <c r="AN163" i="60"/>
  <c r="AE163" i="60"/>
  <c r="AI162" i="60"/>
  <c r="AJ162" i="60"/>
  <c r="AK162" i="60"/>
  <c r="AL162" i="60"/>
  <c r="AM162" i="60"/>
  <c r="AO162" i="60"/>
  <c r="AN162" i="60"/>
  <c r="AE162" i="60"/>
  <c r="AI161" i="60"/>
  <c r="AJ161" i="60"/>
  <c r="AK161" i="60"/>
  <c r="AL161" i="60"/>
  <c r="AM161" i="60"/>
  <c r="AO161" i="60"/>
  <c r="AN161" i="60"/>
  <c r="AE161" i="60"/>
  <c r="AI160" i="60"/>
  <c r="AJ160" i="60"/>
  <c r="AK160" i="60"/>
  <c r="AL160" i="60"/>
  <c r="AM160" i="60"/>
  <c r="AO160" i="60"/>
  <c r="AN160" i="60"/>
  <c r="AE160" i="60"/>
  <c r="AI159" i="60"/>
  <c r="AJ159" i="60"/>
  <c r="AK159" i="60"/>
  <c r="AL159" i="60"/>
  <c r="AM159" i="60"/>
  <c r="AO159" i="60"/>
  <c r="AN159" i="60"/>
  <c r="AE159" i="60"/>
  <c r="AI158" i="60"/>
  <c r="AJ158" i="60"/>
  <c r="AK158" i="60"/>
  <c r="AL158" i="60"/>
  <c r="AM158" i="60"/>
  <c r="AO158" i="60"/>
  <c r="AN158" i="60"/>
  <c r="AE158" i="60"/>
  <c r="AN157" i="60"/>
  <c r="AM157" i="60"/>
  <c r="AL157" i="60"/>
  <c r="AK157" i="60"/>
  <c r="AJ157" i="60"/>
  <c r="AI157" i="60"/>
  <c r="A157" i="60"/>
  <c r="AE157" i="60"/>
  <c r="AN156" i="60"/>
  <c r="AM156" i="60"/>
  <c r="AL156" i="60"/>
  <c r="AK156" i="60"/>
  <c r="AJ156" i="60"/>
  <c r="AI156" i="60"/>
  <c r="A156" i="60"/>
  <c r="AE156" i="60"/>
  <c r="AN155" i="60"/>
  <c r="AM155" i="60"/>
  <c r="AL155" i="60"/>
  <c r="AK155" i="60"/>
  <c r="AJ155" i="60"/>
  <c r="AI155" i="60"/>
  <c r="A155" i="60"/>
  <c r="AE155" i="60"/>
  <c r="AN154" i="60"/>
  <c r="AM154" i="60"/>
  <c r="AL154" i="60"/>
  <c r="AK154" i="60"/>
  <c r="AJ154" i="60"/>
  <c r="AI154" i="60"/>
  <c r="A154" i="60"/>
  <c r="AE154" i="60"/>
  <c r="AN153" i="60"/>
  <c r="AM153" i="60"/>
  <c r="AL153" i="60"/>
  <c r="AK153" i="60"/>
  <c r="AJ153" i="60"/>
  <c r="AI153" i="60"/>
  <c r="A153" i="60"/>
  <c r="AE153" i="60"/>
  <c r="AN152" i="60"/>
  <c r="AM152" i="60"/>
  <c r="AL152" i="60"/>
  <c r="AK152" i="60"/>
  <c r="AJ152" i="60"/>
  <c r="AI152" i="60"/>
  <c r="A152" i="60"/>
  <c r="AE152" i="60"/>
  <c r="AN151" i="60"/>
  <c r="AM151" i="60"/>
  <c r="AL151" i="60"/>
  <c r="AK151" i="60"/>
  <c r="AJ151" i="60"/>
  <c r="AI151" i="60"/>
  <c r="A151" i="60"/>
  <c r="AE151" i="60"/>
  <c r="AN150" i="60"/>
  <c r="AM150" i="60"/>
  <c r="AL150" i="60"/>
  <c r="AK150" i="60"/>
  <c r="AJ150" i="60"/>
  <c r="AI150" i="60"/>
  <c r="A150" i="60"/>
  <c r="AE150" i="60"/>
  <c r="AN149" i="60"/>
  <c r="AM149" i="60"/>
  <c r="AL149" i="60"/>
  <c r="AK149" i="60"/>
  <c r="AJ149" i="60"/>
  <c r="AI149" i="60"/>
  <c r="A149" i="60"/>
  <c r="AE149" i="60"/>
  <c r="AN148" i="60"/>
  <c r="AM148" i="60"/>
  <c r="AL148" i="60"/>
  <c r="AK148" i="60"/>
  <c r="AJ148" i="60"/>
  <c r="AI148" i="60"/>
  <c r="A148" i="60"/>
  <c r="AE148" i="60"/>
  <c r="AN147" i="60"/>
  <c r="AM147" i="60"/>
  <c r="AL147" i="60"/>
  <c r="AK147" i="60"/>
  <c r="AJ147" i="60"/>
  <c r="AI147" i="60"/>
  <c r="A147" i="60"/>
  <c r="AE147" i="60"/>
  <c r="AN146" i="60"/>
  <c r="AM146" i="60"/>
  <c r="AL146" i="60"/>
  <c r="AK146" i="60"/>
  <c r="AJ146" i="60"/>
  <c r="AI146" i="60"/>
  <c r="A146" i="60"/>
  <c r="AE146" i="60"/>
  <c r="AN145" i="60"/>
  <c r="AM145" i="60"/>
  <c r="AL145" i="60"/>
  <c r="AK145" i="60"/>
  <c r="AJ145" i="60"/>
  <c r="AI145" i="60"/>
  <c r="A145" i="60"/>
  <c r="AE145" i="60"/>
  <c r="AN144" i="60"/>
  <c r="AM144" i="60"/>
  <c r="AL144" i="60"/>
  <c r="AK144" i="60"/>
  <c r="AJ144" i="60"/>
  <c r="AI144" i="60"/>
  <c r="A144" i="60"/>
  <c r="AE144" i="60"/>
  <c r="AN143" i="60"/>
  <c r="AM143" i="60"/>
  <c r="AL143" i="60"/>
  <c r="AK143" i="60"/>
  <c r="AJ143" i="60"/>
  <c r="AI143" i="60"/>
  <c r="A143" i="60"/>
  <c r="AE143" i="60"/>
  <c r="AN142" i="60"/>
  <c r="AM142" i="60"/>
  <c r="AL142" i="60"/>
  <c r="AK142" i="60"/>
  <c r="AJ142" i="60"/>
  <c r="AI142" i="60"/>
  <c r="A142" i="60"/>
  <c r="AE142" i="60"/>
  <c r="AN141" i="60"/>
  <c r="AM141" i="60"/>
  <c r="AL141" i="60"/>
  <c r="AK141" i="60"/>
  <c r="AJ141" i="60"/>
  <c r="AI141" i="60"/>
  <c r="A141" i="60"/>
  <c r="AE141" i="60"/>
  <c r="AN140" i="60"/>
  <c r="AM140" i="60"/>
  <c r="AL140" i="60"/>
  <c r="AK140" i="60"/>
  <c r="AJ140" i="60"/>
  <c r="AI140" i="60"/>
  <c r="A140" i="60"/>
  <c r="AE140" i="60"/>
  <c r="AN139" i="60"/>
  <c r="AM139" i="60"/>
  <c r="AL139" i="60"/>
  <c r="AK139" i="60"/>
  <c r="AJ139" i="60"/>
  <c r="AI139" i="60"/>
  <c r="A139" i="60"/>
  <c r="AE139" i="60"/>
  <c r="AN138" i="60"/>
  <c r="AM138" i="60"/>
  <c r="AL138" i="60"/>
  <c r="AK138" i="60"/>
  <c r="AJ138" i="60"/>
  <c r="AI138" i="60"/>
  <c r="A138" i="60"/>
  <c r="AE138" i="60"/>
  <c r="AN137" i="60"/>
  <c r="AM137" i="60"/>
  <c r="AL137" i="60"/>
  <c r="AK137" i="60"/>
  <c r="AJ137" i="60"/>
  <c r="AI137" i="60"/>
  <c r="A137" i="60"/>
  <c r="AE137" i="60"/>
  <c r="AN136" i="60"/>
  <c r="AM136" i="60"/>
  <c r="AL136" i="60"/>
  <c r="AK136" i="60"/>
  <c r="AJ136" i="60"/>
  <c r="AI136" i="60"/>
  <c r="A136" i="60"/>
  <c r="AE136" i="60"/>
  <c r="AN135" i="60"/>
  <c r="AM135" i="60"/>
  <c r="AL135" i="60"/>
  <c r="AK135" i="60"/>
  <c r="AJ135" i="60"/>
  <c r="AI135" i="60"/>
  <c r="A135" i="60"/>
  <c r="AE135" i="60"/>
  <c r="AN134" i="60"/>
  <c r="AM134" i="60"/>
  <c r="AL134" i="60"/>
  <c r="AK134" i="60"/>
  <c r="AJ134" i="60"/>
  <c r="AI134" i="60"/>
  <c r="A134" i="60"/>
  <c r="AE134" i="60"/>
  <c r="AN133" i="60"/>
  <c r="AM133" i="60"/>
  <c r="AL133" i="60"/>
  <c r="AK133" i="60"/>
  <c r="AJ133" i="60"/>
  <c r="AI133" i="60"/>
  <c r="A133" i="60"/>
  <c r="AE133" i="60"/>
  <c r="AN132" i="60"/>
  <c r="AM132" i="60"/>
  <c r="AL132" i="60"/>
  <c r="AK132" i="60"/>
  <c r="AJ132" i="60"/>
  <c r="AI132" i="60"/>
  <c r="A132" i="60"/>
  <c r="AE132" i="60"/>
  <c r="AN131" i="60"/>
  <c r="AM131" i="60"/>
  <c r="AL131" i="60"/>
  <c r="AK131" i="60"/>
  <c r="AJ131" i="60"/>
  <c r="AI131" i="60"/>
  <c r="A131" i="60"/>
  <c r="AE131" i="60"/>
  <c r="AN130" i="60"/>
  <c r="AM130" i="60"/>
  <c r="AL130" i="60"/>
  <c r="AK130" i="60"/>
  <c r="AJ130" i="60"/>
  <c r="AI130" i="60"/>
  <c r="A130" i="60"/>
  <c r="AE130" i="60"/>
  <c r="AN129" i="60"/>
  <c r="AM129" i="60"/>
  <c r="AL129" i="60"/>
  <c r="AK129" i="60"/>
  <c r="AJ129" i="60"/>
  <c r="AI129" i="60"/>
  <c r="A129" i="60"/>
  <c r="AE129" i="60"/>
  <c r="AN128" i="60"/>
  <c r="AM128" i="60"/>
  <c r="AL128" i="60"/>
  <c r="AK128" i="60"/>
  <c r="AJ128" i="60"/>
  <c r="AI128" i="60"/>
  <c r="A128" i="60"/>
  <c r="AE128" i="60"/>
  <c r="AN127" i="60"/>
  <c r="AM127" i="60"/>
  <c r="AL127" i="60"/>
  <c r="AK127" i="60"/>
  <c r="AJ127" i="60"/>
  <c r="AI127" i="60"/>
  <c r="A127" i="60"/>
  <c r="AE127" i="60"/>
  <c r="AN126" i="60"/>
  <c r="AM126" i="60"/>
  <c r="AL126" i="60"/>
  <c r="AK126" i="60"/>
  <c r="AJ126" i="60"/>
  <c r="AI126" i="60"/>
  <c r="A126" i="60"/>
  <c r="AE126" i="60"/>
  <c r="AN125" i="60"/>
  <c r="AM125" i="60"/>
  <c r="AL125" i="60"/>
  <c r="AK125" i="60"/>
  <c r="AJ125" i="60"/>
  <c r="AI125" i="60"/>
  <c r="A125" i="60"/>
  <c r="AE125" i="60"/>
  <c r="AN124" i="60"/>
  <c r="AM124" i="60"/>
  <c r="AL124" i="60"/>
  <c r="AK124" i="60"/>
  <c r="AJ124" i="60"/>
  <c r="AI124" i="60"/>
  <c r="A124" i="60"/>
  <c r="AE124" i="60"/>
  <c r="AN123" i="60"/>
  <c r="AM123" i="60"/>
  <c r="AL123" i="60"/>
  <c r="AK123" i="60"/>
  <c r="AJ123" i="60"/>
  <c r="AI123" i="60"/>
  <c r="A123" i="60"/>
  <c r="AE123" i="60"/>
  <c r="AN122" i="60"/>
  <c r="AM122" i="60"/>
  <c r="AL122" i="60"/>
  <c r="AK122" i="60"/>
  <c r="AJ122" i="60"/>
  <c r="AI122" i="60"/>
  <c r="A122" i="60"/>
  <c r="AE122" i="60"/>
  <c r="AN121" i="60"/>
  <c r="AM121" i="60"/>
  <c r="AL121" i="60"/>
  <c r="AK121" i="60"/>
  <c r="AJ121" i="60"/>
  <c r="AI121" i="60"/>
  <c r="A121" i="60"/>
  <c r="AE121" i="60"/>
  <c r="AN120" i="60"/>
  <c r="AM120" i="60"/>
  <c r="AL120" i="60"/>
  <c r="AK120" i="60"/>
  <c r="AJ120" i="60"/>
  <c r="AI120" i="60"/>
  <c r="A120" i="60"/>
  <c r="AE120" i="60"/>
  <c r="AN119" i="60"/>
  <c r="AM119" i="60"/>
  <c r="AL119" i="60"/>
  <c r="AK119" i="60"/>
  <c r="AJ119" i="60"/>
  <c r="AI119" i="60"/>
  <c r="A119" i="60"/>
  <c r="AE119" i="60"/>
  <c r="AN118" i="60"/>
  <c r="AM118" i="60"/>
  <c r="AL118" i="60"/>
  <c r="AK118" i="60"/>
  <c r="AJ118" i="60"/>
  <c r="AI118" i="60"/>
  <c r="AG118" i="60"/>
  <c r="A118" i="60"/>
  <c r="AE118" i="60"/>
  <c r="A117" i="60"/>
  <c r="AE117" i="60"/>
  <c r="A116" i="60"/>
  <c r="AE116" i="60"/>
  <c r="A115" i="60"/>
  <c r="AE115" i="60"/>
  <c r="A114" i="60"/>
  <c r="AE114" i="60"/>
  <c r="A113" i="60"/>
  <c r="AE113" i="60"/>
  <c r="A112" i="60"/>
  <c r="AE112" i="60"/>
  <c r="A111" i="60"/>
  <c r="AE111" i="60"/>
  <c r="A110" i="60"/>
  <c r="AE110" i="60"/>
  <c r="A109" i="60"/>
  <c r="AE109" i="60"/>
  <c r="A108" i="60"/>
  <c r="AE108" i="60"/>
  <c r="A107" i="60"/>
  <c r="AE107" i="60"/>
  <c r="A106" i="60"/>
  <c r="AE106" i="60"/>
  <c r="A105" i="60"/>
  <c r="AE105" i="60"/>
  <c r="A104" i="60"/>
  <c r="AE104" i="60"/>
  <c r="A103" i="60"/>
  <c r="AE103" i="60"/>
  <c r="A102" i="60"/>
  <c r="AE102" i="60"/>
  <c r="A101" i="60"/>
  <c r="AE101" i="60"/>
  <c r="A100" i="60"/>
  <c r="AE100" i="60"/>
  <c r="A99" i="60"/>
  <c r="AE99" i="60"/>
  <c r="A98" i="60"/>
  <c r="AE98" i="60"/>
  <c r="A97" i="60"/>
  <c r="AE97" i="60"/>
  <c r="A96" i="60"/>
  <c r="AE96" i="60"/>
  <c r="A95" i="60"/>
  <c r="AE95" i="60"/>
  <c r="A94" i="60"/>
  <c r="AE94" i="60"/>
  <c r="A93" i="60"/>
  <c r="AE93" i="60"/>
  <c r="A92" i="60"/>
  <c r="AE92" i="60"/>
  <c r="A91" i="60"/>
  <c r="AE91" i="60"/>
  <c r="A90" i="60"/>
  <c r="AE90" i="60"/>
  <c r="A89" i="60"/>
  <c r="AE89" i="60"/>
  <c r="A88" i="60"/>
  <c r="AE88" i="60"/>
  <c r="A87" i="60"/>
  <c r="AE87" i="60"/>
  <c r="A86" i="60"/>
  <c r="AE86" i="60"/>
  <c r="A85" i="60"/>
  <c r="AE85" i="60"/>
  <c r="A84" i="60"/>
  <c r="AE84" i="60"/>
  <c r="A83" i="60"/>
  <c r="AE83" i="60"/>
  <c r="A82" i="60"/>
  <c r="AE82" i="60"/>
  <c r="A81" i="60"/>
  <c r="AE81" i="60"/>
  <c r="A80" i="60"/>
  <c r="AE80" i="60"/>
  <c r="A79" i="60"/>
  <c r="AE79" i="60"/>
  <c r="A78" i="60"/>
  <c r="AE78" i="60"/>
  <c r="AN42" i="60"/>
  <c r="AK41" i="60"/>
  <c r="AJ41" i="60"/>
  <c r="Q41" i="60"/>
  <c r="P41" i="60"/>
  <c r="AI40" i="60"/>
  <c r="AG40" i="60"/>
  <c r="O40" i="60"/>
  <c r="M40" i="60"/>
  <c r="D26" i="60"/>
  <c r="D25" i="60"/>
  <c r="E26" i="60"/>
  <c r="C26" i="60"/>
  <c r="C25" i="60"/>
  <c r="C24" i="60"/>
  <c r="C19" i="60"/>
  <c r="D24" i="60"/>
  <c r="E24" i="60"/>
  <c r="C21" i="60"/>
  <c r="C20" i="60"/>
  <c r="J173" i="29"/>
  <c r="I93" i="29"/>
  <c r="AA17" i="29"/>
  <c r="J153" i="29"/>
  <c r="I73" i="29"/>
  <c r="AA16" i="29"/>
  <c r="J133" i="29"/>
  <c r="I53" i="29"/>
  <c r="AA15" i="29"/>
  <c r="J113" i="29"/>
  <c r="I33" i="29"/>
  <c r="AA14" i="29"/>
  <c r="H173" i="29"/>
  <c r="G93" i="29"/>
  <c r="Z17" i="29"/>
  <c r="H153" i="29"/>
  <c r="G73" i="29"/>
  <c r="Z16" i="29"/>
  <c r="H133" i="29"/>
  <c r="G53" i="29"/>
  <c r="Z15" i="29"/>
  <c r="H113" i="29"/>
  <c r="G33" i="29"/>
  <c r="Z14" i="29"/>
  <c r="F173" i="29"/>
  <c r="E93" i="29"/>
  <c r="Y17" i="29"/>
  <c r="F153" i="29"/>
  <c r="E73" i="29"/>
  <c r="Y16" i="29"/>
  <c r="F133" i="29"/>
  <c r="E53" i="29"/>
  <c r="Y15" i="29"/>
  <c r="F113" i="29"/>
  <c r="E33" i="29"/>
  <c r="Y14" i="29"/>
  <c r="D173" i="29"/>
  <c r="C93" i="29"/>
  <c r="X17" i="29"/>
  <c r="D153" i="29"/>
  <c r="C73" i="29"/>
  <c r="X16" i="29"/>
  <c r="D133" i="29"/>
  <c r="C53" i="29"/>
  <c r="X15" i="29"/>
  <c r="D113" i="29"/>
  <c r="C33" i="29"/>
  <c r="X14" i="29"/>
  <c r="C78" i="54"/>
  <c r="C79" i="54"/>
  <c r="C80" i="54"/>
  <c r="C81" i="54"/>
  <c r="C82" i="54"/>
  <c r="C83" i="54"/>
  <c r="C84" i="54"/>
  <c r="C85" i="54"/>
  <c r="C86" i="54"/>
  <c r="C87" i="54"/>
  <c r="C88" i="54"/>
  <c r="C89" i="54"/>
  <c r="C90" i="54"/>
  <c r="C91" i="54"/>
  <c r="C92" i="54"/>
  <c r="C93" i="54"/>
  <c r="C94" i="54"/>
  <c r="C95" i="54"/>
  <c r="C96" i="54"/>
  <c r="C97" i="54"/>
  <c r="C98" i="54"/>
  <c r="C99" i="54"/>
  <c r="C100" i="54"/>
  <c r="C101" i="54"/>
  <c r="C102" i="54"/>
  <c r="C103" i="54"/>
  <c r="C104" i="54"/>
  <c r="C105" i="54"/>
  <c r="C106" i="54"/>
  <c r="C107" i="54"/>
  <c r="C108" i="54"/>
  <c r="C109" i="54"/>
  <c r="C110" i="54"/>
  <c r="C111" i="54"/>
  <c r="C112" i="54"/>
  <c r="C113" i="54"/>
  <c r="C114" i="54"/>
  <c r="C115" i="54"/>
  <c r="C116" i="54"/>
  <c r="C117" i="54"/>
  <c r="C118" i="54"/>
  <c r="C119" i="54"/>
  <c r="C158" i="54"/>
  <c r="C120" i="54"/>
  <c r="C121" i="54"/>
  <c r="C122" i="54"/>
  <c r="C123" i="54"/>
  <c r="C124" i="54"/>
  <c r="C125" i="54"/>
  <c r="C126" i="54"/>
  <c r="C127" i="54"/>
  <c r="C128" i="54"/>
  <c r="C129" i="54"/>
  <c r="C130" i="54"/>
  <c r="C131" i="54"/>
  <c r="C132" i="54"/>
  <c r="C133" i="54"/>
  <c r="C134" i="54"/>
  <c r="C135" i="54"/>
  <c r="C136" i="54"/>
  <c r="C137" i="54"/>
  <c r="C138" i="54"/>
  <c r="C139" i="54"/>
  <c r="C140" i="54"/>
  <c r="C141" i="54"/>
  <c r="C142" i="54"/>
  <c r="C143" i="54"/>
  <c r="C144" i="54"/>
  <c r="C145" i="54"/>
  <c r="C146" i="54"/>
  <c r="C147" i="54"/>
  <c r="C148" i="54"/>
  <c r="C149" i="54"/>
  <c r="C150" i="54"/>
  <c r="C151" i="54"/>
  <c r="C152" i="54"/>
  <c r="C153" i="54"/>
  <c r="C154" i="54"/>
  <c r="C155" i="54"/>
  <c r="C156" i="54"/>
  <c r="C157" i="54"/>
  <c r="D40" i="54"/>
  <c r="D118" i="54"/>
  <c r="CJ118" i="54"/>
  <c r="CK118" i="54"/>
  <c r="F40" i="54"/>
  <c r="F118" i="54"/>
  <c r="CL118" i="54"/>
  <c r="G41" i="54"/>
  <c r="G118" i="54"/>
  <c r="CM118" i="54"/>
  <c r="H41" i="54"/>
  <c r="H118" i="54"/>
  <c r="CN118" i="54"/>
  <c r="I118" i="54"/>
  <c r="CO118" i="54"/>
  <c r="J118" i="54"/>
  <c r="CP118" i="54"/>
  <c r="K42" i="54"/>
  <c r="K118" i="54"/>
  <c r="CQ118" i="54"/>
  <c r="D119" i="54"/>
  <c r="CJ119" i="54"/>
  <c r="CK119" i="54"/>
  <c r="F119" i="54"/>
  <c r="CL119" i="54"/>
  <c r="G119" i="54"/>
  <c r="CM119" i="54"/>
  <c r="H119" i="54"/>
  <c r="CN119" i="54"/>
  <c r="I119" i="54"/>
  <c r="CO119" i="54"/>
  <c r="J119" i="54"/>
  <c r="CP119" i="54"/>
  <c r="K119" i="54"/>
  <c r="CQ119" i="54"/>
  <c r="D120" i="54"/>
  <c r="CJ120" i="54"/>
  <c r="CK120" i="54"/>
  <c r="F120" i="54"/>
  <c r="CL120" i="54"/>
  <c r="G120" i="54"/>
  <c r="CM120" i="54"/>
  <c r="H120" i="54"/>
  <c r="CN120" i="54"/>
  <c r="I120" i="54"/>
  <c r="CO120" i="54"/>
  <c r="J120" i="54"/>
  <c r="CP120" i="54"/>
  <c r="K120" i="54"/>
  <c r="CQ120" i="54"/>
  <c r="D121" i="54"/>
  <c r="CJ121" i="54"/>
  <c r="CK121" i="54"/>
  <c r="F121" i="54"/>
  <c r="CL121" i="54"/>
  <c r="G121" i="54"/>
  <c r="CM121" i="54"/>
  <c r="H121" i="54"/>
  <c r="CN121" i="54"/>
  <c r="I121" i="54"/>
  <c r="CO121" i="54"/>
  <c r="J121" i="54"/>
  <c r="CP121" i="54"/>
  <c r="K121" i="54"/>
  <c r="CQ121" i="54"/>
  <c r="D122" i="54"/>
  <c r="CJ122" i="54"/>
  <c r="CK122" i="54"/>
  <c r="F122" i="54"/>
  <c r="CL122" i="54"/>
  <c r="G122" i="54"/>
  <c r="CM122" i="54"/>
  <c r="H122" i="54"/>
  <c r="CN122" i="54"/>
  <c r="I122" i="54"/>
  <c r="CO122" i="54"/>
  <c r="J122" i="54"/>
  <c r="CP122" i="54"/>
  <c r="K122" i="54"/>
  <c r="CQ122" i="54"/>
  <c r="D123" i="54"/>
  <c r="CJ123" i="54"/>
  <c r="CK123" i="54"/>
  <c r="F123" i="54"/>
  <c r="CL123" i="54"/>
  <c r="G123" i="54"/>
  <c r="CM123" i="54"/>
  <c r="H123" i="54"/>
  <c r="CN123" i="54"/>
  <c r="I123" i="54"/>
  <c r="CO123" i="54"/>
  <c r="J123" i="54"/>
  <c r="CP123" i="54"/>
  <c r="K123" i="54"/>
  <c r="CQ123" i="54"/>
  <c r="D124" i="54"/>
  <c r="CJ124" i="54"/>
  <c r="CK124" i="54"/>
  <c r="F124" i="54"/>
  <c r="CL124" i="54"/>
  <c r="G124" i="54"/>
  <c r="CM124" i="54"/>
  <c r="H124" i="54"/>
  <c r="CN124" i="54"/>
  <c r="I124" i="54"/>
  <c r="CO124" i="54"/>
  <c r="J124" i="54"/>
  <c r="CP124" i="54"/>
  <c r="K124" i="54"/>
  <c r="CQ124" i="54"/>
  <c r="D125" i="54"/>
  <c r="CJ125" i="54"/>
  <c r="CK125" i="54"/>
  <c r="F125" i="54"/>
  <c r="CL125" i="54"/>
  <c r="G125" i="54"/>
  <c r="CM125" i="54"/>
  <c r="H125" i="54"/>
  <c r="CN125" i="54"/>
  <c r="I125" i="54"/>
  <c r="CO125" i="54"/>
  <c r="J125" i="54"/>
  <c r="CP125" i="54"/>
  <c r="K125" i="54"/>
  <c r="CQ125" i="54"/>
  <c r="D126" i="54"/>
  <c r="CJ126" i="54"/>
  <c r="CK126" i="54"/>
  <c r="F126" i="54"/>
  <c r="CL126" i="54"/>
  <c r="G126" i="54"/>
  <c r="CM126" i="54"/>
  <c r="H126" i="54"/>
  <c r="CN126" i="54"/>
  <c r="I126" i="54"/>
  <c r="CO126" i="54"/>
  <c r="J126" i="54"/>
  <c r="CP126" i="54"/>
  <c r="K126" i="54"/>
  <c r="CQ126" i="54"/>
  <c r="D127" i="54"/>
  <c r="CJ127" i="54"/>
  <c r="CK127" i="54"/>
  <c r="F127" i="54"/>
  <c r="CL127" i="54"/>
  <c r="G127" i="54"/>
  <c r="CM127" i="54"/>
  <c r="H127" i="54"/>
  <c r="CN127" i="54"/>
  <c r="I127" i="54"/>
  <c r="CO127" i="54"/>
  <c r="J127" i="54"/>
  <c r="CP127" i="54"/>
  <c r="K127" i="54"/>
  <c r="CQ127" i="54"/>
  <c r="D128" i="54"/>
  <c r="CJ128" i="54"/>
  <c r="CK128" i="54"/>
  <c r="F128" i="54"/>
  <c r="CL128" i="54"/>
  <c r="G128" i="54"/>
  <c r="CM128" i="54"/>
  <c r="H128" i="54"/>
  <c r="CN128" i="54"/>
  <c r="I128" i="54"/>
  <c r="CO128" i="54"/>
  <c r="J128" i="54"/>
  <c r="CP128" i="54"/>
  <c r="K128" i="54"/>
  <c r="CQ128" i="54"/>
  <c r="D129" i="54"/>
  <c r="CJ129" i="54"/>
  <c r="CK129" i="54"/>
  <c r="F129" i="54"/>
  <c r="CL129" i="54"/>
  <c r="G129" i="54"/>
  <c r="CM129" i="54"/>
  <c r="H129" i="54"/>
  <c r="CN129" i="54"/>
  <c r="I129" i="54"/>
  <c r="CO129" i="54"/>
  <c r="J129" i="54"/>
  <c r="CP129" i="54"/>
  <c r="K129" i="54"/>
  <c r="CQ129" i="54"/>
  <c r="D130" i="54"/>
  <c r="CJ130" i="54"/>
  <c r="CK130" i="54"/>
  <c r="F130" i="54"/>
  <c r="CL130" i="54"/>
  <c r="G130" i="54"/>
  <c r="CM130" i="54"/>
  <c r="H130" i="54"/>
  <c r="CN130" i="54"/>
  <c r="I130" i="54"/>
  <c r="CO130" i="54"/>
  <c r="J130" i="54"/>
  <c r="CP130" i="54"/>
  <c r="K130" i="54"/>
  <c r="CQ130" i="54"/>
  <c r="D131" i="54"/>
  <c r="CJ131" i="54"/>
  <c r="CK131" i="54"/>
  <c r="F131" i="54"/>
  <c r="CL131" i="54"/>
  <c r="G131" i="54"/>
  <c r="CM131" i="54"/>
  <c r="H131" i="54"/>
  <c r="CN131" i="54"/>
  <c r="I131" i="54"/>
  <c r="CO131" i="54"/>
  <c r="J131" i="54"/>
  <c r="CP131" i="54"/>
  <c r="K131" i="54"/>
  <c r="CQ131" i="54"/>
  <c r="D132" i="54"/>
  <c r="CJ132" i="54"/>
  <c r="CK132" i="54"/>
  <c r="F132" i="54"/>
  <c r="CL132" i="54"/>
  <c r="G132" i="54"/>
  <c r="CM132" i="54"/>
  <c r="H132" i="54"/>
  <c r="CN132" i="54"/>
  <c r="I132" i="54"/>
  <c r="CO132" i="54"/>
  <c r="J132" i="54"/>
  <c r="CP132" i="54"/>
  <c r="K132" i="54"/>
  <c r="CQ132" i="54"/>
  <c r="D133" i="54"/>
  <c r="CJ133" i="54"/>
  <c r="CK133" i="54"/>
  <c r="F133" i="54"/>
  <c r="CL133" i="54"/>
  <c r="G133" i="54"/>
  <c r="CM133" i="54"/>
  <c r="H133" i="54"/>
  <c r="CN133" i="54"/>
  <c r="I133" i="54"/>
  <c r="CO133" i="54"/>
  <c r="J133" i="54"/>
  <c r="CP133" i="54"/>
  <c r="K133" i="54"/>
  <c r="CQ133" i="54"/>
  <c r="D134" i="54"/>
  <c r="CJ134" i="54"/>
  <c r="CK134" i="54"/>
  <c r="F134" i="54"/>
  <c r="CL134" i="54"/>
  <c r="G134" i="54"/>
  <c r="CM134" i="54"/>
  <c r="H134" i="54"/>
  <c r="CN134" i="54"/>
  <c r="I134" i="54"/>
  <c r="CO134" i="54"/>
  <c r="J134" i="54"/>
  <c r="CP134" i="54"/>
  <c r="K134" i="54"/>
  <c r="CQ134" i="54"/>
  <c r="D135" i="54"/>
  <c r="CJ135" i="54"/>
  <c r="CK135" i="54"/>
  <c r="F135" i="54"/>
  <c r="CL135" i="54"/>
  <c r="G135" i="54"/>
  <c r="CM135" i="54"/>
  <c r="H135" i="54"/>
  <c r="CN135" i="54"/>
  <c r="I135" i="54"/>
  <c r="CO135" i="54"/>
  <c r="J135" i="54"/>
  <c r="CP135" i="54"/>
  <c r="K135" i="54"/>
  <c r="CQ135" i="54"/>
  <c r="D136" i="54"/>
  <c r="CJ136" i="54"/>
  <c r="CK136" i="54"/>
  <c r="F136" i="54"/>
  <c r="CL136" i="54"/>
  <c r="G136" i="54"/>
  <c r="CM136" i="54"/>
  <c r="H136" i="54"/>
  <c r="CN136" i="54"/>
  <c r="I136" i="54"/>
  <c r="CO136" i="54"/>
  <c r="J136" i="54"/>
  <c r="CP136" i="54"/>
  <c r="K136" i="54"/>
  <c r="CQ136" i="54"/>
  <c r="D137" i="54"/>
  <c r="CJ137" i="54"/>
  <c r="CK137" i="54"/>
  <c r="F137" i="54"/>
  <c r="CL137" i="54"/>
  <c r="G137" i="54"/>
  <c r="CM137" i="54"/>
  <c r="H137" i="54"/>
  <c r="CN137" i="54"/>
  <c r="I137" i="54"/>
  <c r="CO137" i="54"/>
  <c r="J137" i="54"/>
  <c r="CP137" i="54"/>
  <c r="K137" i="54"/>
  <c r="CQ137" i="54"/>
  <c r="D138" i="54"/>
  <c r="CJ138" i="54"/>
  <c r="CK138" i="54"/>
  <c r="F138" i="54"/>
  <c r="CL138" i="54"/>
  <c r="G138" i="54"/>
  <c r="CM138" i="54"/>
  <c r="H138" i="54"/>
  <c r="CN138" i="54"/>
  <c r="I138" i="54"/>
  <c r="CO138" i="54"/>
  <c r="J138" i="54"/>
  <c r="CP138" i="54"/>
  <c r="K138" i="54"/>
  <c r="CQ138" i="54"/>
  <c r="D139" i="54"/>
  <c r="CJ139" i="54"/>
  <c r="CK139" i="54"/>
  <c r="F139" i="54"/>
  <c r="CL139" i="54"/>
  <c r="G139" i="54"/>
  <c r="CM139" i="54"/>
  <c r="H139" i="54"/>
  <c r="CN139" i="54"/>
  <c r="I139" i="54"/>
  <c r="CO139" i="54"/>
  <c r="J139" i="54"/>
  <c r="CP139" i="54"/>
  <c r="K139" i="54"/>
  <c r="CQ139" i="54"/>
  <c r="D140" i="54"/>
  <c r="CJ140" i="54"/>
  <c r="CK140" i="54"/>
  <c r="F140" i="54"/>
  <c r="CL140" i="54"/>
  <c r="G140" i="54"/>
  <c r="CM140" i="54"/>
  <c r="H140" i="54"/>
  <c r="CN140" i="54"/>
  <c r="I140" i="54"/>
  <c r="CO140" i="54"/>
  <c r="J140" i="54"/>
  <c r="CP140" i="54"/>
  <c r="K140" i="54"/>
  <c r="CQ140" i="54"/>
  <c r="D141" i="54"/>
  <c r="CJ141" i="54"/>
  <c r="CK141" i="54"/>
  <c r="F141" i="54"/>
  <c r="CL141" i="54"/>
  <c r="G141" i="54"/>
  <c r="CM141" i="54"/>
  <c r="H141" i="54"/>
  <c r="CN141" i="54"/>
  <c r="I141" i="54"/>
  <c r="CO141" i="54"/>
  <c r="J141" i="54"/>
  <c r="CP141" i="54"/>
  <c r="K141" i="54"/>
  <c r="CQ141" i="54"/>
  <c r="D142" i="54"/>
  <c r="CJ142" i="54"/>
  <c r="CK142" i="54"/>
  <c r="F142" i="54"/>
  <c r="CL142" i="54"/>
  <c r="G142" i="54"/>
  <c r="CM142" i="54"/>
  <c r="H142" i="54"/>
  <c r="CN142" i="54"/>
  <c r="I142" i="54"/>
  <c r="CO142" i="54"/>
  <c r="J142" i="54"/>
  <c r="CP142" i="54"/>
  <c r="K142" i="54"/>
  <c r="CQ142" i="54"/>
  <c r="D143" i="54"/>
  <c r="CJ143" i="54"/>
  <c r="CK143" i="54"/>
  <c r="F143" i="54"/>
  <c r="CL143" i="54"/>
  <c r="G143" i="54"/>
  <c r="CM143" i="54"/>
  <c r="H143" i="54"/>
  <c r="CN143" i="54"/>
  <c r="I143" i="54"/>
  <c r="CO143" i="54"/>
  <c r="J143" i="54"/>
  <c r="CP143" i="54"/>
  <c r="K143" i="54"/>
  <c r="CQ143" i="54"/>
  <c r="D144" i="54"/>
  <c r="CJ144" i="54"/>
  <c r="CK144" i="54"/>
  <c r="F144" i="54"/>
  <c r="CL144" i="54"/>
  <c r="G144" i="54"/>
  <c r="CM144" i="54"/>
  <c r="H144" i="54"/>
  <c r="CN144" i="54"/>
  <c r="I144" i="54"/>
  <c r="CO144" i="54"/>
  <c r="J144" i="54"/>
  <c r="CP144" i="54"/>
  <c r="K144" i="54"/>
  <c r="CQ144" i="54"/>
  <c r="D145" i="54"/>
  <c r="CJ145" i="54"/>
  <c r="CK145" i="54"/>
  <c r="F145" i="54"/>
  <c r="CL145" i="54"/>
  <c r="G145" i="54"/>
  <c r="CM145" i="54"/>
  <c r="H145" i="54"/>
  <c r="CN145" i="54"/>
  <c r="I145" i="54"/>
  <c r="CO145" i="54"/>
  <c r="J145" i="54"/>
  <c r="CP145" i="54"/>
  <c r="K145" i="54"/>
  <c r="CQ145" i="54"/>
  <c r="D146" i="54"/>
  <c r="CJ146" i="54"/>
  <c r="CK146" i="54"/>
  <c r="F146" i="54"/>
  <c r="CL146" i="54"/>
  <c r="G146" i="54"/>
  <c r="CM146" i="54"/>
  <c r="H146" i="54"/>
  <c r="CN146" i="54"/>
  <c r="I146" i="54"/>
  <c r="CO146" i="54"/>
  <c r="J146" i="54"/>
  <c r="CP146" i="54"/>
  <c r="K146" i="54"/>
  <c r="CQ146" i="54"/>
  <c r="D147" i="54"/>
  <c r="CJ147" i="54"/>
  <c r="CK147" i="54"/>
  <c r="F147" i="54"/>
  <c r="CL147" i="54"/>
  <c r="G147" i="54"/>
  <c r="CM147" i="54"/>
  <c r="H147" i="54"/>
  <c r="CN147" i="54"/>
  <c r="I147" i="54"/>
  <c r="CO147" i="54"/>
  <c r="J147" i="54"/>
  <c r="CP147" i="54"/>
  <c r="K147" i="54"/>
  <c r="CQ147" i="54"/>
  <c r="D148" i="54"/>
  <c r="CJ148" i="54"/>
  <c r="CK148" i="54"/>
  <c r="F148" i="54"/>
  <c r="CL148" i="54"/>
  <c r="G148" i="54"/>
  <c r="CM148" i="54"/>
  <c r="H148" i="54"/>
  <c r="CN148" i="54"/>
  <c r="I148" i="54"/>
  <c r="CO148" i="54"/>
  <c r="J148" i="54"/>
  <c r="CP148" i="54"/>
  <c r="K148" i="54"/>
  <c r="CQ148" i="54"/>
  <c r="D149" i="54"/>
  <c r="CJ149" i="54"/>
  <c r="CK149" i="54"/>
  <c r="F149" i="54"/>
  <c r="CL149" i="54"/>
  <c r="G149" i="54"/>
  <c r="CM149" i="54"/>
  <c r="H149" i="54"/>
  <c r="CN149" i="54"/>
  <c r="I149" i="54"/>
  <c r="CO149" i="54"/>
  <c r="J149" i="54"/>
  <c r="CP149" i="54"/>
  <c r="K149" i="54"/>
  <c r="CQ149" i="54"/>
  <c r="D150" i="54"/>
  <c r="CJ150" i="54"/>
  <c r="CK150" i="54"/>
  <c r="F150" i="54"/>
  <c r="CL150" i="54"/>
  <c r="G150" i="54"/>
  <c r="CM150" i="54"/>
  <c r="H150" i="54"/>
  <c r="CN150" i="54"/>
  <c r="I150" i="54"/>
  <c r="CO150" i="54"/>
  <c r="J150" i="54"/>
  <c r="CP150" i="54"/>
  <c r="K150" i="54"/>
  <c r="CQ150" i="54"/>
  <c r="D151" i="54"/>
  <c r="CJ151" i="54"/>
  <c r="CK151" i="54"/>
  <c r="F151" i="54"/>
  <c r="CL151" i="54"/>
  <c r="G151" i="54"/>
  <c r="CM151" i="54"/>
  <c r="H151" i="54"/>
  <c r="CN151" i="54"/>
  <c r="I151" i="54"/>
  <c r="CO151" i="54"/>
  <c r="J151" i="54"/>
  <c r="CP151" i="54"/>
  <c r="K151" i="54"/>
  <c r="CQ151" i="54"/>
  <c r="D152" i="54"/>
  <c r="CJ152" i="54"/>
  <c r="CK152" i="54"/>
  <c r="F152" i="54"/>
  <c r="CL152" i="54"/>
  <c r="G152" i="54"/>
  <c r="CM152" i="54"/>
  <c r="H152" i="54"/>
  <c r="CN152" i="54"/>
  <c r="I152" i="54"/>
  <c r="CO152" i="54"/>
  <c r="J152" i="54"/>
  <c r="CP152" i="54"/>
  <c r="K152" i="54"/>
  <c r="CQ152" i="54"/>
  <c r="D153" i="54"/>
  <c r="CJ153" i="54"/>
  <c r="CK153" i="54"/>
  <c r="F153" i="54"/>
  <c r="CL153" i="54"/>
  <c r="G153" i="54"/>
  <c r="CM153" i="54"/>
  <c r="H153" i="54"/>
  <c r="CN153" i="54"/>
  <c r="I153" i="54"/>
  <c r="CO153" i="54"/>
  <c r="J153" i="54"/>
  <c r="CP153" i="54"/>
  <c r="K153" i="54"/>
  <c r="CQ153" i="54"/>
  <c r="D154" i="54"/>
  <c r="CJ154" i="54"/>
  <c r="CK154" i="54"/>
  <c r="F154" i="54"/>
  <c r="CL154" i="54"/>
  <c r="G154" i="54"/>
  <c r="CM154" i="54"/>
  <c r="H154" i="54"/>
  <c r="CN154" i="54"/>
  <c r="I154" i="54"/>
  <c r="CO154" i="54"/>
  <c r="J154" i="54"/>
  <c r="CP154" i="54"/>
  <c r="K154" i="54"/>
  <c r="CQ154" i="54"/>
  <c r="D155" i="54"/>
  <c r="CJ155" i="54"/>
  <c r="CK155" i="54"/>
  <c r="F155" i="54"/>
  <c r="CL155" i="54"/>
  <c r="G155" i="54"/>
  <c r="CM155" i="54"/>
  <c r="H155" i="54"/>
  <c r="CN155" i="54"/>
  <c r="I155" i="54"/>
  <c r="CO155" i="54"/>
  <c r="J155" i="54"/>
  <c r="CP155" i="54"/>
  <c r="K155" i="54"/>
  <c r="CQ155" i="54"/>
  <c r="D156" i="54"/>
  <c r="CJ156" i="54"/>
  <c r="CK156" i="54"/>
  <c r="F156" i="54"/>
  <c r="CL156" i="54"/>
  <c r="G156" i="54"/>
  <c r="CM156" i="54"/>
  <c r="H156" i="54"/>
  <c r="CN156" i="54"/>
  <c r="I156" i="54"/>
  <c r="CO156" i="54"/>
  <c r="J156" i="54"/>
  <c r="CP156" i="54"/>
  <c r="K156" i="54"/>
  <c r="CQ156" i="54"/>
  <c r="D157" i="54"/>
  <c r="CJ157" i="54"/>
  <c r="CK157" i="54"/>
  <c r="F157" i="54"/>
  <c r="CL157" i="54"/>
  <c r="G157" i="54"/>
  <c r="CM157" i="54"/>
  <c r="H157" i="54"/>
  <c r="CN157" i="54"/>
  <c r="I157" i="54"/>
  <c r="CO157" i="54"/>
  <c r="J157" i="54"/>
  <c r="CP157" i="54"/>
  <c r="K157" i="54"/>
  <c r="CQ157" i="54"/>
  <c r="D158" i="54"/>
  <c r="M158" i="54"/>
  <c r="CJ158" i="54"/>
  <c r="N158" i="54"/>
  <c r="CK158" i="54"/>
  <c r="F158" i="54"/>
  <c r="O158" i="54"/>
  <c r="CL158" i="54"/>
  <c r="G158" i="54"/>
  <c r="P158" i="54"/>
  <c r="CM158" i="54"/>
  <c r="H158" i="54"/>
  <c r="Q158" i="54"/>
  <c r="CN158" i="54"/>
  <c r="I158" i="54"/>
  <c r="R158" i="54"/>
  <c r="CO158" i="54"/>
  <c r="J158" i="54"/>
  <c r="S158" i="54"/>
  <c r="CP158" i="54"/>
  <c r="K158" i="54"/>
  <c r="T42" i="54"/>
  <c r="T158" i="54"/>
  <c r="CQ158" i="54"/>
  <c r="D159" i="54"/>
  <c r="M159" i="54"/>
  <c r="CJ159" i="54"/>
  <c r="N159" i="54"/>
  <c r="CK159" i="54"/>
  <c r="F159" i="54"/>
  <c r="O159" i="54"/>
  <c r="CL159" i="54"/>
  <c r="G159" i="54"/>
  <c r="P159" i="54"/>
  <c r="CM159" i="54"/>
  <c r="H159" i="54"/>
  <c r="Q159" i="54"/>
  <c r="CN159" i="54"/>
  <c r="I159" i="54"/>
  <c r="R159" i="54"/>
  <c r="CO159" i="54"/>
  <c r="J159" i="54"/>
  <c r="S159" i="54"/>
  <c r="CP159" i="54"/>
  <c r="K159" i="54"/>
  <c r="T159" i="54"/>
  <c r="CQ159" i="54"/>
  <c r="D160" i="54"/>
  <c r="M160" i="54"/>
  <c r="CJ160" i="54"/>
  <c r="N160" i="54"/>
  <c r="CK160" i="54"/>
  <c r="F160" i="54"/>
  <c r="O160" i="54"/>
  <c r="CL160" i="54"/>
  <c r="G160" i="54"/>
  <c r="P160" i="54"/>
  <c r="CM160" i="54"/>
  <c r="H160" i="54"/>
  <c r="Q160" i="54"/>
  <c r="CN160" i="54"/>
  <c r="I160" i="54"/>
  <c r="R160" i="54"/>
  <c r="CO160" i="54"/>
  <c r="J160" i="54"/>
  <c r="S160" i="54"/>
  <c r="CP160" i="54"/>
  <c r="K160" i="54"/>
  <c r="T160" i="54"/>
  <c r="CQ160" i="54"/>
  <c r="D161" i="54"/>
  <c r="M161" i="54"/>
  <c r="CJ161" i="54"/>
  <c r="N161" i="54"/>
  <c r="CK161" i="54"/>
  <c r="F161" i="54"/>
  <c r="O161" i="54"/>
  <c r="CL161" i="54"/>
  <c r="G161" i="54"/>
  <c r="P161" i="54"/>
  <c r="CM161" i="54"/>
  <c r="H161" i="54"/>
  <c r="Q161" i="54"/>
  <c r="CN161" i="54"/>
  <c r="I161" i="54"/>
  <c r="R161" i="54"/>
  <c r="CO161" i="54"/>
  <c r="J161" i="54"/>
  <c r="S161" i="54"/>
  <c r="CP161" i="54"/>
  <c r="K161" i="54"/>
  <c r="T161" i="54"/>
  <c r="CQ161" i="54"/>
  <c r="D162" i="54"/>
  <c r="M162" i="54"/>
  <c r="CJ162" i="54"/>
  <c r="N162" i="54"/>
  <c r="CK162" i="54"/>
  <c r="F162" i="54"/>
  <c r="O162" i="54"/>
  <c r="CL162" i="54"/>
  <c r="G162" i="54"/>
  <c r="P162" i="54"/>
  <c r="CM162" i="54"/>
  <c r="H162" i="54"/>
  <c r="Q162" i="54"/>
  <c r="CN162" i="54"/>
  <c r="I162" i="54"/>
  <c r="R162" i="54"/>
  <c r="CO162" i="54"/>
  <c r="J162" i="54"/>
  <c r="S162" i="54"/>
  <c r="CP162" i="54"/>
  <c r="K162" i="54"/>
  <c r="T162" i="54"/>
  <c r="CQ162" i="54"/>
  <c r="D163" i="54"/>
  <c r="M163" i="54"/>
  <c r="CJ163" i="54"/>
  <c r="N163" i="54"/>
  <c r="CK163" i="54"/>
  <c r="F163" i="54"/>
  <c r="O163" i="54"/>
  <c r="CL163" i="54"/>
  <c r="G163" i="54"/>
  <c r="P163" i="54"/>
  <c r="CM163" i="54"/>
  <c r="H163" i="54"/>
  <c r="Q163" i="54"/>
  <c r="CN163" i="54"/>
  <c r="I163" i="54"/>
  <c r="R163" i="54"/>
  <c r="CO163" i="54"/>
  <c r="J163" i="54"/>
  <c r="S163" i="54"/>
  <c r="CP163" i="54"/>
  <c r="K163" i="54"/>
  <c r="T163" i="54"/>
  <c r="CQ163" i="54"/>
  <c r="D164" i="54"/>
  <c r="M164" i="54"/>
  <c r="CJ164" i="54"/>
  <c r="N164" i="54"/>
  <c r="CK164" i="54"/>
  <c r="F164" i="54"/>
  <c r="O164" i="54"/>
  <c r="CL164" i="54"/>
  <c r="G164" i="54"/>
  <c r="P164" i="54"/>
  <c r="CM164" i="54"/>
  <c r="H164" i="54"/>
  <c r="Q164" i="54"/>
  <c r="CN164" i="54"/>
  <c r="I164" i="54"/>
  <c r="R164" i="54"/>
  <c r="CO164" i="54"/>
  <c r="J164" i="54"/>
  <c r="S164" i="54"/>
  <c r="CP164" i="54"/>
  <c r="K164" i="54"/>
  <c r="T164" i="54"/>
  <c r="CQ164" i="54"/>
  <c r="D165" i="54"/>
  <c r="M165" i="54"/>
  <c r="CJ165" i="54"/>
  <c r="N165" i="54"/>
  <c r="CK165" i="54"/>
  <c r="F165" i="54"/>
  <c r="O165" i="54"/>
  <c r="CL165" i="54"/>
  <c r="G165" i="54"/>
  <c r="P165" i="54"/>
  <c r="CM165" i="54"/>
  <c r="H165" i="54"/>
  <c r="Q165" i="54"/>
  <c r="CN165" i="54"/>
  <c r="I165" i="54"/>
  <c r="R165" i="54"/>
  <c r="CO165" i="54"/>
  <c r="J165" i="54"/>
  <c r="S165" i="54"/>
  <c r="CP165" i="54"/>
  <c r="K165" i="54"/>
  <c r="T165" i="54"/>
  <c r="CQ165" i="54"/>
  <c r="D166" i="54"/>
  <c r="M166" i="54"/>
  <c r="CJ166" i="54"/>
  <c r="N166" i="54"/>
  <c r="CK166" i="54"/>
  <c r="F166" i="54"/>
  <c r="O166" i="54"/>
  <c r="CL166" i="54"/>
  <c r="G166" i="54"/>
  <c r="P166" i="54"/>
  <c r="CM166" i="54"/>
  <c r="H166" i="54"/>
  <c r="Q166" i="54"/>
  <c r="CN166" i="54"/>
  <c r="I166" i="54"/>
  <c r="R166" i="54"/>
  <c r="CO166" i="54"/>
  <c r="J166" i="54"/>
  <c r="S166" i="54"/>
  <c r="CP166" i="54"/>
  <c r="K166" i="54"/>
  <c r="T166" i="54"/>
  <c r="CQ166" i="54"/>
  <c r="D167" i="54"/>
  <c r="M167" i="54"/>
  <c r="CJ167" i="54"/>
  <c r="N167" i="54"/>
  <c r="CK167" i="54"/>
  <c r="F167" i="54"/>
  <c r="O167" i="54"/>
  <c r="CL167" i="54"/>
  <c r="G167" i="54"/>
  <c r="P167" i="54"/>
  <c r="CM167" i="54"/>
  <c r="H167" i="54"/>
  <c r="Q167" i="54"/>
  <c r="CN167" i="54"/>
  <c r="I167" i="54"/>
  <c r="R167" i="54"/>
  <c r="CO167" i="54"/>
  <c r="J167" i="54"/>
  <c r="S167" i="54"/>
  <c r="CP167" i="54"/>
  <c r="K167" i="54"/>
  <c r="T167" i="54"/>
  <c r="CQ167" i="54"/>
  <c r="D168" i="54"/>
  <c r="M168" i="54"/>
  <c r="CJ168" i="54"/>
  <c r="N168" i="54"/>
  <c r="CK168" i="54"/>
  <c r="F168" i="54"/>
  <c r="O168" i="54"/>
  <c r="CL168" i="54"/>
  <c r="G168" i="54"/>
  <c r="P168" i="54"/>
  <c r="CM168" i="54"/>
  <c r="H168" i="54"/>
  <c r="Q168" i="54"/>
  <c r="CN168" i="54"/>
  <c r="I168" i="54"/>
  <c r="R168" i="54"/>
  <c r="CO168" i="54"/>
  <c r="J168" i="54"/>
  <c r="S168" i="54"/>
  <c r="CP168" i="54"/>
  <c r="K168" i="54"/>
  <c r="T168" i="54"/>
  <c r="CQ168" i="54"/>
  <c r="D169" i="54"/>
  <c r="M169" i="54"/>
  <c r="CJ169" i="54"/>
  <c r="N169" i="54"/>
  <c r="CK169" i="54"/>
  <c r="F169" i="54"/>
  <c r="O169" i="54"/>
  <c r="CL169" i="54"/>
  <c r="G169" i="54"/>
  <c r="P169" i="54"/>
  <c r="CM169" i="54"/>
  <c r="H169" i="54"/>
  <c r="Q169" i="54"/>
  <c r="CN169" i="54"/>
  <c r="I169" i="54"/>
  <c r="R169" i="54"/>
  <c r="CO169" i="54"/>
  <c r="J169" i="54"/>
  <c r="S169" i="54"/>
  <c r="CP169" i="54"/>
  <c r="K169" i="54"/>
  <c r="T169" i="54"/>
  <c r="CQ169" i="54"/>
  <c r="D170" i="54"/>
  <c r="M170" i="54"/>
  <c r="CJ170" i="54"/>
  <c r="N170" i="54"/>
  <c r="CK170" i="54"/>
  <c r="F170" i="54"/>
  <c r="O170" i="54"/>
  <c r="CL170" i="54"/>
  <c r="G170" i="54"/>
  <c r="P170" i="54"/>
  <c r="CM170" i="54"/>
  <c r="H170" i="54"/>
  <c r="Q170" i="54"/>
  <c r="CN170" i="54"/>
  <c r="I170" i="54"/>
  <c r="R170" i="54"/>
  <c r="CO170" i="54"/>
  <c r="J170" i="54"/>
  <c r="S170" i="54"/>
  <c r="CP170" i="54"/>
  <c r="K170" i="54"/>
  <c r="T170" i="54"/>
  <c r="CQ170" i="54"/>
  <c r="D171" i="54"/>
  <c r="M171" i="54"/>
  <c r="CJ171" i="54"/>
  <c r="N171" i="54"/>
  <c r="CK171" i="54"/>
  <c r="F171" i="54"/>
  <c r="O171" i="54"/>
  <c r="CL171" i="54"/>
  <c r="G171" i="54"/>
  <c r="P171" i="54"/>
  <c r="CM171" i="54"/>
  <c r="H171" i="54"/>
  <c r="Q171" i="54"/>
  <c r="CN171" i="54"/>
  <c r="I171" i="54"/>
  <c r="R171" i="54"/>
  <c r="CO171" i="54"/>
  <c r="J171" i="54"/>
  <c r="S171" i="54"/>
  <c r="CP171" i="54"/>
  <c r="K171" i="54"/>
  <c r="T171" i="54"/>
  <c r="CQ171" i="54"/>
  <c r="D172" i="54"/>
  <c r="M172" i="54"/>
  <c r="CJ172" i="54"/>
  <c r="N172" i="54"/>
  <c r="CK172" i="54"/>
  <c r="F172" i="54"/>
  <c r="O172" i="54"/>
  <c r="CL172" i="54"/>
  <c r="G172" i="54"/>
  <c r="P172" i="54"/>
  <c r="CM172" i="54"/>
  <c r="H172" i="54"/>
  <c r="Q172" i="54"/>
  <c r="CN172" i="54"/>
  <c r="I172" i="54"/>
  <c r="R172" i="54"/>
  <c r="CO172" i="54"/>
  <c r="J172" i="54"/>
  <c r="S172" i="54"/>
  <c r="CP172" i="54"/>
  <c r="K172" i="54"/>
  <c r="T172" i="54"/>
  <c r="CQ172" i="54"/>
  <c r="D173" i="54"/>
  <c r="M173" i="54"/>
  <c r="CJ173" i="54"/>
  <c r="N173" i="54"/>
  <c r="CK173" i="54"/>
  <c r="F173" i="54"/>
  <c r="O173" i="54"/>
  <c r="CL173" i="54"/>
  <c r="G173" i="54"/>
  <c r="P173" i="54"/>
  <c r="CM173" i="54"/>
  <c r="H173" i="54"/>
  <c r="Q173" i="54"/>
  <c r="CN173" i="54"/>
  <c r="I173" i="54"/>
  <c r="R173" i="54"/>
  <c r="CO173" i="54"/>
  <c r="J173" i="54"/>
  <c r="S173" i="54"/>
  <c r="CP173" i="54"/>
  <c r="K173" i="54"/>
  <c r="T173" i="54"/>
  <c r="CQ173" i="54"/>
  <c r="D174" i="54"/>
  <c r="M174" i="54"/>
  <c r="CJ174" i="54"/>
  <c r="N174" i="54"/>
  <c r="CK174" i="54"/>
  <c r="F174" i="54"/>
  <c r="O174" i="54"/>
  <c r="CL174" i="54"/>
  <c r="G174" i="54"/>
  <c r="P174" i="54"/>
  <c r="CM174" i="54"/>
  <c r="H174" i="54"/>
  <c r="Q174" i="54"/>
  <c r="CN174" i="54"/>
  <c r="I174" i="54"/>
  <c r="R174" i="54"/>
  <c r="CO174" i="54"/>
  <c r="J174" i="54"/>
  <c r="S174" i="54"/>
  <c r="CP174" i="54"/>
  <c r="K174" i="54"/>
  <c r="T174" i="54"/>
  <c r="CQ174" i="54"/>
  <c r="D175" i="54"/>
  <c r="M175" i="54"/>
  <c r="CJ175" i="54"/>
  <c r="N175" i="54"/>
  <c r="CK175" i="54"/>
  <c r="F175" i="54"/>
  <c r="O175" i="54"/>
  <c r="CL175" i="54"/>
  <c r="G175" i="54"/>
  <c r="P175" i="54"/>
  <c r="CM175" i="54"/>
  <c r="H175" i="54"/>
  <c r="Q175" i="54"/>
  <c r="CN175" i="54"/>
  <c r="I175" i="54"/>
  <c r="R175" i="54"/>
  <c r="CO175" i="54"/>
  <c r="J175" i="54"/>
  <c r="S175" i="54"/>
  <c r="CP175" i="54"/>
  <c r="K175" i="54"/>
  <c r="T175" i="54"/>
  <c r="CQ175" i="54"/>
  <c r="D176" i="54"/>
  <c r="M176" i="54"/>
  <c r="CJ176" i="54"/>
  <c r="N176" i="54"/>
  <c r="CK176" i="54"/>
  <c r="F176" i="54"/>
  <c r="O176" i="54"/>
  <c r="CL176" i="54"/>
  <c r="G176" i="54"/>
  <c r="P176" i="54"/>
  <c r="CM176" i="54"/>
  <c r="H176" i="54"/>
  <c r="Q176" i="54"/>
  <c r="CN176" i="54"/>
  <c r="I176" i="54"/>
  <c r="R176" i="54"/>
  <c r="CO176" i="54"/>
  <c r="J176" i="54"/>
  <c r="S176" i="54"/>
  <c r="CP176" i="54"/>
  <c r="K176" i="54"/>
  <c r="T176" i="54"/>
  <c r="CQ176" i="54"/>
  <c r="D177" i="54"/>
  <c r="M177" i="54"/>
  <c r="CJ177" i="54"/>
  <c r="N177" i="54"/>
  <c r="CK177" i="54"/>
  <c r="F177" i="54"/>
  <c r="O177" i="54"/>
  <c r="CL177" i="54"/>
  <c r="G177" i="54"/>
  <c r="P177" i="54"/>
  <c r="CM177" i="54"/>
  <c r="H177" i="54"/>
  <c r="Q177" i="54"/>
  <c r="CN177" i="54"/>
  <c r="I177" i="54"/>
  <c r="R177" i="54"/>
  <c r="CO177" i="54"/>
  <c r="J177" i="54"/>
  <c r="S177" i="54"/>
  <c r="CP177" i="54"/>
  <c r="K177" i="54"/>
  <c r="T177" i="54"/>
  <c r="CQ177" i="54"/>
  <c r="D178" i="54"/>
  <c r="M178" i="54"/>
  <c r="V178" i="54"/>
  <c r="CJ178" i="54"/>
  <c r="W178" i="54"/>
  <c r="CK178" i="54"/>
  <c r="F178" i="54"/>
  <c r="O178" i="54"/>
  <c r="X178" i="54"/>
  <c r="CL178" i="54"/>
  <c r="G178" i="54"/>
  <c r="P178" i="54"/>
  <c r="Y178" i="54"/>
  <c r="CM178" i="54"/>
  <c r="H178" i="54"/>
  <c r="Q178" i="54"/>
  <c r="Z178" i="54"/>
  <c r="CN178" i="54"/>
  <c r="I178" i="54"/>
  <c r="R178" i="54"/>
  <c r="AA178" i="54"/>
  <c r="CO178" i="54"/>
  <c r="J178" i="54"/>
  <c r="S178" i="54"/>
  <c r="AB178" i="54"/>
  <c r="CP178" i="54"/>
  <c r="K178" i="54"/>
  <c r="T178" i="54"/>
  <c r="AC178" i="54"/>
  <c r="CQ178" i="54"/>
  <c r="D179" i="54"/>
  <c r="M179" i="54"/>
  <c r="V179" i="54"/>
  <c r="CJ179" i="54"/>
  <c r="W179" i="54"/>
  <c r="CK179" i="54"/>
  <c r="F179" i="54"/>
  <c r="O179" i="54"/>
  <c r="X179" i="54"/>
  <c r="CL179" i="54"/>
  <c r="G179" i="54"/>
  <c r="P179" i="54"/>
  <c r="Y179" i="54"/>
  <c r="CM179" i="54"/>
  <c r="H179" i="54"/>
  <c r="Q179" i="54"/>
  <c r="Z179" i="54"/>
  <c r="CN179" i="54"/>
  <c r="I179" i="54"/>
  <c r="R179" i="54"/>
  <c r="AA179" i="54"/>
  <c r="CO179" i="54"/>
  <c r="J179" i="54"/>
  <c r="S179" i="54"/>
  <c r="AB179" i="54"/>
  <c r="CP179" i="54"/>
  <c r="K179" i="54"/>
  <c r="T179" i="54"/>
  <c r="AC179" i="54"/>
  <c r="CQ179" i="54"/>
  <c r="D180" i="54"/>
  <c r="M180" i="54"/>
  <c r="V180" i="54"/>
  <c r="CJ180" i="54"/>
  <c r="W180" i="54"/>
  <c r="CK180" i="54"/>
  <c r="F180" i="54"/>
  <c r="O180" i="54"/>
  <c r="X180" i="54"/>
  <c r="CL180" i="54"/>
  <c r="G180" i="54"/>
  <c r="P180" i="54"/>
  <c r="Y180" i="54"/>
  <c r="CM180" i="54"/>
  <c r="H180" i="54"/>
  <c r="Q180" i="54"/>
  <c r="Z180" i="54"/>
  <c r="CN180" i="54"/>
  <c r="I180" i="54"/>
  <c r="R180" i="54"/>
  <c r="AA180" i="54"/>
  <c r="CO180" i="54"/>
  <c r="J180" i="54"/>
  <c r="S180" i="54"/>
  <c r="AB180" i="54"/>
  <c r="CP180" i="54"/>
  <c r="K180" i="54"/>
  <c r="T180" i="54"/>
  <c r="AC180" i="54"/>
  <c r="CQ180" i="54"/>
  <c r="D181" i="54"/>
  <c r="M181" i="54"/>
  <c r="V181" i="54"/>
  <c r="CJ181" i="54"/>
  <c r="W181" i="54"/>
  <c r="CK181" i="54"/>
  <c r="F181" i="54"/>
  <c r="O181" i="54"/>
  <c r="X181" i="54"/>
  <c r="CL181" i="54"/>
  <c r="G181" i="54"/>
  <c r="P181" i="54"/>
  <c r="Y181" i="54"/>
  <c r="CM181" i="54"/>
  <c r="H181" i="54"/>
  <c r="Q181" i="54"/>
  <c r="Z181" i="54"/>
  <c r="CN181" i="54"/>
  <c r="I181" i="54"/>
  <c r="R181" i="54"/>
  <c r="AA181" i="54"/>
  <c r="CO181" i="54"/>
  <c r="J181" i="54"/>
  <c r="S181" i="54"/>
  <c r="AB181" i="54"/>
  <c r="CP181" i="54"/>
  <c r="K181" i="54"/>
  <c r="T181" i="54"/>
  <c r="AC181" i="54"/>
  <c r="CQ181" i="54"/>
  <c r="D182" i="54"/>
  <c r="M182" i="54"/>
  <c r="V182" i="54"/>
  <c r="CJ182" i="54"/>
  <c r="W182" i="54"/>
  <c r="CK182" i="54"/>
  <c r="F182" i="54"/>
  <c r="O182" i="54"/>
  <c r="X182" i="54"/>
  <c r="CL182" i="54"/>
  <c r="G182" i="54"/>
  <c r="P182" i="54"/>
  <c r="Y182" i="54"/>
  <c r="CM182" i="54"/>
  <c r="H182" i="54"/>
  <c r="Q182" i="54"/>
  <c r="Z182" i="54"/>
  <c r="CN182" i="54"/>
  <c r="I182" i="54"/>
  <c r="R182" i="54"/>
  <c r="AA182" i="54"/>
  <c r="CO182" i="54"/>
  <c r="J182" i="54"/>
  <c r="S182" i="54"/>
  <c r="AB182" i="54"/>
  <c r="CP182" i="54"/>
  <c r="K182" i="54"/>
  <c r="T182" i="54"/>
  <c r="AC182" i="54"/>
  <c r="CQ182" i="54"/>
  <c r="D183" i="54"/>
  <c r="M183" i="54"/>
  <c r="V183" i="54"/>
  <c r="CJ183" i="54"/>
  <c r="W183" i="54"/>
  <c r="CK183" i="54"/>
  <c r="F183" i="54"/>
  <c r="O183" i="54"/>
  <c r="X183" i="54"/>
  <c r="CL183" i="54"/>
  <c r="G183" i="54"/>
  <c r="P183" i="54"/>
  <c r="Y183" i="54"/>
  <c r="CM183" i="54"/>
  <c r="H183" i="54"/>
  <c r="Q183" i="54"/>
  <c r="Z183" i="54"/>
  <c r="CN183" i="54"/>
  <c r="I183" i="54"/>
  <c r="R183" i="54"/>
  <c r="AA183" i="54"/>
  <c r="CO183" i="54"/>
  <c r="J183" i="54"/>
  <c r="S183" i="54"/>
  <c r="AB183" i="54"/>
  <c r="CP183" i="54"/>
  <c r="K183" i="54"/>
  <c r="T183" i="54"/>
  <c r="AC183" i="54"/>
  <c r="CQ183" i="54"/>
  <c r="D184" i="54"/>
  <c r="M184" i="54"/>
  <c r="V184" i="54"/>
  <c r="CJ184" i="54"/>
  <c r="W184" i="54"/>
  <c r="CK184" i="54"/>
  <c r="F184" i="54"/>
  <c r="O184" i="54"/>
  <c r="X184" i="54"/>
  <c r="CL184" i="54"/>
  <c r="G184" i="54"/>
  <c r="P184" i="54"/>
  <c r="Y184" i="54"/>
  <c r="CM184" i="54"/>
  <c r="H184" i="54"/>
  <c r="Q184" i="54"/>
  <c r="Z184" i="54"/>
  <c r="CN184" i="54"/>
  <c r="I184" i="54"/>
  <c r="R184" i="54"/>
  <c r="AA184" i="54"/>
  <c r="CO184" i="54"/>
  <c r="J184" i="54"/>
  <c r="S184" i="54"/>
  <c r="AB184" i="54"/>
  <c r="CP184" i="54"/>
  <c r="K184" i="54"/>
  <c r="T184" i="54"/>
  <c r="AC184" i="54"/>
  <c r="CQ184" i="54"/>
  <c r="D185" i="54"/>
  <c r="M185" i="54"/>
  <c r="V185" i="54"/>
  <c r="CJ185" i="54"/>
  <c r="W185" i="54"/>
  <c r="CK185" i="54"/>
  <c r="F185" i="54"/>
  <c r="O185" i="54"/>
  <c r="X185" i="54"/>
  <c r="CL185" i="54"/>
  <c r="G185" i="54"/>
  <c r="P185" i="54"/>
  <c r="Y185" i="54"/>
  <c r="CM185" i="54"/>
  <c r="H185" i="54"/>
  <c r="Q185" i="54"/>
  <c r="Z185" i="54"/>
  <c r="CN185" i="54"/>
  <c r="I185" i="54"/>
  <c r="R185" i="54"/>
  <c r="AA185" i="54"/>
  <c r="CO185" i="54"/>
  <c r="J185" i="54"/>
  <c r="S185" i="54"/>
  <c r="AB185" i="54"/>
  <c r="CP185" i="54"/>
  <c r="K185" i="54"/>
  <c r="T185" i="54"/>
  <c r="AC185" i="54"/>
  <c r="CQ185" i="54"/>
  <c r="D186" i="54"/>
  <c r="M186" i="54"/>
  <c r="V186" i="54"/>
  <c r="CJ186" i="54"/>
  <c r="W186" i="54"/>
  <c r="CK186" i="54"/>
  <c r="F186" i="54"/>
  <c r="O186" i="54"/>
  <c r="X186" i="54"/>
  <c r="CL186" i="54"/>
  <c r="G186" i="54"/>
  <c r="P186" i="54"/>
  <c r="Y186" i="54"/>
  <c r="CM186" i="54"/>
  <c r="H186" i="54"/>
  <c r="Q186" i="54"/>
  <c r="Z186" i="54"/>
  <c r="CN186" i="54"/>
  <c r="I186" i="54"/>
  <c r="R186" i="54"/>
  <c r="AA186" i="54"/>
  <c r="CO186" i="54"/>
  <c r="J186" i="54"/>
  <c r="S186" i="54"/>
  <c r="AB186" i="54"/>
  <c r="CP186" i="54"/>
  <c r="K186" i="54"/>
  <c r="T186" i="54"/>
  <c r="AC186" i="54"/>
  <c r="CQ186" i="54"/>
  <c r="D187" i="54"/>
  <c r="M187" i="54"/>
  <c r="V187" i="54"/>
  <c r="CJ187" i="54"/>
  <c r="W187" i="54"/>
  <c r="CK187" i="54"/>
  <c r="F187" i="54"/>
  <c r="O187" i="54"/>
  <c r="X187" i="54"/>
  <c r="CL187" i="54"/>
  <c r="G187" i="54"/>
  <c r="P187" i="54"/>
  <c r="Y187" i="54"/>
  <c r="CM187" i="54"/>
  <c r="H187" i="54"/>
  <c r="Q187" i="54"/>
  <c r="Z187" i="54"/>
  <c r="CN187" i="54"/>
  <c r="I187" i="54"/>
  <c r="R187" i="54"/>
  <c r="AA187" i="54"/>
  <c r="CO187" i="54"/>
  <c r="J187" i="54"/>
  <c r="S187" i="54"/>
  <c r="AB187" i="54"/>
  <c r="CP187" i="54"/>
  <c r="K187" i="54"/>
  <c r="T187" i="54"/>
  <c r="AC187" i="54"/>
  <c r="CQ187" i="54"/>
  <c r="D188" i="54"/>
  <c r="M188" i="54"/>
  <c r="V188" i="54"/>
  <c r="CJ188" i="54"/>
  <c r="W188" i="54"/>
  <c r="CK188" i="54"/>
  <c r="F188" i="54"/>
  <c r="O188" i="54"/>
  <c r="X188" i="54"/>
  <c r="CL188" i="54"/>
  <c r="G188" i="54"/>
  <c r="P188" i="54"/>
  <c r="Y188" i="54"/>
  <c r="CM188" i="54"/>
  <c r="H188" i="54"/>
  <c r="Q188" i="54"/>
  <c r="Z188" i="54"/>
  <c r="CN188" i="54"/>
  <c r="I188" i="54"/>
  <c r="R188" i="54"/>
  <c r="AA188" i="54"/>
  <c r="CO188" i="54"/>
  <c r="J188" i="54"/>
  <c r="S188" i="54"/>
  <c r="AB188" i="54"/>
  <c r="CP188" i="54"/>
  <c r="K188" i="54"/>
  <c r="T188" i="54"/>
  <c r="AC188" i="54"/>
  <c r="CQ188" i="54"/>
  <c r="D189" i="54"/>
  <c r="M189" i="54"/>
  <c r="V189" i="54"/>
  <c r="CJ189" i="54"/>
  <c r="W189" i="54"/>
  <c r="CK189" i="54"/>
  <c r="F189" i="54"/>
  <c r="O189" i="54"/>
  <c r="X189" i="54"/>
  <c r="CL189" i="54"/>
  <c r="G189" i="54"/>
  <c r="P189" i="54"/>
  <c r="Y189" i="54"/>
  <c r="CM189" i="54"/>
  <c r="H189" i="54"/>
  <c r="Q189" i="54"/>
  <c r="Z189" i="54"/>
  <c r="CN189" i="54"/>
  <c r="I189" i="54"/>
  <c r="R189" i="54"/>
  <c r="AA189" i="54"/>
  <c r="CO189" i="54"/>
  <c r="J189" i="54"/>
  <c r="S189" i="54"/>
  <c r="AB189" i="54"/>
  <c r="CP189" i="54"/>
  <c r="K189" i="54"/>
  <c r="T189" i="54"/>
  <c r="AC189" i="54"/>
  <c r="CQ189" i="54"/>
  <c r="D190" i="54"/>
  <c r="M190" i="54"/>
  <c r="V190" i="54"/>
  <c r="CJ190" i="54"/>
  <c r="W190" i="54"/>
  <c r="CK190" i="54"/>
  <c r="F190" i="54"/>
  <c r="O190" i="54"/>
  <c r="X190" i="54"/>
  <c r="CL190" i="54"/>
  <c r="G190" i="54"/>
  <c r="P190" i="54"/>
  <c r="Y190" i="54"/>
  <c r="CM190" i="54"/>
  <c r="H190" i="54"/>
  <c r="Q190" i="54"/>
  <c r="Z190" i="54"/>
  <c r="CN190" i="54"/>
  <c r="I190" i="54"/>
  <c r="R190" i="54"/>
  <c r="AA190" i="54"/>
  <c r="CO190" i="54"/>
  <c r="J190" i="54"/>
  <c r="S190" i="54"/>
  <c r="AB190" i="54"/>
  <c r="CP190" i="54"/>
  <c r="K190" i="54"/>
  <c r="T190" i="54"/>
  <c r="AC190" i="54"/>
  <c r="CQ190" i="54"/>
  <c r="D191" i="54"/>
  <c r="M191" i="54"/>
  <c r="V191" i="54"/>
  <c r="CJ191" i="54"/>
  <c r="W191" i="54"/>
  <c r="CK191" i="54"/>
  <c r="F191" i="54"/>
  <c r="O191" i="54"/>
  <c r="X191" i="54"/>
  <c r="CL191" i="54"/>
  <c r="G191" i="54"/>
  <c r="P191" i="54"/>
  <c r="Y191" i="54"/>
  <c r="CM191" i="54"/>
  <c r="H191" i="54"/>
  <c r="Q191" i="54"/>
  <c r="Z191" i="54"/>
  <c r="CN191" i="54"/>
  <c r="I191" i="54"/>
  <c r="R191" i="54"/>
  <c r="AA191" i="54"/>
  <c r="CO191" i="54"/>
  <c r="J191" i="54"/>
  <c r="S191" i="54"/>
  <c r="AB191" i="54"/>
  <c r="CP191" i="54"/>
  <c r="K191" i="54"/>
  <c r="T191" i="54"/>
  <c r="AC191" i="54"/>
  <c r="CQ191" i="54"/>
  <c r="D192" i="54"/>
  <c r="M192" i="54"/>
  <c r="V192" i="54"/>
  <c r="CJ192" i="54"/>
  <c r="W192" i="54"/>
  <c r="CK192" i="54"/>
  <c r="F192" i="54"/>
  <c r="O192" i="54"/>
  <c r="X192" i="54"/>
  <c r="CL192" i="54"/>
  <c r="G192" i="54"/>
  <c r="P192" i="54"/>
  <c r="Y192" i="54"/>
  <c r="CM192" i="54"/>
  <c r="H192" i="54"/>
  <c r="Q192" i="54"/>
  <c r="Z192" i="54"/>
  <c r="CN192" i="54"/>
  <c r="I192" i="54"/>
  <c r="R192" i="54"/>
  <c r="AA192" i="54"/>
  <c r="CO192" i="54"/>
  <c r="J192" i="54"/>
  <c r="S192" i="54"/>
  <c r="AB192" i="54"/>
  <c r="CP192" i="54"/>
  <c r="K192" i="54"/>
  <c r="T192" i="54"/>
  <c r="AC192" i="54"/>
  <c r="CQ192" i="54"/>
  <c r="D193" i="54"/>
  <c r="M193" i="54"/>
  <c r="V193" i="54"/>
  <c r="CJ193" i="54"/>
  <c r="W193" i="54"/>
  <c r="CK193" i="54"/>
  <c r="F193" i="54"/>
  <c r="O193" i="54"/>
  <c r="X193" i="54"/>
  <c r="CL193" i="54"/>
  <c r="G193" i="54"/>
  <c r="P193" i="54"/>
  <c r="Y193" i="54"/>
  <c r="CM193" i="54"/>
  <c r="H193" i="54"/>
  <c r="Q193" i="54"/>
  <c r="Z193" i="54"/>
  <c r="CN193" i="54"/>
  <c r="I193" i="54"/>
  <c r="R193" i="54"/>
  <c r="AA193" i="54"/>
  <c r="CO193" i="54"/>
  <c r="J193" i="54"/>
  <c r="S193" i="54"/>
  <c r="AB193" i="54"/>
  <c r="CP193" i="54"/>
  <c r="K193" i="54"/>
  <c r="T193" i="54"/>
  <c r="AC193" i="54"/>
  <c r="CQ193" i="54"/>
  <c r="D194" i="54"/>
  <c r="M194" i="54"/>
  <c r="V194" i="54"/>
  <c r="CJ194" i="54"/>
  <c r="W194" i="54"/>
  <c r="CK194" i="54"/>
  <c r="F194" i="54"/>
  <c r="O194" i="54"/>
  <c r="X194" i="54"/>
  <c r="CL194" i="54"/>
  <c r="G194" i="54"/>
  <c r="P194" i="54"/>
  <c r="Y194" i="54"/>
  <c r="CM194" i="54"/>
  <c r="H194" i="54"/>
  <c r="Q194" i="54"/>
  <c r="Z194" i="54"/>
  <c r="CN194" i="54"/>
  <c r="I194" i="54"/>
  <c r="R194" i="54"/>
  <c r="AA194" i="54"/>
  <c r="CO194" i="54"/>
  <c r="J194" i="54"/>
  <c r="S194" i="54"/>
  <c r="AB194" i="54"/>
  <c r="CP194" i="54"/>
  <c r="K194" i="54"/>
  <c r="T194" i="54"/>
  <c r="AC194" i="54"/>
  <c r="CQ194" i="54"/>
  <c r="D195" i="54"/>
  <c r="M195" i="54"/>
  <c r="V195" i="54"/>
  <c r="CJ195" i="54"/>
  <c r="W195" i="54"/>
  <c r="CK195" i="54"/>
  <c r="F195" i="54"/>
  <c r="O195" i="54"/>
  <c r="X195" i="54"/>
  <c r="CL195" i="54"/>
  <c r="G195" i="54"/>
  <c r="P195" i="54"/>
  <c r="Y195" i="54"/>
  <c r="CM195" i="54"/>
  <c r="H195" i="54"/>
  <c r="Q195" i="54"/>
  <c r="Z195" i="54"/>
  <c r="CN195" i="54"/>
  <c r="I195" i="54"/>
  <c r="R195" i="54"/>
  <c r="AA195" i="54"/>
  <c r="CO195" i="54"/>
  <c r="J195" i="54"/>
  <c r="S195" i="54"/>
  <c r="AB195" i="54"/>
  <c r="CP195" i="54"/>
  <c r="K195" i="54"/>
  <c r="T195" i="54"/>
  <c r="AC195" i="54"/>
  <c r="CQ195" i="54"/>
  <c r="D196" i="54"/>
  <c r="M196" i="54"/>
  <c r="V196" i="54"/>
  <c r="CJ196" i="54"/>
  <c r="W196" i="54"/>
  <c r="CK196" i="54"/>
  <c r="F196" i="54"/>
  <c r="O196" i="54"/>
  <c r="X196" i="54"/>
  <c r="CL196" i="54"/>
  <c r="G196" i="54"/>
  <c r="P196" i="54"/>
  <c r="Y196" i="54"/>
  <c r="CM196" i="54"/>
  <c r="H196" i="54"/>
  <c r="Q196" i="54"/>
  <c r="Z196" i="54"/>
  <c r="CN196" i="54"/>
  <c r="I196" i="54"/>
  <c r="R196" i="54"/>
  <c r="AA196" i="54"/>
  <c r="CO196" i="54"/>
  <c r="J196" i="54"/>
  <c r="S196" i="54"/>
  <c r="AB196" i="54"/>
  <c r="CP196" i="54"/>
  <c r="K196" i="54"/>
  <c r="T196" i="54"/>
  <c r="AC196" i="54"/>
  <c r="CQ196" i="54"/>
  <c r="D197" i="54"/>
  <c r="M197" i="54"/>
  <c r="V197" i="54"/>
  <c r="CJ197" i="54"/>
  <c r="W197" i="54"/>
  <c r="CK197" i="54"/>
  <c r="F197" i="54"/>
  <c r="O197" i="54"/>
  <c r="X197" i="54"/>
  <c r="CL197" i="54"/>
  <c r="G197" i="54"/>
  <c r="P197" i="54"/>
  <c r="Y197" i="54"/>
  <c r="CM197" i="54"/>
  <c r="H197" i="54"/>
  <c r="Q197" i="54"/>
  <c r="Z197" i="54"/>
  <c r="CN197" i="54"/>
  <c r="I197" i="54"/>
  <c r="R197" i="54"/>
  <c r="AA197" i="54"/>
  <c r="CO197" i="54"/>
  <c r="J197" i="54"/>
  <c r="S197" i="54"/>
  <c r="AB197" i="54"/>
  <c r="CP197" i="54"/>
  <c r="K197" i="54"/>
  <c r="T197" i="54"/>
  <c r="AC197" i="54"/>
  <c r="CQ197" i="54"/>
  <c r="D198" i="54"/>
  <c r="M198" i="54"/>
  <c r="V198" i="54"/>
  <c r="AE198" i="54"/>
  <c r="CJ198" i="54"/>
  <c r="W198" i="54"/>
  <c r="AF198" i="54"/>
  <c r="CK198" i="54"/>
  <c r="F198" i="54"/>
  <c r="O198" i="54"/>
  <c r="X198" i="54"/>
  <c r="AG198" i="54"/>
  <c r="CL198" i="54"/>
  <c r="G198" i="54"/>
  <c r="P198" i="54"/>
  <c r="Y198" i="54"/>
  <c r="AH198" i="54"/>
  <c r="CM198" i="54"/>
  <c r="H198" i="54"/>
  <c r="Q198" i="54"/>
  <c r="Z198" i="54"/>
  <c r="AI198" i="54"/>
  <c r="CN198" i="54"/>
  <c r="I198" i="54"/>
  <c r="R198" i="54"/>
  <c r="AA198" i="54"/>
  <c r="AJ198" i="54"/>
  <c r="CO198" i="54"/>
  <c r="J198" i="54"/>
  <c r="S198" i="54"/>
  <c r="AB198" i="54"/>
  <c r="AK198" i="54"/>
  <c r="CP198" i="54"/>
  <c r="K198" i="54"/>
  <c r="T198" i="54"/>
  <c r="AC198" i="54"/>
  <c r="AL198" i="54"/>
  <c r="CQ198" i="54"/>
  <c r="D199" i="54"/>
  <c r="M199" i="54"/>
  <c r="V199" i="54"/>
  <c r="AE199" i="54"/>
  <c r="CJ199" i="54"/>
  <c r="W199" i="54"/>
  <c r="AF199" i="54"/>
  <c r="CK199" i="54"/>
  <c r="F199" i="54"/>
  <c r="O199" i="54"/>
  <c r="X199" i="54"/>
  <c r="AG199" i="54"/>
  <c r="CL199" i="54"/>
  <c r="G199" i="54"/>
  <c r="P199" i="54"/>
  <c r="Y199" i="54"/>
  <c r="AH199" i="54"/>
  <c r="CM199" i="54"/>
  <c r="H199" i="54"/>
  <c r="Q199" i="54"/>
  <c r="Z199" i="54"/>
  <c r="AI199" i="54"/>
  <c r="CN199" i="54"/>
  <c r="I199" i="54"/>
  <c r="R199" i="54"/>
  <c r="AA199" i="54"/>
  <c r="AJ199" i="54"/>
  <c r="CO199" i="54"/>
  <c r="J199" i="54"/>
  <c r="S199" i="54"/>
  <c r="AB199" i="54"/>
  <c r="AK199" i="54"/>
  <c r="CP199" i="54"/>
  <c r="K199" i="54"/>
  <c r="T199" i="54"/>
  <c r="AC199" i="54"/>
  <c r="AL199" i="54"/>
  <c r="CQ199" i="54"/>
  <c r="D200" i="54"/>
  <c r="M200" i="54"/>
  <c r="V200" i="54"/>
  <c r="AE200" i="54"/>
  <c r="CJ200" i="54"/>
  <c r="W200" i="54"/>
  <c r="AF200" i="54"/>
  <c r="CK200" i="54"/>
  <c r="F200" i="54"/>
  <c r="O200" i="54"/>
  <c r="X200" i="54"/>
  <c r="AG200" i="54"/>
  <c r="CL200" i="54"/>
  <c r="G200" i="54"/>
  <c r="P200" i="54"/>
  <c r="Y200" i="54"/>
  <c r="AH200" i="54"/>
  <c r="CM200" i="54"/>
  <c r="H200" i="54"/>
  <c r="Q200" i="54"/>
  <c r="Z200" i="54"/>
  <c r="AI200" i="54"/>
  <c r="CN200" i="54"/>
  <c r="I200" i="54"/>
  <c r="R200" i="54"/>
  <c r="AA200" i="54"/>
  <c r="AJ200" i="54"/>
  <c r="CO200" i="54"/>
  <c r="J200" i="54"/>
  <c r="S200" i="54"/>
  <c r="AB200" i="54"/>
  <c r="AK200" i="54"/>
  <c r="CP200" i="54"/>
  <c r="K200" i="54"/>
  <c r="T200" i="54"/>
  <c r="AC200" i="54"/>
  <c r="AL200" i="54"/>
  <c r="CQ200" i="54"/>
  <c r="D201" i="54"/>
  <c r="M201" i="54"/>
  <c r="V201" i="54"/>
  <c r="AE201" i="54"/>
  <c r="CJ201" i="54"/>
  <c r="W201" i="54"/>
  <c r="AF201" i="54"/>
  <c r="CK201" i="54"/>
  <c r="F201" i="54"/>
  <c r="O201" i="54"/>
  <c r="X201" i="54"/>
  <c r="AG201" i="54"/>
  <c r="CL201" i="54"/>
  <c r="G201" i="54"/>
  <c r="P201" i="54"/>
  <c r="Y201" i="54"/>
  <c r="AH201" i="54"/>
  <c r="CM201" i="54"/>
  <c r="H201" i="54"/>
  <c r="Q201" i="54"/>
  <c r="Z201" i="54"/>
  <c r="AI201" i="54"/>
  <c r="CN201" i="54"/>
  <c r="I201" i="54"/>
  <c r="R201" i="54"/>
  <c r="AA201" i="54"/>
  <c r="AJ201" i="54"/>
  <c r="CO201" i="54"/>
  <c r="J201" i="54"/>
  <c r="S201" i="54"/>
  <c r="AB201" i="54"/>
  <c r="AK201" i="54"/>
  <c r="CP201" i="54"/>
  <c r="K201" i="54"/>
  <c r="T201" i="54"/>
  <c r="AC201" i="54"/>
  <c r="AL201" i="54"/>
  <c r="CQ201" i="54"/>
  <c r="D202" i="54"/>
  <c r="M202" i="54"/>
  <c r="V202" i="54"/>
  <c r="AE202" i="54"/>
  <c r="CJ202" i="54"/>
  <c r="W202" i="54"/>
  <c r="AF202" i="54"/>
  <c r="CK202" i="54"/>
  <c r="F202" i="54"/>
  <c r="O202" i="54"/>
  <c r="X202" i="54"/>
  <c r="AG202" i="54"/>
  <c r="CL202" i="54"/>
  <c r="G202" i="54"/>
  <c r="P202" i="54"/>
  <c r="Y202" i="54"/>
  <c r="AH202" i="54"/>
  <c r="CM202" i="54"/>
  <c r="H202" i="54"/>
  <c r="Q202" i="54"/>
  <c r="Z202" i="54"/>
  <c r="AI202" i="54"/>
  <c r="CN202" i="54"/>
  <c r="I202" i="54"/>
  <c r="R202" i="54"/>
  <c r="AA202" i="54"/>
  <c r="AJ202" i="54"/>
  <c r="CO202" i="54"/>
  <c r="J202" i="54"/>
  <c r="S202" i="54"/>
  <c r="AB202" i="54"/>
  <c r="AK202" i="54"/>
  <c r="CP202" i="54"/>
  <c r="K202" i="54"/>
  <c r="T202" i="54"/>
  <c r="AC202" i="54"/>
  <c r="AL202" i="54"/>
  <c r="CQ202" i="54"/>
  <c r="D203" i="54"/>
  <c r="M203" i="54"/>
  <c r="V203" i="54"/>
  <c r="AE203" i="54"/>
  <c r="CJ203" i="54"/>
  <c r="W203" i="54"/>
  <c r="AF203" i="54"/>
  <c r="CK203" i="54"/>
  <c r="F203" i="54"/>
  <c r="O203" i="54"/>
  <c r="X203" i="54"/>
  <c r="AG203" i="54"/>
  <c r="CL203" i="54"/>
  <c r="G203" i="54"/>
  <c r="P203" i="54"/>
  <c r="Y203" i="54"/>
  <c r="AH203" i="54"/>
  <c r="CM203" i="54"/>
  <c r="H203" i="54"/>
  <c r="Q203" i="54"/>
  <c r="Z203" i="54"/>
  <c r="AI203" i="54"/>
  <c r="CN203" i="54"/>
  <c r="I203" i="54"/>
  <c r="R203" i="54"/>
  <c r="AA203" i="54"/>
  <c r="AJ203" i="54"/>
  <c r="CO203" i="54"/>
  <c r="J203" i="54"/>
  <c r="S203" i="54"/>
  <c r="AB203" i="54"/>
  <c r="AK203" i="54"/>
  <c r="CP203" i="54"/>
  <c r="K203" i="54"/>
  <c r="T203" i="54"/>
  <c r="AC203" i="54"/>
  <c r="AL203" i="54"/>
  <c r="CQ203" i="54"/>
  <c r="D204" i="54"/>
  <c r="M204" i="54"/>
  <c r="V204" i="54"/>
  <c r="AE204" i="54"/>
  <c r="CJ204" i="54"/>
  <c r="W204" i="54"/>
  <c r="AF204" i="54"/>
  <c r="CK204" i="54"/>
  <c r="F204" i="54"/>
  <c r="O204" i="54"/>
  <c r="X204" i="54"/>
  <c r="AG204" i="54"/>
  <c r="CL204" i="54"/>
  <c r="G204" i="54"/>
  <c r="P204" i="54"/>
  <c r="Y204" i="54"/>
  <c r="AH204" i="54"/>
  <c r="CM204" i="54"/>
  <c r="H204" i="54"/>
  <c r="Q204" i="54"/>
  <c r="Z204" i="54"/>
  <c r="AI204" i="54"/>
  <c r="CN204" i="54"/>
  <c r="I204" i="54"/>
  <c r="R204" i="54"/>
  <c r="AA204" i="54"/>
  <c r="AJ204" i="54"/>
  <c r="CO204" i="54"/>
  <c r="J204" i="54"/>
  <c r="S204" i="54"/>
  <c r="AB204" i="54"/>
  <c r="AK204" i="54"/>
  <c r="CP204" i="54"/>
  <c r="K204" i="54"/>
  <c r="T204" i="54"/>
  <c r="AC204" i="54"/>
  <c r="AL204" i="54"/>
  <c r="CQ204" i="54"/>
  <c r="D205" i="54"/>
  <c r="M205" i="54"/>
  <c r="V205" i="54"/>
  <c r="AE205" i="54"/>
  <c r="CJ205" i="54"/>
  <c r="W205" i="54"/>
  <c r="AF205" i="54"/>
  <c r="CK205" i="54"/>
  <c r="F205" i="54"/>
  <c r="O205" i="54"/>
  <c r="X205" i="54"/>
  <c r="AG205" i="54"/>
  <c r="CL205" i="54"/>
  <c r="G205" i="54"/>
  <c r="P205" i="54"/>
  <c r="Y205" i="54"/>
  <c r="AH205" i="54"/>
  <c r="CM205" i="54"/>
  <c r="H205" i="54"/>
  <c r="Q205" i="54"/>
  <c r="Z205" i="54"/>
  <c r="AI205" i="54"/>
  <c r="CN205" i="54"/>
  <c r="I205" i="54"/>
  <c r="R205" i="54"/>
  <c r="AA205" i="54"/>
  <c r="AJ205" i="54"/>
  <c r="CO205" i="54"/>
  <c r="J205" i="54"/>
  <c r="S205" i="54"/>
  <c r="AB205" i="54"/>
  <c r="AK205" i="54"/>
  <c r="CP205" i="54"/>
  <c r="K205" i="54"/>
  <c r="T205" i="54"/>
  <c r="AC205" i="54"/>
  <c r="AL205" i="54"/>
  <c r="CQ205" i="54"/>
  <c r="D206" i="54"/>
  <c r="M206" i="54"/>
  <c r="V206" i="54"/>
  <c r="AE206" i="54"/>
  <c r="CJ206" i="54"/>
  <c r="W206" i="54"/>
  <c r="AF206" i="54"/>
  <c r="CK206" i="54"/>
  <c r="F206" i="54"/>
  <c r="O206" i="54"/>
  <c r="X206" i="54"/>
  <c r="AG206" i="54"/>
  <c r="CL206" i="54"/>
  <c r="G206" i="54"/>
  <c r="P206" i="54"/>
  <c r="Y206" i="54"/>
  <c r="AH206" i="54"/>
  <c r="CM206" i="54"/>
  <c r="H206" i="54"/>
  <c r="Q206" i="54"/>
  <c r="Z206" i="54"/>
  <c r="AI206" i="54"/>
  <c r="CN206" i="54"/>
  <c r="I206" i="54"/>
  <c r="R206" i="54"/>
  <c r="AA206" i="54"/>
  <c r="AJ206" i="54"/>
  <c r="CO206" i="54"/>
  <c r="J206" i="54"/>
  <c r="S206" i="54"/>
  <c r="AB206" i="54"/>
  <c r="AK206" i="54"/>
  <c r="CP206" i="54"/>
  <c r="K206" i="54"/>
  <c r="T206" i="54"/>
  <c r="AC206" i="54"/>
  <c r="AL206" i="54"/>
  <c r="CQ206" i="54"/>
  <c r="D207" i="54"/>
  <c r="M207" i="54"/>
  <c r="V207" i="54"/>
  <c r="AE207" i="54"/>
  <c r="CJ207" i="54"/>
  <c r="W207" i="54"/>
  <c r="AF207" i="54"/>
  <c r="CK207" i="54"/>
  <c r="F207" i="54"/>
  <c r="O207" i="54"/>
  <c r="X207" i="54"/>
  <c r="AG207" i="54"/>
  <c r="CL207" i="54"/>
  <c r="G207" i="54"/>
  <c r="P207" i="54"/>
  <c r="Y207" i="54"/>
  <c r="AH207" i="54"/>
  <c r="CM207" i="54"/>
  <c r="H207" i="54"/>
  <c r="Q207" i="54"/>
  <c r="Z207" i="54"/>
  <c r="AI207" i="54"/>
  <c r="CN207" i="54"/>
  <c r="I207" i="54"/>
  <c r="R207" i="54"/>
  <c r="AA207" i="54"/>
  <c r="AJ207" i="54"/>
  <c r="CO207" i="54"/>
  <c r="J207" i="54"/>
  <c r="S207" i="54"/>
  <c r="AB207" i="54"/>
  <c r="AK207" i="54"/>
  <c r="CP207" i="54"/>
  <c r="K207" i="54"/>
  <c r="T207" i="54"/>
  <c r="AC207" i="54"/>
  <c r="AL207" i="54"/>
  <c r="CQ207" i="54"/>
  <c r="D208" i="54"/>
  <c r="M208" i="54"/>
  <c r="V208" i="54"/>
  <c r="AE208" i="54"/>
  <c r="CJ208" i="54"/>
  <c r="W208" i="54"/>
  <c r="AF208" i="54"/>
  <c r="CK208" i="54"/>
  <c r="F208" i="54"/>
  <c r="O208" i="54"/>
  <c r="X208" i="54"/>
  <c r="AG208" i="54"/>
  <c r="CL208" i="54"/>
  <c r="G208" i="54"/>
  <c r="P208" i="54"/>
  <c r="Y208" i="54"/>
  <c r="AH208" i="54"/>
  <c r="CM208" i="54"/>
  <c r="H208" i="54"/>
  <c r="Q208" i="54"/>
  <c r="Z208" i="54"/>
  <c r="AI208" i="54"/>
  <c r="CN208" i="54"/>
  <c r="I208" i="54"/>
  <c r="R208" i="54"/>
  <c r="AA208" i="54"/>
  <c r="AJ208" i="54"/>
  <c r="CO208" i="54"/>
  <c r="J208" i="54"/>
  <c r="S208" i="54"/>
  <c r="AB208" i="54"/>
  <c r="AK208" i="54"/>
  <c r="CP208" i="54"/>
  <c r="K208" i="54"/>
  <c r="T208" i="54"/>
  <c r="AC208" i="54"/>
  <c r="AL208" i="54"/>
  <c r="CQ208" i="54"/>
  <c r="D209" i="54"/>
  <c r="M209" i="54"/>
  <c r="V209" i="54"/>
  <c r="AE209" i="54"/>
  <c r="CJ209" i="54"/>
  <c r="W209" i="54"/>
  <c r="AF209" i="54"/>
  <c r="CK209" i="54"/>
  <c r="F209" i="54"/>
  <c r="O209" i="54"/>
  <c r="X209" i="54"/>
  <c r="AG209" i="54"/>
  <c r="CL209" i="54"/>
  <c r="G209" i="54"/>
  <c r="P209" i="54"/>
  <c r="Y209" i="54"/>
  <c r="AH209" i="54"/>
  <c r="CM209" i="54"/>
  <c r="H209" i="54"/>
  <c r="Q209" i="54"/>
  <c r="Z209" i="54"/>
  <c r="AI209" i="54"/>
  <c r="CN209" i="54"/>
  <c r="I209" i="54"/>
  <c r="R209" i="54"/>
  <c r="AA209" i="54"/>
  <c r="AJ209" i="54"/>
  <c r="CO209" i="54"/>
  <c r="J209" i="54"/>
  <c r="S209" i="54"/>
  <c r="AB209" i="54"/>
  <c r="AK209" i="54"/>
  <c r="CP209" i="54"/>
  <c r="K209" i="54"/>
  <c r="T209" i="54"/>
  <c r="AC209" i="54"/>
  <c r="AL209" i="54"/>
  <c r="CQ209" i="54"/>
  <c r="D210" i="54"/>
  <c r="M210" i="54"/>
  <c r="V210" i="54"/>
  <c r="AE210" i="54"/>
  <c r="CJ210" i="54"/>
  <c r="W210" i="54"/>
  <c r="AF210" i="54"/>
  <c r="CK210" i="54"/>
  <c r="F210" i="54"/>
  <c r="O210" i="54"/>
  <c r="X210" i="54"/>
  <c r="AG210" i="54"/>
  <c r="CL210" i="54"/>
  <c r="G210" i="54"/>
  <c r="P210" i="54"/>
  <c r="Y210" i="54"/>
  <c r="AH210" i="54"/>
  <c r="CM210" i="54"/>
  <c r="H210" i="54"/>
  <c r="Q210" i="54"/>
  <c r="Z210" i="54"/>
  <c r="AI210" i="54"/>
  <c r="CN210" i="54"/>
  <c r="I210" i="54"/>
  <c r="R210" i="54"/>
  <c r="AA210" i="54"/>
  <c r="AJ210" i="54"/>
  <c r="CO210" i="54"/>
  <c r="J210" i="54"/>
  <c r="S210" i="54"/>
  <c r="AB210" i="54"/>
  <c r="AK210" i="54"/>
  <c r="CP210" i="54"/>
  <c r="K210" i="54"/>
  <c r="T210" i="54"/>
  <c r="AC210" i="54"/>
  <c r="AL210" i="54"/>
  <c r="CQ210" i="54"/>
  <c r="D211" i="54"/>
  <c r="M211" i="54"/>
  <c r="V211" i="54"/>
  <c r="AE211" i="54"/>
  <c r="CJ211" i="54"/>
  <c r="W211" i="54"/>
  <c r="AF211" i="54"/>
  <c r="CK211" i="54"/>
  <c r="F211" i="54"/>
  <c r="O211" i="54"/>
  <c r="X211" i="54"/>
  <c r="AG211" i="54"/>
  <c r="CL211" i="54"/>
  <c r="G211" i="54"/>
  <c r="P211" i="54"/>
  <c r="Y211" i="54"/>
  <c r="AH211" i="54"/>
  <c r="CM211" i="54"/>
  <c r="H211" i="54"/>
  <c r="Q211" i="54"/>
  <c r="Z211" i="54"/>
  <c r="AI211" i="54"/>
  <c r="CN211" i="54"/>
  <c r="I211" i="54"/>
  <c r="R211" i="54"/>
  <c r="AA211" i="54"/>
  <c r="AJ211" i="54"/>
  <c r="CO211" i="54"/>
  <c r="J211" i="54"/>
  <c r="S211" i="54"/>
  <c r="AB211" i="54"/>
  <c r="AK211" i="54"/>
  <c r="CP211" i="54"/>
  <c r="K211" i="54"/>
  <c r="T211" i="54"/>
  <c r="AC211" i="54"/>
  <c r="AL211" i="54"/>
  <c r="CQ211" i="54"/>
  <c r="D212" i="54"/>
  <c r="M212" i="54"/>
  <c r="V212" i="54"/>
  <c r="AE212" i="54"/>
  <c r="CJ212" i="54"/>
  <c r="W212" i="54"/>
  <c r="AF212" i="54"/>
  <c r="CK212" i="54"/>
  <c r="F212" i="54"/>
  <c r="O212" i="54"/>
  <c r="X212" i="54"/>
  <c r="AG212" i="54"/>
  <c r="CL212" i="54"/>
  <c r="G212" i="54"/>
  <c r="P212" i="54"/>
  <c r="Y212" i="54"/>
  <c r="AH212" i="54"/>
  <c r="CM212" i="54"/>
  <c r="H212" i="54"/>
  <c r="Q212" i="54"/>
  <c r="Z212" i="54"/>
  <c r="AI212" i="54"/>
  <c r="CN212" i="54"/>
  <c r="I212" i="54"/>
  <c r="R212" i="54"/>
  <c r="AA212" i="54"/>
  <c r="AJ212" i="54"/>
  <c r="CO212" i="54"/>
  <c r="J212" i="54"/>
  <c r="S212" i="54"/>
  <c r="AB212" i="54"/>
  <c r="AK212" i="54"/>
  <c r="CP212" i="54"/>
  <c r="K212" i="54"/>
  <c r="T212" i="54"/>
  <c r="AC212" i="54"/>
  <c r="AL212" i="54"/>
  <c r="CQ212" i="54"/>
  <c r="D213" i="54"/>
  <c r="M213" i="54"/>
  <c r="V213" i="54"/>
  <c r="AE213" i="54"/>
  <c r="CJ213" i="54"/>
  <c r="W213" i="54"/>
  <c r="AF213" i="54"/>
  <c r="CK213" i="54"/>
  <c r="F213" i="54"/>
  <c r="O213" i="54"/>
  <c r="X213" i="54"/>
  <c r="AG213" i="54"/>
  <c r="CL213" i="54"/>
  <c r="G213" i="54"/>
  <c r="P213" i="54"/>
  <c r="Y213" i="54"/>
  <c r="AH213" i="54"/>
  <c r="CM213" i="54"/>
  <c r="H213" i="54"/>
  <c r="Q213" i="54"/>
  <c r="Z213" i="54"/>
  <c r="AI213" i="54"/>
  <c r="CN213" i="54"/>
  <c r="I213" i="54"/>
  <c r="R213" i="54"/>
  <c r="AA213" i="54"/>
  <c r="AJ213" i="54"/>
  <c r="CO213" i="54"/>
  <c r="J213" i="54"/>
  <c r="S213" i="54"/>
  <c r="AB213" i="54"/>
  <c r="AK213" i="54"/>
  <c r="CP213" i="54"/>
  <c r="K213" i="54"/>
  <c r="T213" i="54"/>
  <c r="AC213" i="54"/>
  <c r="AL213" i="54"/>
  <c r="CQ213" i="54"/>
  <c r="D214" i="54"/>
  <c r="M214" i="54"/>
  <c r="V214" i="54"/>
  <c r="AE214" i="54"/>
  <c r="CJ214" i="54"/>
  <c r="W214" i="54"/>
  <c r="AF214" i="54"/>
  <c r="CK214" i="54"/>
  <c r="F214" i="54"/>
  <c r="O214" i="54"/>
  <c r="X214" i="54"/>
  <c r="AG214" i="54"/>
  <c r="CL214" i="54"/>
  <c r="G214" i="54"/>
  <c r="P214" i="54"/>
  <c r="Y214" i="54"/>
  <c r="AH214" i="54"/>
  <c r="CM214" i="54"/>
  <c r="H214" i="54"/>
  <c r="Q214" i="54"/>
  <c r="Z214" i="54"/>
  <c r="AI214" i="54"/>
  <c r="CN214" i="54"/>
  <c r="I214" i="54"/>
  <c r="R214" i="54"/>
  <c r="AA214" i="54"/>
  <c r="AJ214" i="54"/>
  <c r="CO214" i="54"/>
  <c r="J214" i="54"/>
  <c r="S214" i="54"/>
  <c r="AB214" i="54"/>
  <c r="AK214" i="54"/>
  <c r="CP214" i="54"/>
  <c r="K214" i="54"/>
  <c r="T214" i="54"/>
  <c r="AC214" i="54"/>
  <c r="AL214" i="54"/>
  <c r="CQ214" i="54"/>
  <c r="D215" i="54"/>
  <c r="M215" i="54"/>
  <c r="V215" i="54"/>
  <c r="AE215" i="54"/>
  <c r="CJ215" i="54"/>
  <c r="W215" i="54"/>
  <c r="AF215" i="54"/>
  <c r="CK215" i="54"/>
  <c r="F215" i="54"/>
  <c r="O215" i="54"/>
  <c r="X215" i="54"/>
  <c r="AG215" i="54"/>
  <c r="CL215" i="54"/>
  <c r="G215" i="54"/>
  <c r="P215" i="54"/>
  <c r="Y215" i="54"/>
  <c r="AH215" i="54"/>
  <c r="CM215" i="54"/>
  <c r="H215" i="54"/>
  <c r="Q215" i="54"/>
  <c r="Z215" i="54"/>
  <c r="AI215" i="54"/>
  <c r="CN215" i="54"/>
  <c r="I215" i="54"/>
  <c r="R215" i="54"/>
  <c r="AA215" i="54"/>
  <c r="AJ215" i="54"/>
  <c r="CO215" i="54"/>
  <c r="J215" i="54"/>
  <c r="S215" i="54"/>
  <c r="AB215" i="54"/>
  <c r="AK215" i="54"/>
  <c r="CP215" i="54"/>
  <c r="K215" i="54"/>
  <c r="T215" i="54"/>
  <c r="AC215" i="54"/>
  <c r="AL215" i="54"/>
  <c r="CQ215" i="54"/>
  <c r="D216" i="54"/>
  <c r="M216" i="54"/>
  <c r="V216" i="54"/>
  <c r="AE216" i="54"/>
  <c r="CJ216" i="54"/>
  <c r="W216" i="54"/>
  <c r="AF216" i="54"/>
  <c r="CK216" i="54"/>
  <c r="F216" i="54"/>
  <c r="O216" i="54"/>
  <c r="X216" i="54"/>
  <c r="AG216" i="54"/>
  <c r="CL216" i="54"/>
  <c r="G216" i="54"/>
  <c r="P216" i="54"/>
  <c r="Y216" i="54"/>
  <c r="AH216" i="54"/>
  <c r="CM216" i="54"/>
  <c r="H216" i="54"/>
  <c r="Q216" i="54"/>
  <c r="Z216" i="54"/>
  <c r="AI216" i="54"/>
  <c r="CN216" i="54"/>
  <c r="I216" i="54"/>
  <c r="R216" i="54"/>
  <c r="AA216" i="54"/>
  <c r="AJ216" i="54"/>
  <c r="CO216" i="54"/>
  <c r="J216" i="54"/>
  <c r="S216" i="54"/>
  <c r="AB216" i="54"/>
  <c r="AK216" i="54"/>
  <c r="CP216" i="54"/>
  <c r="K216" i="54"/>
  <c r="T216" i="54"/>
  <c r="AC216" i="54"/>
  <c r="AL216" i="54"/>
  <c r="CQ216" i="54"/>
  <c r="D217" i="54"/>
  <c r="M217" i="54"/>
  <c r="V217" i="54"/>
  <c r="AE217" i="54"/>
  <c r="CJ217" i="54"/>
  <c r="W217" i="54"/>
  <c r="AF217" i="54"/>
  <c r="CK217" i="54"/>
  <c r="F217" i="54"/>
  <c r="O217" i="54"/>
  <c r="X217" i="54"/>
  <c r="AG217" i="54"/>
  <c r="CL217" i="54"/>
  <c r="G217" i="54"/>
  <c r="P217" i="54"/>
  <c r="Y217" i="54"/>
  <c r="AH217" i="54"/>
  <c r="CM217" i="54"/>
  <c r="H217" i="54"/>
  <c r="Q217" i="54"/>
  <c r="Z217" i="54"/>
  <c r="AI217" i="54"/>
  <c r="CN217" i="54"/>
  <c r="I217" i="54"/>
  <c r="R217" i="54"/>
  <c r="AA217" i="54"/>
  <c r="AJ217" i="54"/>
  <c r="CO217" i="54"/>
  <c r="J217" i="54"/>
  <c r="S217" i="54"/>
  <c r="AB217" i="54"/>
  <c r="AK217" i="54"/>
  <c r="CP217" i="54"/>
  <c r="K217" i="54"/>
  <c r="T217" i="54"/>
  <c r="AC217" i="54"/>
  <c r="AL217" i="54"/>
  <c r="CQ217" i="54"/>
  <c r="D218" i="54"/>
  <c r="M218" i="54"/>
  <c r="V218" i="54"/>
  <c r="AE218" i="54"/>
  <c r="AN218" i="54"/>
  <c r="CJ218" i="54"/>
  <c r="W218" i="54"/>
  <c r="AF218" i="54"/>
  <c r="AO218" i="54"/>
  <c r="CK218" i="54"/>
  <c r="F218" i="54"/>
  <c r="O218" i="54"/>
  <c r="X218" i="54"/>
  <c r="AG218" i="54"/>
  <c r="AP218" i="54"/>
  <c r="CL218" i="54"/>
  <c r="G218" i="54"/>
  <c r="P218" i="54"/>
  <c r="Y218" i="54"/>
  <c r="AH218" i="54"/>
  <c r="AQ218" i="54"/>
  <c r="CM218" i="54"/>
  <c r="H218" i="54"/>
  <c r="Q218" i="54"/>
  <c r="Z218" i="54"/>
  <c r="AI218" i="54"/>
  <c r="AR218" i="54"/>
  <c r="CN218" i="54"/>
  <c r="I218" i="54"/>
  <c r="R218" i="54"/>
  <c r="AA218" i="54"/>
  <c r="AJ218" i="54"/>
  <c r="AS218" i="54"/>
  <c r="CO218" i="54"/>
  <c r="J218" i="54"/>
  <c r="S218" i="54"/>
  <c r="AB218" i="54"/>
  <c r="AK218" i="54"/>
  <c r="AT218" i="54"/>
  <c r="CP218" i="54"/>
  <c r="K218" i="54"/>
  <c r="T218" i="54"/>
  <c r="AC218" i="54"/>
  <c r="AL218" i="54"/>
  <c r="AU218" i="54"/>
  <c r="CQ218" i="54"/>
  <c r="D219" i="54"/>
  <c r="M219" i="54"/>
  <c r="V219" i="54"/>
  <c r="AE219" i="54"/>
  <c r="AN219" i="54"/>
  <c r="CJ219" i="54"/>
  <c r="W219" i="54"/>
  <c r="AF219" i="54"/>
  <c r="AO219" i="54"/>
  <c r="CK219" i="54"/>
  <c r="F219" i="54"/>
  <c r="O219" i="54"/>
  <c r="X219" i="54"/>
  <c r="AG219" i="54"/>
  <c r="AP219" i="54"/>
  <c r="CL219" i="54"/>
  <c r="G219" i="54"/>
  <c r="P219" i="54"/>
  <c r="Y219" i="54"/>
  <c r="AH219" i="54"/>
  <c r="AQ219" i="54"/>
  <c r="CM219" i="54"/>
  <c r="H219" i="54"/>
  <c r="Q219" i="54"/>
  <c r="Z219" i="54"/>
  <c r="AI219" i="54"/>
  <c r="AR219" i="54"/>
  <c r="CN219" i="54"/>
  <c r="I219" i="54"/>
  <c r="R219" i="54"/>
  <c r="AA219" i="54"/>
  <c r="AJ219" i="54"/>
  <c r="AS219" i="54"/>
  <c r="CO219" i="54"/>
  <c r="J219" i="54"/>
  <c r="S219" i="54"/>
  <c r="AB219" i="54"/>
  <c r="AK219" i="54"/>
  <c r="AT219" i="54"/>
  <c r="CP219" i="54"/>
  <c r="K219" i="54"/>
  <c r="T219" i="54"/>
  <c r="AC219" i="54"/>
  <c r="AL219" i="54"/>
  <c r="AU219" i="54"/>
  <c r="CQ219" i="54"/>
  <c r="D220" i="54"/>
  <c r="M220" i="54"/>
  <c r="V220" i="54"/>
  <c r="AE220" i="54"/>
  <c r="AN220" i="54"/>
  <c r="CJ220" i="54"/>
  <c r="W220" i="54"/>
  <c r="AF220" i="54"/>
  <c r="AO220" i="54"/>
  <c r="CK220" i="54"/>
  <c r="F220" i="54"/>
  <c r="O220" i="54"/>
  <c r="X220" i="54"/>
  <c r="AG220" i="54"/>
  <c r="AP220" i="54"/>
  <c r="CL220" i="54"/>
  <c r="G220" i="54"/>
  <c r="P220" i="54"/>
  <c r="Y220" i="54"/>
  <c r="AH220" i="54"/>
  <c r="AQ220" i="54"/>
  <c r="CM220" i="54"/>
  <c r="H220" i="54"/>
  <c r="Q220" i="54"/>
  <c r="Z220" i="54"/>
  <c r="AI220" i="54"/>
  <c r="AR220" i="54"/>
  <c r="CN220" i="54"/>
  <c r="I220" i="54"/>
  <c r="R220" i="54"/>
  <c r="AA220" i="54"/>
  <c r="AJ220" i="54"/>
  <c r="AS220" i="54"/>
  <c r="CO220" i="54"/>
  <c r="J220" i="54"/>
  <c r="S220" i="54"/>
  <c r="AB220" i="54"/>
  <c r="AK220" i="54"/>
  <c r="AT220" i="54"/>
  <c r="CP220" i="54"/>
  <c r="K220" i="54"/>
  <c r="T220" i="54"/>
  <c r="AC220" i="54"/>
  <c r="AL220" i="54"/>
  <c r="AU220" i="54"/>
  <c r="CQ220" i="54"/>
  <c r="D221" i="54"/>
  <c r="M221" i="54"/>
  <c r="V221" i="54"/>
  <c r="AE221" i="54"/>
  <c r="AN221" i="54"/>
  <c r="CJ221" i="54"/>
  <c r="W221" i="54"/>
  <c r="AF221" i="54"/>
  <c r="AO221" i="54"/>
  <c r="CK221" i="54"/>
  <c r="F221" i="54"/>
  <c r="O221" i="54"/>
  <c r="X221" i="54"/>
  <c r="AG221" i="54"/>
  <c r="AP221" i="54"/>
  <c r="CL221" i="54"/>
  <c r="G221" i="54"/>
  <c r="P221" i="54"/>
  <c r="Y221" i="54"/>
  <c r="AH221" i="54"/>
  <c r="AQ221" i="54"/>
  <c r="CM221" i="54"/>
  <c r="H221" i="54"/>
  <c r="Q221" i="54"/>
  <c r="Z221" i="54"/>
  <c r="AI221" i="54"/>
  <c r="AR221" i="54"/>
  <c r="CN221" i="54"/>
  <c r="I221" i="54"/>
  <c r="R221" i="54"/>
  <c r="AA221" i="54"/>
  <c r="AJ221" i="54"/>
  <c r="AS221" i="54"/>
  <c r="CO221" i="54"/>
  <c r="J221" i="54"/>
  <c r="S221" i="54"/>
  <c r="AB221" i="54"/>
  <c r="AK221" i="54"/>
  <c r="AT221" i="54"/>
  <c r="CP221" i="54"/>
  <c r="K221" i="54"/>
  <c r="T221" i="54"/>
  <c r="AC221" i="54"/>
  <c r="AL221" i="54"/>
  <c r="AU221" i="54"/>
  <c r="CQ221" i="54"/>
  <c r="D222" i="54"/>
  <c r="M222" i="54"/>
  <c r="V222" i="54"/>
  <c r="AE222" i="54"/>
  <c r="AN222" i="54"/>
  <c r="CJ222" i="54"/>
  <c r="W222" i="54"/>
  <c r="AF222" i="54"/>
  <c r="AO222" i="54"/>
  <c r="CK222" i="54"/>
  <c r="F222" i="54"/>
  <c r="O222" i="54"/>
  <c r="X222" i="54"/>
  <c r="AG222" i="54"/>
  <c r="AP222" i="54"/>
  <c r="CL222" i="54"/>
  <c r="G222" i="54"/>
  <c r="P222" i="54"/>
  <c r="Y222" i="54"/>
  <c r="AH222" i="54"/>
  <c r="AQ222" i="54"/>
  <c r="CM222" i="54"/>
  <c r="H222" i="54"/>
  <c r="Q222" i="54"/>
  <c r="Z222" i="54"/>
  <c r="AI222" i="54"/>
  <c r="AR222" i="54"/>
  <c r="CN222" i="54"/>
  <c r="I222" i="54"/>
  <c r="R222" i="54"/>
  <c r="AA222" i="54"/>
  <c r="AJ222" i="54"/>
  <c r="AS222" i="54"/>
  <c r="CO222" i="54"/>
  <c r="J222" i="54"/>
  <c r="S222" i="54"/>
  <c r="AB222" i="54"/>
  <c r="AK222" i="54"/>
  <c r="AT222" i="54"/>
  <c r="CP222" i="54"/>
  <c r="K222" i="54"/>
  <c r="T222" i="54"/>
  <c r="AC222" i="54"/>
  <c r="AL222" i="54"/>
  <c r="AU222" i="54"/>
  <c r="CQ222" i="54"/>
  <c r="D223" i="54"/>
  <c r="M223" i="54"/>
  <c r="V223" i="54"/>
  <c r="AE223" i="54"/>
  <c r="AN223" i="54"/>
  <c r="CJ223" i="54"/>
  <c r="W223" i="54"/>
  <c r="AF223" i="54"/>
  <c r="AO223" i="54"/>
  <c r="CK223" i="54"/>
  <c r="F223" i="54"/>
  <c r="O223" i="54"/>
  <c r="X223" i="54"/>
  <c r="AG223" i="54"/>
  <c r="AP223" i="54"/>
  <c r="CL223" i="54"/>
  <c r="G223" i="54"/>
  <c r="P223" i="54"/>
  <c r="Y223" i="54"/>
  <c r="AH223" i="54"/>
  <c r="AQ223" i="54"/>
  <c r="CM223" i="54"/>
  <c r="H223" i="54"/>
  <c r="Q223" i="54"/>
  <c r="Z223" i="54"/>
  <c r="AI223" i="54"/>
  <c r="AR223" i="54"/>
  <c r="CN223" i="54"/>
  <c r="I223" i="54"/>
  <c r="R223" i="54"/>
  <c r="AA223" i="54"/>
  <c r="AJ223" i="54"/>
  <c r="AS223" i="54"/>
  <c r="CO223" i="54"/>
  <c r="J223" i="54"/>
  <c r="S223" i="54"/>
  <c r="AB223" i="54"/>
  <c r="AK223" i="54"/>
  <c r="AT223" i="54"/>
  <c r="CP223" i="54"/>
  <c r="K223" i="54"/>
  <c r="T223" i="54"/>
  <c r="AC223" i="54"/>
  <c r="AL223" i="54"/>
  <c r="AU223" i="54"/>
  <c r="CQ223" i="54"/>
  <c r="D224" i="54"/>
  <c r="M224" i="54"/>
  <c r="V224" i="54"/>
  <c r="AE224" i="54"/>
  <c r="AN224" i="54"/>
  <c r="CJ224" i="54"/>
  <c r="W224" i="54"/>
  <c r="AF224" i="54"/>
  <c r="AO224" i="54"/>
  <c r="CK224" i="54"/>
  <c r="F224" i="54"/>
  <c r="O224" i="54"/>
  <c r="X224" i="54"/>
  <c r="AG224" i="54"/>
  <c r="AP224" i="54"/>
  <c r="CL224" i="54"/>
  <c r="G224" i="54"/>
  <c r="P224" i="54"/>
  <c r="Y224" i="54"/>
  <c r="AH224" i="54"/>
  <c r="AQ224" i="54"/>
  <c r="CM224" i="54"/>
  <c r="H224" i="54"/>
  <c r="Q224" i="54"/>
  <c r="Z224" i="54"/>
  <c r="AI224" i="54"/>
  <c r="AR224" i="54"/>
  <c r="CN224" i="54"/>
  <c r="I224" i="54"/>
  <c r="R224" i="54"/>
  <c r="AA224" i="54"/>
  <c r="AJ224" i="54"/>
  <c r="AS224" i="54"/>
  <c r="CO224" i="54"/>
  <c r="J224" i="54"/>
  <c r="S224" i="54"/>
  <c r="AB224" i="54"/>
  <c r="AK224" i="54"/>
  <c r="AT224" i="54"/>
  <c r="CP224" i="54"/>
  <c r="K224" i="54"/>
  <c r="T224" i="54"/>
  <c r="AC224" i="54"/>
  <c r="AL224" i="54"/>
  <c r="AU224" i="54"/>
  <c r="CQ224" i="54"/>
  <c r="D225" i="54"/>
  <c r="M225" i="54"/>
  <c r="V225" i="54"/>
  <c r="AE225" i="54"/>
  <c r="AN225" i="54"/>
  <c r="CJ225" i="54"/>
  <c r="W225" i="54"/>
  <c r="AF225" i="54"/>
  <c r="AO225" i="54"/>
  <c r="CK225" i="54"/>
  <c r="F225" i="54"/>
  <c r="O225" i="54"/>
  <c r="X225" i="54"/>
  <c r="AG225" i="54"/>
  <c r="AP225" i="54"/>
  <c r="CL225" i="54"/>
  <c r="G225" i="54"/>
  <c r="P225" i="54"/>
  <c r="Y225" i="54"/>
  <c r="AH225" i="54"/>
  <c r="AQ225" i="54"/>
  <c r="CM225" i="54"/>
  <c r="H225" i="54"/>
  <c r="Q225" i="54"/>
  <c r="Z225" i="54"/>
  <c r="AI225" i="54"/>
  <c r="AR225" i="54"/>
  <c r="CN225" i="54"/>
  <c r="I225" i="54"/>
  <c r="R225" i="54"/>
  <c r="AA225" i="54"/>
  <c r="AJ225" i="54"/>
  <c r="AS225" i="54"/>
  <c r="CO225" i="54"/>
  <c r="J225" i="54"/>
  <c r="S225" i="54"/>
  <c r="AB225" i="54"/>
  <c r="AK225" i="54"/>
  <c r="AT225" i="54"/>
  <c r="CP225" i="54"/>
  <c r="K225" i="54"/>
  <c r="T225" i="54"/>
  <c r="AC225" i="54"/>
  <c r="AL225" i="54"/>
  <c r="AU225" i="54"/>
  <c r="CQ225" i="54"/>
  <c r="D226" i="54"/>
  <c r="M226" i="54"/>
  <c r="V226" i="54"/>
  <c r="AE226" i="54"/>
  <c r="AN226" i="54"/>
  <c r="CJ226" i="54"/>
  <c r="W226" i="54"/>
  <c r="AF226" i="54"/>
  <c r="AO226" i="54"/>
  <c r="CK226" i="54"/>
  <c r="F226" i="54"/>
  <c r="O226" i="54"/>
  <c r="X226" i="54"/>
  <c r="AG226" i="54"/>
  <c r="AP226" i="54"/>
  <c r="CL226" i="54"/>
  <c r="G226" i="54"/>
  <c r="P226" i="54"/>
  <c r="Y226" i="54"/>
  <c r="AH226" i="54"/>
  <c r="AQ226" i="54"/>
  <c r="CM226" i="54"/>
  <c r="H226" i="54"/>
  <c r="Q226" i="54"/>
  <c r="Z226" i="54"/>
  <c r="AI226" i="54"/>
  <c r="AR226" i="54"/>
  <c r="CN226" i="54"/>
  <c r="I226" i="54"/>
  <c r="R226" i="54"/>
  <c r="AA226" i="54"/>
  <c r="AJ226" i="54"/>
  <c r="AS226" i="54"/>
  <c r="CO226" i="54"/>
  <c r="J226" i="54"/>
  <c r="S226" i="54"/>
  <c r="AB226" i="54"/>
  <c r="AK226" i="54"/>
  <c r="AT226" i="54"/>
  <c r="CP226" i="54"/>
  <c r="K226" i="54"/>
  <c r="T226" i="54"/>
  <c r="AC226" i="54"/>
  <c r="AL226" i="54"/>
  <c r="AU226" i="54"/>
  <c r="CQ226" i="54"/>
  <c r="D227" i="54"/>
  <c r="M227" i="54"/>
  <c r="V227" i="54"/>
  <c r="AE227" i="54"/>
  <c r="AN227" i="54"/>
  <c r="CJ227" i="54"/>
  <c r="W227" i="54"/>
  <c r="AF227" i="54"/>
  <c r="AO227" i="54"/>
  <c r="CK227" i="54"/>
  <c r="F227" i="54"/>
  <c r="O227" i="54"/>
  <c r="X227" i="54"/>
  <c r="AG227" i="54"/>
  <c r="AP227" i="54"/>
  <c r="CL227" i="54"/>
  <c r="G227" i="54"/>
  <c r="P227" i="54"/>
  <c r="Y227" i="54"/>
  <c r="AH227" i="54"/>
  <c r="AQ227" i="54"/>
  <c r="CM227" i="54"/>
  <c r="H227" i="54"/>
  <c r="Q227" i="54"/>
  <c r="Z227" i="54"/>
  <c r="AI227" i="54"/>
  <c r="AR227" i="54"/>
  <c r="CN227" i="54"/>
  <c r="I227" i="54"/>
  <c r="R227" i="54"/>
  <c r="AA227" i="54"/>
  <c r="AJ227" i="54"/>
  <c r="AS227" i="54"/>
  <c r="CO227" i="54"/>
  <c r="J227" i="54"/>
  <c r="S227" i="54"/>
  <c r="AB227" i="54"/>
  <c r="AK227" i="54"/>
  <c r="AT227" i="54"/>
  <c r="CP227" i="54"/>
  <c r="K227" i="54"/>
  <c r="T227" i="54"/>
  <c r="AC227" i="54"/>
  <c r="AL227" i="54"/>
  <c r="AU227" i="54"/>
  <c r="CQ227" i="54"/>
  <c r="D228" i="54"/>
  <c r="M228" i="54"/>
  <c r="V228" i="54"/>
  <c r="AE228" i="54"/>
  <c r="AN228" i="54"/>
  <c r="CJ228" i="54"/>
  <c r="W228" i="54"/>
  <c r="AF228" i="54"/>
  <c r="AO228" i="54"/>
  <c r="CK228" i="54"/>
  <c r="F228" i="54"/>
  <c r="O228" i="54"/>
  <c r="X228" i="54"/>
  <c r="AG228" i="54"/>
  <c r="AP228" i="54"/>
  <c r="CL228" i="54"/>
  <c r="G228" i="54"/>
  <c r="P228" i="54"/>
  <c r="Y228" i="54"/>
  <c r="AH228" i="54"/>
  <c r="AQ228" i="54"/>
  <c r="CM228" i="54"/>
  <c r="H228" i="54"/>
  <c r="Q228" i="54"/>
  <c r="Z228" i="54"/>
  <c r="AI228" i="54"/>
  <c r="AR228" i="54"/>
  <c r="CN228" i="54"/>
  <c r="I228" i="54"/>
  <c r="R228" i="54"/>
  <c r="AA228" i="54"/>
  <c r="AJ228" i="54"/>
  <c r="AS228" i="54"/>
  <c r="CO228" i="54"/>
  <c r="J228" i="54"/>
  <c r="S228" i="54"/>
  <c r="AB228" i="54"/>
  <c r="AK228" i="54"/>
  <c r="AT228" i="54"/>
  <c r="CP228" i="54"/>
  <c r="K228" i="54"/>
  <c r="T228" i="54"/>
  <c r="AC228" i="54"/>
  <c r="AL228" i="54"/>
  <c r="AU228" i="54"/>
  <c r="CQ228" i="54"/>
  <c r="D229" i="54"/>
  <c r="M229" i="54"/>
  <c r="V229" i="54"/>
  <c r="AE229" i="54"/>
  <c r="AN229" i="54"/>
  <c r="CJ229" i="54"/>
  <c r="W229" i="54"/>
  <c r="AF229" i="54"/>
  <c r="AO229" i="54"/>
  <c r="CK229" i="54"/>
  <c r="F229" i="54"/>
  <c r="O229" i="54"/>
  <c r="X229" i="54"/>
  <c r="AG229" i="54"/>
  <c r="AP229" i="54"/>
  <c r="CL229" i="54"/>
  <c r="G229" i="54"/>
  <c r="P229" i="54"/>
  <c r="Y229" i="54"/>
  <c r="AH229" i="54"/>
  <c r="AQ229" i="54"/>
  <c r="CM229" i="54"/>
  <c r="H229" i="54"/>
  <c r="Q229" i="54"/>
  <c r="Z229" i="54"/>
  <c r="AI229" i="54"/>
  <c r="AR229" i="54"/>
  <c r="CN229" i="54"/>
  <c r="I229" i="54"/>
  <c r="R229" i="54"/>
  <c r="AA229" i="54"/>
  <c r="AJ229" i="54"/>
  <c r="AS229" i="54"/>
  <c r="CO229" i="54"/>
  <c r="J229" i="54"/>
  <c r="S229" i="54"/>
  <c r="AB229" i="54"/>
  <c r="AK229" i="54"/>
  <c r="AT229" i="54"/>
  <c r="CP229" i="54"/>
  <c r="K229" i="54"/>
  <c r="T229" i="54"/>
  <c r="AC229" i="54"/>
  <c r="AL229" i="54"/>
  <c r="AU229" i="54"/>
  <c r="CQ229" i="54"/>
  <c r="D230" i="54"/>
  <c r="M230" i="54"/>
  <c r="V230" i="54"/>
  <c r="AE230" i="54"/>
  <c r="AN230" i="54"/>
  <c r="CJ230" i="54"/>
  <c r="W230" i="54"/>
  <c r="AF230" i="54"/>
  <c r="AO230" i="54"/>
  <c r="CK230" i="54"/>
  <c r="F230" i="54"/>
  <c r="O230" i="54"/>
  <c r="X230" i="54"/>
  <c r="AG230" i="54"/>
  <c r="AP230" i="54"/>
  <c r="CL230" i="54"/>
  <c r="G230" i="54"/>
  <c r="P230" i="54"/>
  <c r="Y230" i="54"/>
  <c r="AH230" i="54"/>
  <c r="AQ230" i="54"/>
  <c r="CM230" i="54"/>
  <c r="H230" i="54"/>
  <c r="Q230" i="54"/>
  <c r="Z230" i="54"/>
  <c r="AI230" i="54"/>
  <c r="AR230" i="54"/>
  <c r="CN230" i="54"/>
  <c r="I230" i="54"/>
  <c r="R230" i="54"/>
  <c r="AA230" i="54"/>
  <c r="AJ230" i="54"/>
  <c r="AS230" i="54"/>
  <c r="CO230" i="54"/>
  <c r="J230" i="54"/>
  <c r="S230" i="54"/>
  <c r="AB230" i="54"/>
  <c r="AK230" i="54"/>
  <c r="AT230" i="54"/>
  <c r="CP230" i="54"/>
  <c r="K230" i="54"/>
  <c r="T230" i="54"/>
  <c r="AC230" i="54"/>
  <c r="AL230" i="54"/>
  <c r="AU230" i="54"/>
  <c r="CQ230" i="54"/>
  <c r="D231" i="54"/>
  <c r="M231" i="54"/>
  <c r="V231" i="54"/>
  <c r="AE231" i="54"/>
  <c r="AN231" i="54"/>
  <c r="CJ231" i="54"/>
  <c r="W231" i="54"/>
  <c r="AF231" i="54"/>
  <c r="AO231" i="54"/>
  <c r="CK231" i="54"/>
  <c r="F231" i="54"/>
  <c r="O231" i="54"/>
  <c r="X231" i="54"/>
  <c r="AG231" i="54"/>
  <c r="AP231" i="54"/>
  <c r="CL231" i="54"/>
  <c r="G231" i="54"/>
  <c r="P231" i="54"/>
  <c r="Y231" i="54"/>
  <c r="AH231" i="54"/>
  <c r="AQ231" i="54"/>
  <c r="CM231" i="54"/>
  <c r="H231" i="54"/>
  <c r="Q231" i="54"/>
  <c r="Z231" i="54"/>
  <c r="AI231" i="54"/>
  <c r="AR231" i="54"/>
  <c r="CN231" i="54"/>
  <c r="I231" i="54"/>
  <c r="R231" i="54"/>
  <c r="AA231" i="54"/>
  <c r="AJ231" i="54"/>
  <c r="AS231" i="54"/>
  <c r="CO231" i="54"/>
  <c r="J231" i="54"/>
  <c r="S231" i="54"/>
  <c r="AB231" i="54"/>
  <c r="AK231" i="54"/>
  <c r="AT231" i="54"/>
  <c r="CP231" i="54"/>
  <c r="K231" i="54"/>
  <c r="T231" i="54"/>
  <c r="AC231" i="54"/>
  <c r="AL231" i="54"/>
  <c r="AU231" i="54"/>
  <c r="CQ231" i="54"/>
  <c r="D232" i="54"/>
  <c r="M232" i="54"/>
  <c r="V232" i="54"/>
  <c r="AE232" i="54"/>
  <c r="AN232" i="54"/>
  <c r="CJ232" i="54"/>
  <c r="W232" i="54"/>
  <c r="AF232" i="54"/>
  <c r="AO232" i="54"/>
  <c r="CK232" i="54"/>
  <c r="F232" i="54"/>
  <c r="O232" i="54"/>
  <c r="X232" i="54"/>
  <c r="AG232" i="54"/>
  <c r="AP232" i="54"/>
  <c r="CL232" i="54"/>
  <c r="G232" i="54"/>
  <c r="P232" i="54"/>
  <c r="Y232" i="54"/>
  <c r="AH232" i="54"/>
  <c r="AQ232" i="54"/>
  <c r="CM232" i="54"/>
  <c r="H232" i="54"/>
  <c r="Q232" i="54"/>
  <c r="Z232" i="54"/>
  <c r="AI232" i="54"/>
  <c r="AR232" i="54"/>
  <c r="CN232" i="54"/>
  <c r="I232" i="54"/>
  <c r="R232" i="54"/>
  <c r="AA232" i="54"/>
  <c r="AJ232" i="54"/>
  <c r="AS232" i="54"/>
  <c r="CO232" i="54"/>
  <c r="J232" i="54"/>
  <c r="S232" i="54"/>
  <c r="AB232" i="54"/>
  <c r="AK232" i="54"/>
  <c r="AT232" i="54"/>
  <c r="CP232" i="54"/>
  <c r="K232" i="54"/>
  <c r="T232" i="54"/>
  <c r="AC232" i="54"/>
  <c r="AL232" i="54"/>
  <c r="AU232" i="54"/>
  <c r="CQ232" i="54"/>
  <c r="D233" i="54"/>
  <c r="M233" i="54"/>
  <c r="V233" i="54"/>
  <c r="AE233" i="54"/>
  <c r="AN233" i="54"/>
  <c r="CJ233" i="54"/>
  <c r="W233" i="54"/>
  <c r="AF233" i="54"/>
  <c r="AO233" i="54"/>
  <c r="CK233" i="54"/>
  <c r="F233" i="54"/>
  <c r="O233" i="54"/>
  <c r="X233" i="54"/>
  <c r="AG233" i="54"/>
  <c r="AP233" i="54"/>
  <c r="CL233" i="54"/>
  <c r="G233" i="54"/>
  <c r="P233" i="54"/>
  <c r="Y233" i="54"/>
  <c r="AH233" i="54"/>
  <c r="AQ233" i="54"/>
  <c r="CM233" i="54"/>
  <c r="H233" i="54"/>
  <c r="Q233" i="54"/>
  <c r="Z233" i="54"/>
  <c r="AI233" i="54"/>
  <c r="AR233" i="54"/>
  <c r="CN233" i="54"/>
  <c r="I233" i="54"/>
  <c r="R233" i="54"/>
  <c r="AA233" i="54"/>
  <c r="AJ233" i="54"/>
  <c r="AS233" i="54"/>
  <c r="CO233" i="54"/>
  <c r="J233" i="54"/>
  <c r="S233" i="54"/>
  <c r="AB233" i="54"/>
  <c r="AK233" i="54"/>
  <c r="AT233" i="54"/>
  <c r="CP233" i="54"/>
  <c r="K233" i="54"/>
  <c r="T233" i="54"/>
  <c r="AC233" i="54"/>
  <c r="AL233" i="54"/>
  <c r="AU233" i="54"/>
  <c r="CQ233" i="54"/>
  <c r="D234" i="54"/>
  <c r="M234" i="54"/>
  <c r="V234" i="54"/>
  <c r="AE234" i="54"/>
  <c r="AN234" i="54"/>
  <c r="CJ234" i="54"/>
  <c r="W234" i="54"/>
  <c r="AF234" i="54"/>
  <c r="AO234" i="54"/>
  <c r="CK234" i="54"/>
  <c r="F234" i="54"/>
  <c r="O234" i="54"/>
  <c r="X234" i="54"/>
  <c r="AG234" i="54"/>
  <c r="AP234" i="54"/>
  <c r="CL234" i="54"/>
  <c r="G234" i="54"/>
  <c r="P234" i="54"/>
  <c r="Y234" i="54"/>
  <c r="AH234" i="54"/>
  <c r="AQ234" i="54"/>
  <c r="CM234" i="54"/>
  <c r="H234" i="54"/>
  <c r="Q234" i="54"/>
  <c r="Z234" i="54"/>
  <c r="AI234" i="54"/>
  <c r="AR234" i="54"/>
  <c r="CN234" i="54"/>
  <c r="I234" i="54"/>
  <c r="R234" i="54"/>
  <c r="AA234" i="54"/>
  <c r="AJ234" i="54"/>
  <c r="AS234" i="54"/>
  <c r="CO234" i="54"/>
  <c r="J234" i="54"/>
  <c r="S234" i="54"/>
  <c r="AB234" i="54"/>
  <c r="AK234" i="54"/>
  <c r="AT234" i="54"/>
  <c r="CP234" i="54"/>
  <c r="K234" i="54"/>
  <c r="T234" i="54"/>
  <c r="AC234" i="54"/>
  <c r="AL234" i="54"/>
  <c r="AU234" i="54"/>
  <c r="CQ234" i="54"/>
  <c r="D235" i="54"/>
  <c r="M235" i="54"/>
  <c r="V235" i="54"/>
  <c r="AE235" i="54"/>
  <c r="AN235" i="54"/>
  <c r="CJ235" i="54"/>
  <c r="W235" i="54"/>
  <c r="AF235" i="54"/>
  <c r="AO235" i="54"/>
  <c r="CK235" i="54"/>
  <c r="F235" i="54"/>
  <c r="O235" i="54"/>
  <c r="X235" i="54"/>
  <c r="AG235" i="54"/>
  <c r="AP235" i="54"/>
  <c r="CL235" i="54"/>
  <c r="G235" i="54"/>
  <c r="P235" i="54"/>
  <c r="Y235" i="54"/>
  <c r="AH235" i="54"/>
  <c r="AQ235" i="54"/>
  <c r="CM235" i="54"/>
  <c r="H235" i="54"/>
  <c r="Q235" i="54"/>
  <c r="Z235" i="54"/>
  <c r="AI235" i="54"/>
  <c r="AR235" i="54"/>
  <c r="CN235" i="54"/>
  <c r="I235" i="54"/>
  <c r="R235" i="54"/>
  <c r="AA235" i="54"/>
  <c r="AJ235" i="54"/>
  <c r="AS235" i="54"/>
  <c r="CO235" i="54"/>
  <c r="J235" i="54"/>
  <c r="S235" i="54"/>
  <c r="AB235" i="54"/>
  <c r="AK235" i="54"/>
  <c r="AT235" i="54"/>
  <c r="CP235" i="54"/>
  <c r="K235" i="54"/>
  <c r="T235" i="54"/>
  <c r="AC235" i="54"/>
  <c r="AL235" i="54"/>
  <c r="AU235" i="54"/>
  <c r="CQ235" i="54"/>
  <c r="D236" i="54"/>
  <c r="M236" i="54"/>
  <c r="V236" i="54"/>
  <c r="AE236" i="54"/>
  <c r="AN236" i="54"/>
  <c r="CJ236" i="54"/>
  <c r="W236" i="54"/>
  <c r="AF236" i="54"/>
  <c r="AO236" i="54"/>
  <c r="CK236" i="54"/>
  <c r="F236" i="54"/>
  <c r="O236" i="54"/>
  <c r="X236" i="54"/>
  <c r="AG236" i="54"/>
  <c r="AP236" i="54"/>
  <c r="CL236" i="54"/>
  <c r="G236" i="54"/>
  <c r="P236" i="54"/>
  <c r="Y236" i="54"/>
  <c r="AH236" i="54"/>
  <c r="AQ236" i="54"/>
  <c r="CM236" i="54"/>
  <c r="H236" i="54"/>
  <c r="Q236" i="54"/>
  <c r="Z236" i="54"/>
  <c r="AI236" i="54"/>
  <c r="AR236" i="54"/>
  <c r="CN236" i="54"/>
  <c r="I236" i="54"/>
  <c r="R236" i="54"/>
  <c r="AA236" i="54"/>
  <c r="AJ236" i="54"/>
  <c r="AS236" i="54"/>
  <c r="CO236" i="54"/>
  <c r="J236" i="54"/>
  <c r="S236" i="54"/>
  <c r="AB236" i="54"/>
  <c r="AK236" i="54"/>
  <c r="AT236" i="54"/>
  <c r="CP236" i="54"/>
  <c r="K236" i="54"/>
  <c r="T236" i="54"/>
  <c r="AC236" i="54"/>
  <c r="AL236" i="54"/>
  <c r="AU236" i="54"/>
  <c r="CQ236" i="54"/>
  <c r="D237" i="54"/>
  <c r="M237" i="54"/>
  <c r="V237" i="54"/>
  <c r="AE237" i="54"/>
  <c r="AN237" i="54"/>
  <c r="CJ237" i="54"/>
  <c r="W237" i="54"/>
  <c r="AF237" i="54"/>
  <c r="AO237" i="54"/>
  <c r="CK237" i="54"/>
  <c r="F237" i="54"/>
  <c r="O237" i="54"/>
  <c r="X237" i="54"/>
  <c r="AG237" i="54"/>
  <c r="AP237" i="54"/>
  <c r="CL237" i="54"/>
  <c r="G237" i="54"/>
  <c r="P237" i="54"/>
  <c r="Y237" i="54"/>
  <c r="AH237" i="54"/>
  <c r="AQ237" i="54"/>
  <c r="CM237" i="54"/>
  <c r="H237" i="54"/>
  <c r="Q237" i="54"/>
  <c r="Z237" i="54"/>
  <c r="AI237" i="54"/>
  <c r="AR237" i="54"/>
  <c r="CN237" i="54"/>
  <c r="I237" i="54"/>
  <c r="R237" i="54"/>
  <c r="AA237" i="54"/>
  <c r="AJ237" i="54"/>
  <c r="AS237" i="54"/>
  <c r="CO237" i="54"/>
  <c r="J237" i="54"/>
  <c r="S237" i="54"/>
  <c r="AB237" i="54"/>
  <c r="AK237" i="54"/>
  <c r="AT237" i="54"/>
  <c r="CP237" i="54"/>
  <c r="K237" i="54"/>
  <c r="T237" i="54"/>
  <c r="AC237" i="54"/>
  <c r="AL237" i="54"/>
  <c r="AU237" i="54"/>
  <c r="CQ237" i="54"/>
  <c r="D238" i="54"/>
  <c r="M238" i="54"/>
  <c r="V238" i="54"/>
  <c r="AE238" i="54"/>
  <c r="AN238" i="54"/>
  <c r="AW238" i="54"/>
  <c r="CJ238" i="54"/>
  <c r="W238" i="54"/>
  <c r="AF238" i="54"/>
  <c r="AO238" i="54"/>
  <c r="AX238" i="54"/>
  <c r="CK238" i="54"/>
  <c r="F238" i="54"/>
  <c r="O238" i="54"/>
  <c r="X238" i="54"/>
  <c r="AG238" i="54"/>
  <c r="AP238" i="54"/>
  <c r="AY238" i="54"/>
  <c r="CL238" i="54"/>
  <c r="G238" i="54"/>
  <c r="P238" i="54"/>
  <c r="Y238" i="54"/>
  <c r="AH238" i="54"/>
  <c r="AQ238" i="54"/>
  <c r="AZ238" i="54"/>
  <c r="CM238" i="54"/>
  <c r="H238" i="54"/>
  <c r="Q238" i="54"/>
  <c r="Z238" i="54"/>
  <c r="AI238" i="54"/>
  <c r="AR238" i="54"/>
  <c r="BA238" i="54"/>
  <c r="CN238" i="54"/>
  <c r="I238" i="54"/>
  <c r="R238" i="54"/>
  <c r="AA238" i="54"/>
  <c r="AJ238" i="54"/>
  <c r="AS238" i="54"/>
  <c r="BB238" i="54"/>
  <c r="CO238" i="54"/>
  <c r="J238" i="54"/>
  <c r="S238" i="54"/>
  <c r="AB238" i="54"/>
  <c r="AK238" i="54"/>
  <c r="AT238" i="54"/>
  <c r="BC238" i="54"/>
  <c r="CP238" i="54"/>
  <c r="K238" i="54"/>
  <c r="T238" i="54"/>
  <c r="AC238" i="54"/>
  <c r="AL238" i="54"/>
  <c r="AU238" i="54"/>
  <c r="BD238" i="54"/>
  <c r="CQ238" i="54"/>
  <c r="B25" i="54"/>
  <c r="C78" i="35"/>
  <c r="C79" i="35"/>
  <c r="C80" i="35"/>
  <c r="C81" i="35"/>
  <c r="C82" i="35"/>
  <c r="C83" i="35"/>
  <c r="C84" i="35"/>
  <c r="C85" i="35"/>
  <c r="C86" i="35"/>
  <c r="C87" i="35"/>
  <c r="C88" i="35"/>
  <c r="C89" i="35"/>
  <c r="C90" i="35"/>
  <c r="C91" i="35"/>
  <c r="C92" i="35"/>
  <c r="C93" i="35"/>
  <c r="C94" i="35"/>
  <c r="C95" i="35"/>
  <c r="C96" i="35"/>
  <c r="C97" i="35"/>
  <c r="C98" i="35"/>
  <c r="C99" i="35"/>
  <c r="C100" i="35"/>
  <c r="C101" i="35"/>
  <c r="C102" i="35"/>
  <c r="C103" i="35"/>
  <c r="C104" i="35"/>
  <c r="C105" i="35"/>
  <c r="C106" i="35"/>
  <c r="C107" i="35"/>
  <c r="C108" i="35"/>
  <c r="C109" i="35"/>
  <c r="C110" i="35"/>
  <c r="C111" i="35"/>
  <c r="C112" i="35"/>
  <c r="C113" i="35"/>
  <c r="C114" i="35"/>
  <c r="C115" i="35"/>
  <c r="C116" i="35"/>
  <c r="C117" i="35"/>
  <c r="C118" i="35"/>
  <c r="C119" i="35"/>
  <c r="C120" i="35"/>
  <c r="C121" i="35"/>
  <c r="C122" i="35"/>
  <c r="C123" i="35"/>
  <c r="C124" i="35"/>
  <c r="C125" i="35"/>
  <c r="C126" i="35"/>
  <c r="C127" i="35"/>
  <c r="C128" i="35"/>
  <c r="C129" i="35"/>
  <c r="C130" i="35"/>
  <c r="C131" i="35"/>
  <c r="C132" i="35"/>
  <c r="C133" i="35"/>
  <c r="C134" i="35"/>
  <c r="C135" i="35"/>
  <c r="C136" i="35"/>
  <c r="C137" i="35"/>
  <c r="C138" i="35"/>
  <c r="C139" i="35"/>
  <c r="C140" i="35"/>
  <c r="C141" i="35"/>
  <c r="C142" i="35"/>
  <c r="C143" i="35"/>
  <c r="C144" i="35"/>
  <c r="C145" i="35"/>
  <c r="C146" i="35"/>
  <c r="C147" i="35"/>
  <c r="C148" i="35"/>
  <c r="C149" i="35"/>
  <c r="C150" i="35"/>
  <c r="C151" i="35"/>
  <c r="C152" i="35"/>
  <c r="C153" i="35"/>
  <c r="C154" i="35"/>
  <c r="C155" i="35"/>
  <c r="C156" i="35"/>
  <c r="C157" i="35"/>
  <c r="C158" i="35"/>
  <c r="D158" i="35"/>
  <c r="Y158" i="35"/>
  <c r="E158" i="35"/>
  <c r="Z158" i="35"/>
  <c r="F158" i="35"/>
  <c r="AA158" i="35"/>
  <c r="G158" i="35"/>
  <c r="AB158" i="35"/>
  <c r="H158" i="35"/>
  <c r="AC158" i="35"/>
  <c r="I158" i="35"/>
  <c r="AD158" i="35"/>
  <c r="J158" i="35"/>
  <c r="AE158" i="35"/>
  <c r="K43" i="35"/>
  <c r="K158" i="35"/>
  <c r="AF158" i="35"/>
  <c r="D159" i="35"/>
  <c r="Y159" i="35"/>
  <c r="E159" i="35"/>
  <c r="Z159" i="35"/>
  <c r="F159" i="35"/>
  <c r="AA159" i="35"/>
  <c r="G159" i="35"/>
  <c r="AB159" i="35"/>
  <c r="H159" i="35"/>
  <c r="AC159" i="35"/>
  <c r="I159" i="35"/>
  <c r="AD159" i="35"/>
  <c r="J159" i="35"/>
  <c r="AE159" i="35"/>
  <c r="K159" i="35"/>
  <c r="AF159" i="35"/>
  <c r="D160" i="35"/>
  <c r="Y160" i="35"/>
  <c r="E160" i="35"/>
  <c r="Z160" i="35"/>
  <c r="F160" i="35"/>
  <c r="AA160" i="35"/>
  <c r="G160" i="35"/>
  <c r="AB160" i="35"/>
  <c r="H160" i="35"/>
  <c r="AC160" i="35"/>
  <c r="I160" i="35"/>
  <c r="AD160" i="35"/>
  <c r="J160" i="35"/>
  <c r="AE160" i="35"/>
  <c r="K160" i="35"/>
  <c r="AF160" i="35"/>
  <c r="D161" i="35"/>
  <c r="Y161" i="35"/>
  <c r="E161" i="35"/>
  <c r="Z161" i="35"/>
  <c r="F161" i="35"/>
  <c r="AA161" i="35"/>
  <c r="G161" i="35"/>
  <c r="AB161" i="35"/>
  <c r="H161" i="35"/>
  <c r="AC161" i="35"/>
  <c r="I161" i="35"/>
  <c r="AD161" i="35"/>
  <c r="J161" i="35"/>
  <c r="AE161" i="35"/>
  <c r="K161" i="35"/>
  <c r="AF161" i="35"/>
  <c r="D162" i="35"/>
  <c r="Y162" i="35"/>
  <c r="E162" i="35"/>
  <c r="Z162" i="35"/>
  <c r="F162" i="35"/>
  <c r="AA162" i="35"/>
  <c r="G162" i="35"/>
  <c r="AB162" i="35"/>
  <c r="H162" i="35"/>
  <c r="AC162" i="35"/>
  <c r="I162" i="35"/>
  <c r="AD162" i="35"/>
  <c r="J162" i="35"/>
  <c r="AE162" i="35"/>
  <c r="K162" i="35"/>
  <c r="AF162" i="35"/>
  <c r="D163" i="35"/>
  <c r="Y163" i="35"/>
  <c r="E163" i="35"/>
  <c r="Z163" i="35"/>
  <c r="F163" i="35"/>
  <c r="AA163" i="35"/>
  <c r="G163" i="35"/>
  <c r="AB163" i="35"/>
  <c r="H163" i="35"/>
  <c r="AC163" i="35"/>
  <c r="I163" i="35"/>
  <c r="AD163" i="35"/>
  <c r="J163" i="35"/>
  <c r="AE163" i="35"/>
  <c r="K163" i="35"/>
  <c r="AF163" i="35"/>
  <c r="D164" i="35"/>
  <c r="Y164" i="35"/>
  <c r="E164" i="35"/>
  <c r="Z164" i="35"/>
  <c r="F164" i="35"/>
  <c r="AA164" i="35"/>
  <c r="G164" i="35"/>
  <c r="AB164" i="35"/>
  <c r="H164" i="35"/>
  <c r="AC164" i="35"/>
  <c r="I164" i="35"/>
  <c r="AD164" i="35"/>
  <c r="J164" i="35"/>
  <c r="AE164" i="35"/>
  <c r="K164" i="35"/>
  <c r="AF164" i="35"/>
  <c r="D165" i="35"/>
  <c r="Y165" i="35"/>
  <c r="E165" i="35"/>
  <c r="Z165" i="35"/>
  <c r="F165" i="35"/>
  <c r="AA165" i="35"/>
  <c r="G165" i="35"/>
  <c r="AB165" i="35"/>
  <c r="H165" i="35"/>
  <c r="AC165" i="35"/>
  <c r="I165" i="35"/>
  <c r="AD165" i="35"/>
  <c r="J165" i="35"/>
  <c r="AE165" i="35"/>
  <c r="K165" i="35"/>
  <c r="AF165" i="35"/>
  <c r="D166" i="35"/>
  <c r="Y166" i="35"/>
  <c r="E166" i="35"/>
  <c r="Z166" i="35"/>
  <c r="F166" i="35"/>
  <c r="AA166" i="35"/>
  <c r="G166" i="35"/>
  <c r="AB166" i="35"/>
  <c r="H166" i="35"/>
  <c r="AC166" i="35"/>
  <c r="I166" i="35"/>
  <c r="AD166" i="35"/>
  <c r="J166" i="35"/>
  <c r="AE166" i="35"/>
  <c r="K166" i="35"/>
  <c r="AF166" i="35"/>
  <c r="D167" i="35"/>
  <c r="Y167" i="35"/>
  <c r="E167" i="35"/>
  <c r="Z167" i="35"/>
  <c r="F167" i="35"/>
  <c r="AA167" i="35"/>
  <c r="G167" i="35"/>
  <c r="AB167" i="35"/>
  <c r="H167" i="35"/>
  <c r="AC167" i="35"/>
  <c r="I167" i="35"/>
  <c r="AD167" i="35"/>
  <c r="J167" i="35"/>
  <c r="AE167" i="35"/>
  <c r="K167" i="35"/>
  <c r="AF167" i="35"/>
  <c r="D168" i="35"/>
  <c r="Y168" i="35"/>
  <c r="E168" i="35"/>
  <c r="Z168" i="35"/>
  <c r="F168" i="35"/>
  <c r="AA168" i="35"/>
  <c r="G168" i="35"/>
  <c r="AB168" i="35"/>
  <c r="H168" i="35"/>
  <c r="AC168" i="35"/>
  <c r="I168" i="35"/>
  <c r="AD168" i="35"/>
  <c r="J168" i="35"/>
  <c r="AE168" i="35"/>
  <c r="K168" i="35"/>
  <c r="AF168" i="35"/>
  <c r="D169" i="35"/>
  <c r="Y169" i="35"/>
  <c r="E169" i="35"/>
  <c r="Z169" i="35"/>
  <c r="F169" i="35"/>
  <c r="AA169" i="35"/>
  <c r="G169" i="35"/>
  <c r="AB169" i="35"/>
  <c r="H169" i="35"/>
  <c r="AC169" i="35"/>
  <c r="I169" i="35"/>
  <c r="AD169" i="35"/>
  <c r="J169" i="35"/>
  <c r="AE169" i="35"/>
  <c r="K169" i="35"/>
  <c r="AF169" i="35"/>
  <c r="D170" i="35"/>
  <c r="Y170" i="35"/>
  <c r="E170" i="35"/>
  <c r="Z170" i="35"/>
  <c r="F170" i="35"/>
  <c r="AA170" i="35"/>
  <c r="G170" i="35"/>
  <c r="AB170" i="35"/>
  <c r="H170" i="35"/>
  <c r="AC170" i="35"/>
  <c r="I170" i="35"/>
  <c r="AD170" i="35"/>
  <c r="J170" i="35"/>
  <c r="AE170" i="35"/>
  <c r="K170" i="35"/>
  <c r="AF170" i="35"/>
  <c r="D171" i="35"/>
  <c r="Y171" i="35"/>
  <c r="E171" i="35"/>
  <c r="Z171" i="35"/>
  <c r="F171" i="35"/>
  <c r="AA171" i="35"/>
  <c r="G171" i="35"/>
  <c r="AB171" i="35"/>
  <c r="H171" i="35"/>
  <c r="AC171" i="35"/>
  <c r="I171" i="35"/>
  <c r="AD171" i="35"/>
  <c r="J171" i="35"/>
  <c r="AE171" i="35"/>
  <c r="K171" i="35"/>
  <c r="AF171" i="35"/>
  <c r="D172" i="35"/>
  <c r="Y172" i="35"/>
  <c r="E172" i="35"/>
  <c r="Z172" i="35"/>
  <c r="F172" i="35"/>
  <c r="AA172" i="35"/>
  <c r="G172" i="35"/>
  <c r="AB172" i="35"/>
  <c r="H172" i="35"/>
  <c r="AC172" i="35"/>
  <c r="I172" i="35"/>
  <c r="AD172" i="35"/>
  <c r="J172" i="35"/>
  <c r="AE172" i="35"/>
  <c r="K172" i="35"/>
  <c r="AF172" i="35"/>
  <c r="D173" i="35"/>
  <c r="Y173" i="35"/>
  <c r="E173" i="35"/>
  <c r="Z173" i="35"/>
  <c r="F173" i="35"/>
  <c r="AA173" i="35"/>
  <c r="G173" i="35"/>
  <c r="AB173" i="35"/>
  <c r="H173" i="35"/>
  <c r="AC173" i="35"/>
  <c r="I173" i="35"/>
  <c r="AD173" i="35"/>
  <c r="J173" i="35"/>
  <c r="AE173" i="35"/>
  <c r="K173" i="35"/>
  <c r="AF173" i="35"/>
  <c r="D174" i="35"/>
  <c r="Y174" i="35"/>
  <c r="E174" i="35"/>
  <c r="Z174" i="35"/>
  <c r="F174" i="35"/>
  <c r="AA174" i="35"/>
  <c r="G174" i="35"/>
  <c r="AB174" i="35"/>
  <c r="H174" i="35"/>
  <c r="AC174" i="35"/>
  <c r="I174" i="35"/>
  <c r="AD174" i="35"/>
  <c r="J174" i="35"/>
  <c r="AE174" i="35"/>
  <c r="K174" i="35"/>
  <c r="AF174" i="35"/>
  <c r="D175" i="35"/>
  <c r="Y175" i="35"/>
  <c r="E175" i="35"/>
  <c r="Z175" i="35"/>
  <c r="F175" i="35"/>
  <c r="AA175" i="35"/>
  <c r="G175" i="35"/>
  <c r="AB175" i="35"/>
  <c r="H175" i="35"/>
  <c r="AC175" i="35"/>
  <c r="I175" i="35"/>
  <c r="AD175" i="35"/>
  <c r="J175" i="35"/>
  <c r="AE175" i="35"/>
  <c r="K175" i="35"/>
  <c r="AF175" i="35"/>
  <c r="D176" i="35"/>
  <c r="Y176" i="35"/>
  <c r="E176" i="35"/>
  <c r="Z176" i="35"/>
  <c r="F176" i="35"/>
  <c r="AA176" i="35"/>
  <c r="G176" i="35"/>
  <c r="AB176" i="35"/>
  <c r="H176" i="35"/>
  <c r="AC176" i="35"/>
  <c r="I176" i="35"/>
  <c r="AD176" i="35"/>
  <c r="J176" i="35"/>
  <c r="AE176" i="35"/>
  <c r="K176" i="35"/>
  <c r="AF176" i="35"/>
  <c r="D177" i="35"/>
  <c r="Y177" i="35"/>
  <c r="E177" i="35"/>
  <c r="Z177" i="35"/>
  <c r="F177" i="35"/>
  <c r="AA177" i="35"/>
  <c r="G177" i="35"/>
  <c r="AB177" i="35"/>
  <c r="H177" i="35"/>
  <c r="AC177" i="35"/>
  <c r="I177" i="35"/>
  <c r="AD177" i="35"/>
  <c r="J177" i="35"/>
  <c r="AE177" i="35"/>
  <c r="K177" i="35"/>
  <c r="AF177" i="35"/>
  <c r="D178" i="35"/>
  <c r="Y178" i="35"/>
  <c r="E178" i="35"/>
  <c r="Z178" i="35"/>
  <c r="F178" i="35"/>
  <c r="AA178" i="35"/>
  <c r="G178" i="35"/>
  <c r="AB178" i="35"/>
  <c r="H178" i="35"/>
  <c r="AC178" i="35"/>
  <c r="I178" i="35"/>
  <c r="AD178" i="35"/>
  <c r="J178" i="35"/>
  <c r="AE178" i="35"/>
  <c r="K178" i="35"/>
  <c r="AF178" i="35"/>
  <c r="D179" i="35"/>
  <c r="Y179" i="35"/>
  <c r="E179" i="35"/>
  <c r="Z179" i="35"/>
  <c r="F179" i="35"/>
  <c r="AA179" i="35"/>
  <c r="G179" i="35"/>
  <c r="AB179" i="35"/>
  <c r="H179" i="35"/>
  <c r="AC179" i="35"/>
  <c r="I179" i="35"/>
  <c r="AD179" i="35"/>
  <c r="J179" i="35"/>
  <c r="AE179" i="35"/>
  <c r="K179" i="35"/>
  <c r="AF179" i="35"/>
  <c r="D180" i="35"/>
  <c r="Y180" i="35"/>
  <c r="E180" i="35"/>
  <c r="Z180" i="35"/>
  <c r="F180" i="35"/>
  <c r="AA180" i="35"/>
  <c r="G180" i="35"/>
  <c r="AB180" i="35"/>
  <c r="H180" i="35"/>
  <c r="AC180" i="35"/>
  <c r="I180" i="35"/>
  <c r="AD180" i="35"/>
  <c r="J180" i="35"/>
  <c r="AE180" i="35"/>
  <c r="K180" i="35"/>
  <c r="AF180" i="35"/>
  <c r="D181" i="35"/>
  <c r="Y181" i="35"/>
  <c r="E181" i="35"/>
  <c r="Z181" i="35"/>
  <c r="F181" i="35"/>
  <c r="AA181" i="35"/>
  <c r="G181" i="35"/>
  <c r="AB181" i="35"/>
  <c r="H181" i="35"/>
  <c r="AC181" i="35"/>
  <c r="I181" i="35"/>
  <c r="AD181" i="35"/>
  <c r="J181" i="35"/>
  <c r="AE181" i="35"/>
  <c r="K181" i="35"/>
  <c r="AF181" i="35"/>
  <c r="D182" i="35"/>
  <c r="Y182" i="35"/>
  <c r="E182" i="35"/>
  <c r="Z182" i="35"/>
  <c r="F182" i="35"/>
  <c r="AA182" i="35"/>
  <c r="G182" i="35"/>
  <c r="AB182" i="35"/>
  <c r="H182" i="35"/>
  <c r="AC182" i="35"/>
  <c r="I182" i="35"/>
  <c r="AD182" i="35"/>
  <c r="J182" i="35"/>
  <c r="AE182" i="35"/>
  <c r="K182" i="35"/>
  <c r="AF182" i="35"/>
  <c r="D183" i="35"/>
  <c r="Y183" i="35"/>
  <c r="E183" i="35"/>
  <c r="Z183" i="35"/>
  <c r="F183" i="35"/>
  <c r="AA183" i="35"/>
  <c r="G183" i="35"/>
  <c r="AB183" i="35"/>
  <c r="H183" i="35"/>
  <c r="AC183" i="35"/>
  <c r="I183" i="35"/>
  <c r="AD183" i="35"/>
  <c r="J183" i="35"/>
  <c r="AE183" i="35"/>
  <c r="K183" i="35"/>
  <c r="AF183" i="35"/>
  <c r="D184" i="35"/>
  <c r="Y184" i="35"/>
  <c r="E184" i="35"/>
  <c r="Z184" i="35"/>
  <c r="F184" i="35"/>
  <c r="AA184" i="35"/>
  <c r="G184" i="35"/>
  <c r="AB184" i="35"/>
  <c r="H184" i="35"/>
  <c r="AC184" i="35"/>
  <c r="I184" i="35"/>
  <c r="AD184" i="35"/>
  <c r="J184" i="35"/>
  <c r="AE184" i="35"/>
  <c r="K184" i="35"/>
  <c r="AF184" i="35"/>
  <c r="D185" i="35"/>
  <c r="Y185" i="35"/>
  <c r="E185" i="35"/>
  <c r="Z185" i="35"/>
  <c r="F185" i="35"/>
  <c r="AA185" i="35"/>
  <c r="G185" i="35"/>
  <c r="AB185" i="35"/>
  <c r="H185" i="35"/>
  <c r="AC185" i="35"/>
  <c r="I185" i="35"/>
  <c r="AD185" i="35"/>
  <c r="J185" i="35"/>
  <c r="AE185" i="35"/>
  <c r="K185" i="35"/>
  <c r="AF185" i="35"/>
  <c r="D186" i="35"/>
  <c r="Y186" i="35"/>
  <c r="E186" i="35"/>
  <c r="Z186" i="35"/>
  <c r="F186" i="35"/>
  <c r="AA186" i="35"/>
  <c r="G186" i="35"/>
  <c r="AB186" i="35"/>
  <c r="H186" i="35"/>
  <c r="AC186" i="35"/>
  <c r="I186" i="35"/>
  <c r="AD186" i="35"/>
  <c r="J186" i="35"/>
  <c r="AE186" i="35"/>
  <c r="K186" i="35"/>
  <c r="AF186" i="35"/>
  <c r="D187" i="35"/>
  <c r="Y187" i="35"/>
  <c r="E187" i="35"/>
  <c r="Z187" i="35"/>
  <c r="F187" i="35"/>
  <c r="AA187" i="35"/>
  <c r="G187" i="35"/>
  <c r="AB187" i="35"/>
  <c r="H187" i="35"/>
  <c r="AC187" i="35"/>
  <c r="I187" i="35"/>
  <c r="AD187" i="35"/>
  <c r="J187" i="35"/>
  <c r="AE187" i="35"/>
  <c r="K187" i="35"/>
  <c r="AF187" i="35"/>
  <c r="D188" i="35"/>
  <c r="Y188" i="35"/>
  <c r="E188" i="35"/>
  <c r="Z188" i="35"/>
  <c r="F188" i="35"/>
  <c r="AA188" i="35"/>
  <c r="G188" i="35"/>
  <c r="AB188" i="35"/>
  <c r="H188" i="35"/>
  <c r="AC188" i="35"/>
  <c r="I188" i="35"/>
  <c r="AD188" i="35"/>
  <c r="J188" i="35"/>
  <c r="AE188" i="35"/>
  <c r="K188" i="35"/>
  <c r="AF188" i="35"/>
  <c r="D189" i="35"/>
  <c r="Y189" i="35"/>
  <c r="E189" i="35"/>
  <c r="Z189" i="35"/>
  <c r="F189" i="35"/>
  <c r="AA189" i="35"/>
  <c r="G189" i="35"/>
  <c r="AB189" i="35"/>
  <c r="H189" i="35"/>
  <c r="AC189" i="35"/>
  <c r="I189" i="35"/>
  <c r="AD189" i="35"/>
  <c r="J189" i="35"/>
  <c r="AE189" i="35"/>
  <c r="K189" i="35"/>
  <c r="AF189" i="35"/>
  <c r="D190" i="35"/>
  <c r="Y190" i="35"/>
  <c r="E190" i="35"/>
  <c r="Z190" i="35"/>
  <c r="F190" i="35"/>
  <c r="AA190" i="35"/>
  <c r="G190" i="35"/>
  <c r="AB190" i="35"/>
  <c r="H190" i="35"/>
  <c r="AC190" i="35"/>
  <c r="I190" i="35"/>
  <c r="AD190" i="35"/>
  <c r="J190" i="35"/>
  <c r="AE190" i="35"/>
  <c r="K190" i="35"/>
  <c r="AF190" i="35"/>
  <c r="D191" i="35"/>
  <c r="Y191" i="35"/>
  <c r="E191" i="35"/>
  <c r="Z191" i="35"/>
  <c r="F191" i="35"/>
  <c r="AA191" i="35"/>
  <c r="G191" i="35"/>
  <c r="AB191" i="35"/>
  <c r="H191" i="35"/>
  <c r="AC191" i="35"/>
  <c r="I191" i="35"/>
  <c r="AD191" i="35"/>
  <c r="J191" i="35"/>
  <c r="AE191" i="35"/>
  <c r="K191" i="35"/>
  <c r="AF191" i="35"/>
  <c r="D192" i="35"/>
  <c r="Y192" i="35"/>
  <c r="E192" i="35"/>
  <c r="Z192" i="35"/>
  <c r="F192" i="35"/>
  <c r="AA192" i="35"/>
  <c r="G192" i="35"/>
  <c r="AB192" i="35"/>
  <c r="H192" i="35"/>
  <c r="AC192" i="35"/>
  <c r="I192" i="35"/>
  <c r="AD192" i="35"/>
  <c r="J192" i="35"/>
  <c r="AE192" i="35"/>
  <c r="K192" i="35"/>
  <c r="AF192" i="35"/>
  <c r="D193" i="35"/>
  <c r="Y193" i="35"/>
  <c r="E193" i="35"/>
  <c r="Z193" i="35"/>
  <c r="F193" i="35"/>
  <c r="AA193" i="35"/>
  <c r="G193" i="35"/>
  <c r="AB193" i="35"/>
  <c r="H193" i="35"/>
  <c r="AC193" i="35"/>
  <c r="I193" i="35"/>
  <c r="AD193" i="35"/>
  <c r="J193" i="35"/>
  <c r="AE193" i="35"/>
  <c r="K193" i="35"/>
  <c r="AF193" i="35"/>
  <c r="D194" i="35"/>
  <c r="Y194" i="35"/>
  <c r="E194" i="35"/>
  <c r="Z194" i="35"/>
  <c r="F194" i="35"/>
  <c r="AA194" i="35"/>
  <c r="G194" i="35"/>
  <c r="AB194" i="35"/>
  <c r="H194" i="35"/>
  <c r="AC194" i="35"/>
  <c r="I194" i="35"/>
  <c r="AD194" i="35"/>
  <c r="J194" i="35"/>
  <c r="AE194" i="35"/>
  <c r="K194" i="35"/>
  <c r="AF194" i="35"/>
  <c r="D195" i="35"/>
  <c r="Y195" i="35"/>
  <c r="E195" i="35"/>
  <c r="Z195" i="35"/>
  <c r="F195" i="35"/>
  <c r="AA195" i="35"/>
  <c r="G195" i="35"/>
  <c r="AB195" i="35"/>
  <c r="H195" i="35"/>
  <c r="AC195" i="35"/>
  <c r="I195" i="35"/>
  <c r="AD195" i="35"/>
  <c r="J195" i="35"/>
  <c r="AE195" i="35"/>
  <c r="K195" i="35"/>
  <c r="AF195" i="35"/>
  <c r="D196" i="35"/>
  <c r="Y196" i="35"/>
  <c r="E196" i="35"/>
  <c r="Z196" i="35"/>
  <c r="F196" i="35"/>
  <c r="AA196" i="35"/>
  <c r="G196" i="35"/>
  <c r="AB196" i="35"/>
  <c r="H196" i="35"/>
  <c r="AC196" i="35"/>
  <c r="I196" i="35"/>
  <c r="AD196" i="35"/>
  <c r="J196" i="35"/>
  <c r="AE196" i="35"/>
  <c r="K196" i="35"/>
  <c r="AF196" i="35"/>
  <c r="D197" i="35"/>
  <c r="Y197" i="35"/>
  <c r="E197" i="35"/>
  <c r="Z197" i="35"/>
  <c r="F197" i="35"/>
  <c r="AA197" i="35"/>
  <c r="G197" i="35"/>
  <c r="AB197" i="35"/>
  <c r="H197" i="35"/>
  <c r="AC197" i="35"/>
  <c r="I197" i="35"/>
  <c r="AD197" i="35"/>
  <c r="J197" i="35"/>
  <c r="AE197" i="35"/>
  <c r="K197" i="35"/>
  <c r="AF197" i="35"/>
  <c r="D198" i="35"/>
  <c r="Y198" i="35"/>
  <c r="E198" i="35"/>
  <c r="Z198" i="35"/>
  <c r="F198" i="35"/>
  <c r="AA198" i="35"/>
  <c r="G198" i="35"/>
  <c r="AB198" i="35"/>
  <c r="H198" i="35"/>
  <c r="AC198" i="35"/>
  <c r="I198" i="35"/>
  <c r="AD198" i="35"/>
  <c r="J198" i="35"/>
  <c r="AE198" i="35"/>
  <c r="K198" i="35"/>
  <c r="AF198" i="35"/>
  <c r="D199" i="35"/>
  <c r="Y199" i="35"/>
  <c r="E199" i="35"/>
  <c r="Z199" i="35"/>
  <c r="F199" i="35"/>
  <c r="AA199" i="35"/>
  <c r="G199" i="35"/>
  <c r="AB199" i="35"/>
  <c r="H199" i="35"/>
  <c r="AC199" i="35"/>
  <c r="I199" i="35"/>
  <c r="AD199" i="35"/>
  <c r="J199" i="35"/>
  <c r="AE199" i="35"/>
  <c r="K199" i="35"/>
  <c r="AF199" i="35"/>
  <c r="D200" i="35"/>
  <c r="Y200" i="35"/>
  <c r="E200" i="35"/>
  <c r="Z200" i="35"/>
  <c r="F200" i="35"/>
  <c r="AA200" i="35"/>
  <c r="G200" i="35"/>
  <c r="AB200" i="35"/>
  <c r="H200" i="35"/>
  <c r="AC200" i="35"/>
  <c r="I200" i="35"/>
  <c r="AD200" i="35"/>
  <c r="J200" i="35"/>
  <c r="AE200" i="35"/>
  <c r="K200" i="35"/>
  <c r="AF200" i="35"/>
  <c r="D201" i="35"/>
  <c r="Y201" i="35"/>
  <c r="E201" i="35"/>
  <c r="Z201" i="35"/>
  <c r="F201" i="35"/>
  <c r="AA201" i="35"/>
  <c r="G201" i="35"/>
  <c r="AB201" i="35"/>
  <c r="H201" i="35"/>
  <c r="AC201" i="35"/>
  <c r="I201" i="35"/>
  <c r="AD201" i="35"/>
  <c r="J201" i="35"/>
  <c r="AE201" i="35"/>
  <c r="K201" i="35"/>
  <c r="AF201" i="35"/>
  <c r="D202" i="35"/>
  <c r="Y202" i="35"/>
  <c r="E202" i="35"/>
  <c r="Z202" i="35"/>
  <c r="F202" i="35"/>
  <c r="AA202" i="35"/>
  <c r="G202" i="35"/>
  <c r="AB202" i="35"/>
  <c r="H202" i="35"/>
  <c r="AC202" i="35"/>
  <c r="I202" i="35"/>
  <c r="AD202" i="35"/>
  <c r="J202" i="35"/>
  <c r="AE202" i="35"/>
  <c r="K202" i="35"/>
  <c r="AF202" i="35"/>
  <c r="D203" i="35"/>
  <c r="Y203" i="35"/>
  <c r="E203" i="35"/>
  <c r="Z203" i="35"/>
  <c r="F203" i="35"/>
  <c r="AA203" i="35"/>
  <c r="G203" i="35"/>
  <c r="AB203" i="35"/>
  <c r="H203" i="35"/>
  <c r="AC203" i="35"/>
  <c r="I203" i="35"/>
  <c r="AD203" i="35"/>
  <c r="J203" i="35"/>
  <c r="AE203" i="35"/>
  <c r="K203" i="35"/>
  <c r="AF203" i="35"/>
  <c r="D204" i="35"/>
  <c r="Y204" i="35"/>
  <c r="E204" i="35"/>
  <c r="Z204" i="35"/>
  <c r="F204" i="35"/>
  <c r="AA204" i="35"/>
  <c r="G204" i="35"/>
  <c r="AB204" i="35"/>
  <c r="H204" i="35"/>
  <c r="AC204" i="35"/>
  <c r="I204" i="35"/>
  <c r="AD204" i="35"/>
  <c r="J204" i="35"/>
  <c r="AE204" i="35"/>
  <c r="K204" i="35"/>
  <c r="AF204" i="35"/>
  <c r="D205" i="35"/>
  <c r="Y205" i="35"/>
  <c r="E205" i="35"/>
  <c r="Z205" i="35"/>
  <c r="F205" i="35"/>
  <c r="AA205" i="35"/>
  <c r="G205" i="35"/>
  <c r="AB205" i="35"/>
  <c r="H205" i="35"/>
  <c r="AC205" i="35"/>
  <c r="I205" i="35"/>
  <c r="AD205" i="35"/>
  <c r="J205" i="35"/>
  <c r="AE205" i="35"/>
  <c r="K205" i="35"/>
  <c r="AF205" i="35"/>
  <c r="D206" i="35"/>
  <c r="Y206" i="35"/>
  <c r="E206" i="35"/>
  <c r="Z206" i="35"/>
  <c r="F206" i="35"/>
  <c r="AA206" i="35"/>
  <c r="G206" i="35"/>
  <c r="AB206" i="35"/>
  <c r="H206" i="35"/>
  <c r="AC206" i="35"/>
  <c r="I206" i="35"/>
  <c r="AD206" i="35"/>
  <c r="J206" i="35"/>
  <c r="AE206" i="35"/>
  <c r="K206" i="35"/>
  <c r="AF206" i="35"/>
  <c r="D207" i="35"/>
  <c r="Y207" i="35"/>
  <c r="E207" i="35"/>
  <c r="Z207" i="35"/>
  <c r="F207" i="35"/>
  <c r="AA207" i="35"/>
  <c r="G207" i="35"/>
  <c r="AB207" i="35"/>
  <c r="H207" i="35"/>
  <c r="AC207" i="35"/>
  <c r="I207" i="35"/>
  <c r="AD207" i="35"/>
  <c r="J207" i="35"/>
  <c r="AE207" i="35"/>
  <c r="K207" i="35"/>
  <c r="AF207" i="35"/>
  <c r="D208" i="35"/>
  <c r="Y208" i="35"/>
  <c r="E208" i="35"/>
  <c r="Z208" i="35"/>
  <c r="F208" i="35"/>
  <c r="AA208" i="35"/>
  <c r="G208" i="35"/>
  <c r="AB208" i="35"/>
  <c r="H208" i="35"/>
  <c r="AC208" i="35"/>
  <c r="I208" i="35"/>
  <c r="AD208" i="35"/>
  <c r="J208" i="35"/>
  <c r="AE208" i="35"/>
  <c r="K208" i="35"/>
  <c r="AF208" i="35"/>
  <c r="D209" i="35"/>
  <c r="Y209" i="35"/>
  <c r="E209" i="35"/>
  <c r="Z209" i="35"/>
  <c r="F209" i="35"/>
  <c r="AA209" i="35"/>
  <c r="G209" i="35"/>
  <c r="AB209" i="35"/>
  <c r="H209" i="35"/>
  <c r="AC209" i="35"/>
  <c r="I209" i="35"/>
  <c r="AD209" i="35"/>
  <c r="J209" i="35"/>
  <c r="AE209" i="35"/>
  <c r="K209" i="35"/>
  <c r="AF209" i="35"/>
  <c r="D210" i="35"/>
  <c r="Y210" i="35"/>
  <c r="E210" i="35"/>
  <c r="Z210" i="35"/>
  <c r="F210" i="35"/>
  <c r="AA210" i="35"/>
  <c r="G210" i="35"/>
  <c r="AB210" i="35"/>
  <c r="H210" i="35"/>
  <c r="AC210" i="35"/>
  <c r="I210" i="35"/>
  <c r="AD210" i="35"/>
  <c r="J210" i="35"/>
  <c r="AE210" i="35"/>
  <c r="K210" i="35"/>
  <c r="AF210" i="35"/>
  <c r="D211" i="35"/>
  <c r="Y211" i="35"/>
  <c r="E211" i="35"/>
  <c r="Z211" i="35"/>
  <c r="F211" i="35"/>
  <c r="AA211" i="35"/>
  <c r="G211" i="35"/>
  <c r="AB211" i="35"/>
  <c r="H211" i="35"/>
  <c r="AC211" i="35"/>
  <c r="I211" i="35"/>
  <c r="AD211" i="35"/>
  <c r="J211" i="35"/>
  <c r="AE211" i="35"/>
  <c r="K211" i="35"/>
  <c r="AF211" i="35"/>
  <c r="D212" i="35"/>
  <c r="Y212" i="35"/>
  <c r="E212" i="35"/>
  <c r="Z212" i="35"/>
  <c r="F212" i="35"/>
  <c r="AA212" i="35"/>
  <c r="G212" i="35"/>
  <c r="AB212" i="35"/>
  <c r="H212" i="35"/>
  <c r="AC212" i="35"/>
  <c r="I212" i="35"/>
  <c r="AD212" i="35"/>
  <c r="J212" i="35"/>
  <c r="AE212" i="35"/>
  <c r="K212" i="35"/>
  <c r="AF212" i="35"/>
  <c r="D213" i="35"/>
  <c r="Y213" i="35"/>
  <c r="E213" i="35"/>
  <c r="Z213" i="35"/>
  <c r="F213" i="35"/>
  <c r="AA213" i="35"/>
  <c r="G213" i="35"/>
  <c r="AB213" i="35"/>
  <c r="H213" i="35"/>
  <c r="AC213" i="35"/>
  <c r="I213" i="35"/>
  <c r="AD213" i="35"/>
  <c r="J213" i="35"/>
  <c r="AE213" i="35"/>
  <c r="K213" i="35"/>
  <c r="AF213" i="35"/>
  <c r="D214" i="35"/>
  <c r="Y214" i="35"/>
  <c r="E214" i="35"/>
  <c r="Z214" i="35"/>
  <c r="F214" i="35"/>
  <c r="AA214" i="35"/>
  <c r="G214" i="35"/>
  <c r="AB214" i="35"/>
  <c r="H214" i="35"/>
  <c r="AC214" i="35"/>
  <c r="I214" i="35"/>
  <c r="AD214" i="35"/>
  <c r="J214" i="35"/>
  <c r="AE214" i="35"/>
  <c r="K214" i="35"/>
  <c r="AF214" i="35"/>
  <c r="D215" i="35"/>
  <c r="Y215" i="35"/>
  <c r="E215" i="35"/>
  <c r="Z215" i="35"/>
  <c r="F215" i="35"/>
  <c r="AA215" i="35"/>
  <c r="G215" i="35"/>
  <c r="AB215" i="35"/>
  <c r="H215" i="35"/>
  <c r="AC215" i="35"/>
  <c r="I215" i="35"/>
  <c r="AD215" i="35"/>
  <c r="J215" i="35"/>
  <c r="AE215" i="35"/>
  <c r="K215" i="35"/>
  <c r="AF215" i="35"/>
  <c r="D216" i="35"/>
  <c r="Y216" i="35"/>
  <c r="E216" i="35"/>
  <c r="Z216" i="35"/>
  <c r="F216" i="35"/>
  <c r="AA216" i="35"/>
  <c r="G216" i="35"/>
  <c r="AB216" i="35"/>
  <c r="H216" i="35"/>
  <c r="AC216" i="35"/>
  <c r="I216" i="35"/>
  <c r="AD216" i="35"/>
  <c r="J216" i="35"/>
  <c r="AE216" i="35"/>
  <c r="K216" i="35"/>
  <c r="AF216" i="35"/>
  <c r="D217" i="35"/>
  <c r="Y217" i="35"/>
  <c r="E217" i="35"/>
  <c r="Z217" i="35"/>
  <c r="F217" i="35"/>
  <c r="AA217" i="35"/>
  <c r="G217" i="35"/>
  <c r="AB217" i="35"/>
  <c r="H217" i="35"/>
  <c r="AC217" i="35"/>
  <c r="I217" i="35"/>
  <c r="AD217" i="35"/>
  <c r="J217" i="35"/>
  <c r="AE217" i="35"/>
  <c r="K217" i="35"/>
  <c r="AF217" i="35"/>
  <c r="D218" i="35"/>
  <c r="Y218" i="35"/>
  <c r="E218" i="35"/>
  <c r="Z218" i="35"/>
  <c r="F218" i="35"/>
  <c r="AA218" i="35"/>
  <c r="G218" i="35"/>
  <c r="AB218" i="35"/>
  <c r="H218" i="35"/>
  <c r="AC218" i="35"/>
  <c r="I218" i="35"/>
  <c r="AD218" i="35"/>
  <c r="J218" i="35"/>
  <c r="AE218" i="35"/>
  <c r="K218" i="35"/>
  <c r="AF218" i="35"/>
  <c r="D219" i="35"/>
  <c r="Y219" i="35"/>
  <c r="E219" i="35"/>
  <c r="Z219" i="35"/>
  <c r="F219" i="35"/>
  <c r="AA219" i="35"/>
  <c r="G219" i="35"/>
  <c r="AB219" i="35"/>
  <c r="H219" i="35"/>
  <c r="AC219" i="35"/>
  <c r="I219" i="35"/>
  <c r="AD219" i="35"/>
  <c r="J219" i="35"/>
  <c r="AE219" i="35"/>
  <c r="K219" i="35"/>
  <c r="AF219" i="35"/>
  <c r="D220" i="35"/>
  <c r="Y220" i="35"/>
  <c r="E220" i="35"/>
  <c r="Z220" i="35"/>
  <c r="F220" i="35"/>
  <c r="AA220" i="35"/>
  <c r="G220" i="35"/>
  <c r="AB220" i="35"/>
  <c r="H220" i="35"/>
  <c r="AC220" i="35"/>
  <c r="I220" i="35"/>
  <c r="AD220" i="35"/>
  <c r="J220" i="35"/>
  <c r="AE220" i="35"/>
  <c r="K220" i="35"/>
  <c r="AF220" i="35"/>
  <c r="D221" i="35"/>
  <c r="Y221" i="35"/>
  <c r="E221" i="35"/>
  <c r="Z221" i="35"/>
  <c r="F221" i="35"/>
  <c r="AA221" i="35"/>
  <c r="G221" i="35"/>
  <c r="AB221" i="35"/>
  <c r="H221" i="35"/>
  <c r="AC221" i="35"/>
  <c r="I221" i="35"/>
  <c r="AD221" i="35"/>
  <c r="J221" i="35"/>
  <c r="AE221" i="35"/>
  <c r="K221" i="35"/>
  <c r="AF221" i="35"/>
  <c r="D222" i="35"/>
  <c r="Y222" i="35"/>
  <c r="E222" i="35"/>
  <c r="Z222" i="35"/>
  <c r="F222" i="35"/>
  <c r="AA222" i="35"/>
  <c r="G222" i="35"/>
  <c r="AB222" i="35"/>
  <c r="H222" i="35"/>
  <c r="AC222" i="35"/>
  <c r="I222" i="35"/>
  <c r="AD222" i="35"/>
  <c r="J222" i="35"/>
  <c r="AE222" i="35"/>
  <c r="K222" i="35"/>
  <c r="AF222" i="35"/>
  <c r="D223" i="35"/>
  <c r="Y223" i="35"/>
  <c r="E223" i="35"/>
  <c r="Z223" i="35"/>
  <c r="F223" i="35"/>
  <c r="AA223" i="35"/>
  <c r="G223" i="35"/>
  <c r="AB223" i="35"/>
  <c r="H223" i="35"/>
  <c r="AC223" i="35"/>
  <c r="I223" i="35"/>
  <c r="AD223" i="35"/>
  <c r="J223" i="35"/>
  <c r="AE223" i="35"/>
  <c r="K223" i="35"/>
  <c r="AF223" i="35"/>
  <c r="D224" i="35"/>
  <c r="Y224" i="35"/>
  <c r="E224" i="35"/>
  <c r="Z224" i="35"/>
  <c r="F224" i="35"/>
  <c r="AA224" i="35"/>
  <c r="G224" i="35"/>
  <c r="AB224" i="35"/>
  <c r="H224" i="35"/>
  <c r="AC224" i="35"/>
  <c r="I224" i="35"/>
  <c r="AD224" i="35"/>
  <c r="J224" i="35"/>
  <c r="AE224" i="35"/>
  <c r="K224" i="35"/>
  <c r="AF224" i="35"/>
  <c r="D225" i="35"/>
  <c r="Y225" i="35"/>
  <c r="E225" i="35"/>
  <c r="Z225" i="35"/>
  <c r="F225" i="35"/>
  <c r="AA225" i="35"/>
  <c r="G225" i="35"/>
  <c r="AB225" i="35"/>
  <c r="H225" i="35"/>
  <c r="AC225" i="35"/>
  <c r="I225" i="35"/>
  <c r="AD225" i="35"/>
  <c r="J225" i="35"/>
  <c r="AE225" i="35"/>
  <c r="K225" i="35"/>
  <c r="AF225" i="35"/>
  <c r="D226" i="35"/>
  <c r="Y226" i="35"/>
  <c r="E226" i="35"/>
  <c r="Z226" i="35"/>
  <c r="F226" i="35"/>
  <c r="AA226" i="35"/>
  <c r="G226" i="35"/>
  <c r="AB226" i="35"/>
  <c r="H226" i="35"/>
  <c r="AC226" i="35"/>
  <c r="I226" i="35"/>
  <c r="AD226" i="35"/>
  <c r="J226" i="35"/>
  <c r="AE226" i="35"/>
  <c r="K226" i="35"/>
  <c r="AF226" i="35"/>
  <c r="D227" i="35"/>
  <c r="Y227" i="35"/>
  <c r="E227" i="35"/>
  <c r="Z227" i="35"/>
  <c r="F227" i="35"/>
  <c r="AA227" i="35"/>
  <c r="G227" i="35"/>
  <c r="AB227" i="35"/>
  <c r="H227" i="35"/>
  <c r="AC227" i="35"/>
  <c r="I227" i="35"/>
  <c r="AD227" i="35"/>
  <c r="J227" i="35"/>
  <c r="AE227" i="35"/>
  <c r="K227" i="35"/>
  <c r="AF227" i="35"/>
  <c r="D228" i="35"/>
  <c r="Y228" i="35"/>
  <c r="E228" i="35"/>
  <c r="Z228" i="35"/>
  <c r="F228" i="35"/>
  <c r="AA228" i="35"/>
  <c r="G228" i="35"/>
  <c r="AB228" i="35"/>
  <c r="H228" i="35"/>
  <c r="AC228" i="35"/>
  <c r="I228" i="35"/>
  <c r="AD228" i="35"/>
  <c r="J228" i="35"/>
  <c r="AE228" i="35"/>
  <c r="K228" i="35"/>
  <c r="AF228" i="35"/>
  <c r="D229" i="35"/>
  <c r="Y229" i="35"/>
  <c r="E229" i="35"/>
  <c r="Z229" i="35"/>
  <c r="F229" i="35"/>
  <c r="AA229" i="35"/>
  <c r="G229" i="35"/>
  <c r="AB229" i="35"/>
  <c r="H229" i="35"/>
  <c r="AC229" i="35"/>
  <c r="I229" i="35"/>
  <c r="AD229" i="35"/>
  <c r="J229" i="35"/>
  <c r="AE229" i="35"/>
  <c r="K229" i="35"/>
  <c r="AF229" i="35"/>
  <c r="D230" i="35"/>
  <c r="Y230" i="35"/>
  <c r="E230" i="35"/>
  <c r="Z230" i="35"/>
  <c r="F230" i="35"/>
  <c r="AA230" i="35"/>
  <c r="G230" i="35"/>
  <c r="AB230" i="35"/>
  <c r="H230" i="35"/>
  <c r="AC230" i="35"/>
  <c r="I230" i="35"/>
  <c r="AD230" i="35"/>
  <c r="J230" i="35"/>
  <c r="AE230" i="35"/>
  <c r="K230" i="35"/>
  <c r="AF230" i="35"/>
  <c r="D231" i="35"/>
  <c r="Y231" i="35"/>
  <c r="E231" i="35"/>
  <c r="Z231" i="35"/>
  <c r="F231" i="35"/>
  <c r="AA231" i="35"/>
  <c r="G231" i="35"/>
  <c r="AB231" i="35"/>
  <c r="H231" i="35"/>
  <c r="AC231" i="35"/>
  <c r="I231" i="35"/>
  <c r="AD231" i="35"/>
  <c r="J231" i="35"/>
  <c r="AE231" i="35"/>
  <c r="K231" i="35"/>
  <c r="AF231" i="35"/>
  <c r="D232" i="35"/>
  <c r="Y232" i="35"/>
  <c r="E232" i="35"/>
  <c r="Z232" i="35"/>
  <c r="F232" i="35"/>
  <c r="AA232" i="35"/>
  <c r="G232" i="35"/>
  <c r="AB232" i="35"/>
  <c r="H232" i="35"/>
  <c r="AC232" i="35"/>
  <c r="I232" i="35"/>
  <c r="AD232" i="35"/>
  <c r="J232" i="35"/>
  <c r="AE232" i="35"/>
  <c r="K232" i="35"/>
  <c r="AF232" i="35"/>
  <c r="D233" i="35"/>
  <c r="Y233" i="35"/>
  <c r="E233" i="35"/>
  <c r="Z233" i="35"/>
  <c r="F233" i="35"/>
  <c r="AA233" i="35"/>
  <c r="G233" i="35"/>
  <c r="AB233" i="35"/>
  <c r="H233" i="35"/>
  <c r="AC233" i="35"/>
  <c r="I233" i="35"/>
  <c r="AD233" i="35"/>
  <c r="J233" i="35"/>
  <c r="AE233" i="35"/>
  <c r="K233" i="35"/>
  <c r="AF233" i="35"/>
  <c r="D234" i="35"/>
  <c r="Y234" i="35"/>
  <c r="E234" i="35"/>
  <c r="Z234" i="35"/>
  <c r="F234" i="35"/>
  <c r="AA234" i="35"/>
  <c r="G234" i="35"/>
  <c r="AB234" i="35"/>
  <c r="H234" i="35"/>
  <c r="AC234" i="35"/>
  <c r="I234" i="35"/>
  <c r="AD234" i="35"/>
  <c r="J234" i="35"/>
  <c r="AE234" i="35"/>
  <c r="K234" i="35"/>
  <c r="AF234" i="35"/>
  <c r="D235" i="35"/>
  <c r="Y235" i="35"/>
  <c r="E235" i="35"/>
  <c r="Z235" i="35"/>
  <c r="F235" i="35"/>
  <c r="AA235" i="35"/>
  <c r="G235" i="35"/>
  <c r="AB235" i="35"/>
  <c r="H235" i="35"/>
  <c r="AC235" i="35"/>
  <c r="I235" i="35"/>
  <c r="AD235" i="35"/>
  <c r="J235" i="35"/>
  <c r="AE235" i="35"/>
  <c r="K235" i="35"/>
  <c r="AF235" i="35"/>
  <c r="D236" i="35"/>
  <c r="Y236" i="35"/>
  <c r="E236" i="35"/>
  <c r="Z236" i="35"/>
  <c r="F236" i="35"/>
  <c r="AA236" i="35"/>
  <c r="G236" i="35"/>
  <c r="AB236" i="35"/>
  <c r="H236" i="35"/>
  <c r="AC236" i="35"/>
  <c r="I236" i="35"/>
  <c r="AD236" i="35"/>
  <c r="J236" i="35"/>
  <c r="AE236" i="35"/>
  <c r="K236" i="35"/>
  <c r="AF236" i="35"/>
  <c r="D237" i="35"/>
  <c r="Y237" i="35"/>
  <c r="E237" i="35"/>
  <c r="Z237" i="35"/>
  <c r="F237" i="35"/>
  <c r="AA237" i="35"/>
  <c r="G237" i="35"/>
  <c r="AB237" i="35"/>
  <c r="H237" i="35"/>
  <c r="AC237" i="35"/>
  <c r="I237" i="35"/>
  <c r="AD237" i="35"/>
  <c r="J237" i="35"/>
  <c r="AE237" i="35"/>
  <c r="K237" i="35"/>
  <c r="AF237" i="35"/>
  <c r="D238" i="35"/>
  <c r="Y238" i="35"/>
  <c r="E238" i="35"/>
  <c r="Z238" i="35"/>
  <c r="F238" i="35"/>
  <c r="AA238" i="35"/>
  <c r="G238" i="35"/>
  <c r="AB238" i="35"/>
  <c r="H238" i="35"/>
  <c r="AC238" i="35"/>
  <c r="I238" i="35"/>
  <c r="AD238" i="35"/>
  <c r="J238" i="35"/>
  <c r="AE238" i="35"/>
  <c r="K238" i="35"/>
  <c r="AF238" i="35"/>
  <c r="B25" i="35"/>
  <c r="B24" i="54"/>
  <c r="F30" i="54"/>
  <c r="E30" i="54"/>
  <c r="D30" i="54"/>
  <c r="C30" i="54"/>
  <c r="CI78" i="54"/>
  <c r="CI79" i="54"/>
  <c r="CI80" i="54"/>
  <c r="CI81" i="54"/>
  <c r="CI82" i="54"/>
  <c r="CI83" i="54"/>
  <c r="CI84" i="54"/>
  <c r="CI85" i="54"/>
  <c r="CI86" i="54"/>
  <c r="CI87" i="54"/>
  <c r="CI88" i="54"/>
  <c r="CI89" i="54"/>
  <c r="CI90" i="54"/>
  <c r="CI91" i="54"/>
  <c r="CI92" i="54"/>
  <c r="CI93" i="54"/>
  <c r="CI94" i="54"/>
  <c r="CI95" i="54"/>
  <c r="CI96" i="54"/>
  <c r="CI97" i="54"/>
  <c r="CI98" i="54"/>
  <c r="CI99" i="54"/>
  <c r="CI100" i="54"/>
  <c r="CI101" i="54"/>
  <c r="CI102" i="54"/>
  <c r="CI103" i="54"/>
  <c r="CI104" i="54"/>
  <c r="CI105" i="54"/>
  <c r="CI106" i="54"/>
  <c r="CI107" i="54"/>
  <c r="CI108" i="54"/>
  <c r="CI109" i="54"/>
  <c r="CI110" i="54"/>
  <c r="CI111" i="54"/>
  <c r="CI112" i="54"/>
  <c r="CI113" i="54"/>
  <c r="CI114" i="54"/>
  <c r="CI115" i="54"/>
  <c r="CI116" i="54"/>
  <c r="CI117" i="54"/>
  <c r="CI118" i="54"/>
  <c r="CI119" i="54"/>
  <c r="CI120" i="54"/>
  <c r="CI121" i="54"/>
  <c r="CI122" i="54"/>
  <c r="CI123" i="54"/>
  <c r="CI124" i="54"/>
  <c r="CI125" i="54"/>
  <c r="CI126" i="54"/>
  <c r="CI127" i="54"/>
  <c r="CI128" i="54"/>
  <c r="CI129" i="54"/>
  <c r="CI130" i="54"/>
  <c r="CI131" i="54"/>
  <c r="CI132" i="54"/>
  <c r="CI133" i="54"/>
  <c r="CI134" i="54"/>
  <c r="CI135" i="54"/>
  <c r="CI136" i="54"/>
  <c r="CI137" i="54"/>
  <c r="CI138" i="54"/>
  <c r="CI139" i="54"/>
  <c r="CI140" i="54"/>
  <c r="CI141" i="54"/>
  <c r="CI142" i="54"/>
  <c r="CI143" i="54"/>
  <c r="CI144" i="54"/>
  <c r="CI145" i="54"/>
  <c r="CI146" i="54"/>
  <c r="CI147" i="54"/>
  <c r="CI148" i="54"/>
  <c r="CI149" i="54"/>
  <c r="CI150" i="54"/>
  <c r="CI151" i="54"/>
  <c r="CI152" i="54"/>
  <c r="CI153" i="54"/>
  <c r="CI154" i="54"/>
  <c r="CI155" i="54"/>
  <c r="CI156" i="54"/>
  <c r="CI157" i="54"/>
  <c r="CI158" i="54"/>
  <c r="B30" i="54"/>
  <c r="C159" i="54"/>
  <c r="C160" i="54"/>
  <c r="C161" i="54"/>
  <c r="C162" i="54"/>
  <c r="C163" i="54"/>
  <c r="C164" i="54"/>
  <c r="C165" i="54"/>
  <c r="C166" i="54"/>
  <c r="C167" i="54"/>
  <c r="C168" i="54"/>
  <c r="C169" i="54"/>
  <c r="C170" i="54"/>
  <c r="C171" i="54"/>
  <c r="C172" i="54"/>
  <c r="C173" i="54"/>
  <c r="C174" i="54"/>
  <c r="C175" i="54"/>
  <c r="C176" i="54"/>
  <c r="C177" i="54"/>
  <c r="C178" i="54"/>
  <c r="B179" i="54"/>
  <c r="C179" i="54"/>
  <c r="B180" i="54"/>
  <c r="C180" i="54"/>
  <c r="B181" i="54"/>
  <c r="C181" i="54"/>
  <c r="B182" i="54"/>
  <c r="C182" i="54"/>
  <c r="B183" i="54"/>
  <c r="C183" i="54"/>
  <c r="B184" i="54"/>
  <c r="C184" i="54"/>
  <c r="B185" i="54"/>
  <c r="C185" i="54"/>
  <c r="B186" i="54"/>
  <c r="C186" i="54"/>
  <c r="B187" i="54"/>
  <c r="C187" i="54"/>
  <c r="B188" i="54"/>
  <c r="C188" i="54"/>
  <c r="B189" i="54"/>
  <c r="C189" i="54"/>
  <c r="B190" i="54"/>
  <c r="C190" i="54"/>
  <c r="B191" i="54"/>
  <c r="C191" i="54"/>
  <c r="B192" i="54"/>
  <c r="C192" i="54"/>
  <c r="B193" i="54"/>
  <c r="C193" i="54"/>
  <c r="B194" i="54"/>
  <c r="C194" i="54"/>
  <c r="B195" i="54"/>
  <c r="C195" i="54"/>
  <c r="B196" i="54"/>
  <c r="C196" i="54"/>
  <c r="B197" i="54"/>
  <c r="C197" i="54"/>
  <c r="B198" i="54"/>
  <c r="C198" i="54"/>
  <c r="B19" i="54"/>
  <c r="G30" i="54"/>
  <c r="G35" i="54"/>
  <c r="F35" i="54"/>
  <c r="E35" i="54"/>
  <c r="D35" i="54"/>
  <c r="C35" i="54"/>
  <c r="M239" i="54"/>
  <c r="V239" i="54"/>
  <c r="AE239" i="54"/>
  <c r="AN239" i="54"/>
  <c r="AW239" i="54"/>
  <c r="CJ239" i="54"/>
  <c r="AX239" i="54"/>
  <c r="W239" i="54"/>
  <c r="AF239" i="54"/>
  <c r="AO239" i="54"/>
  <c r="CK239" i="54"/>
  <c r="F239" i="54"/>
  <c r="O239" i="54"/>
  <c r="X239" i="54"/>
  <c r="AG239" i="54"/>
  <c r="AP239" i="54"/>
  <c r="AY239" i="54"/>
  <c r="CL239" i="54"/>
  <c r="G239" i="54"/>
  <c r="P239" i="54"/>
  <c r="Y239" i="54"/>
  <c r="AH239" i="54"/>
  <c r="AQ239" i="54"/>
  <c r="AZ239" i="54"/>
  <c r="CM239" i="54"/>
  <c r="H239" i="54"/>
  <c r="Q239" i="54"/>
  <c r="Z239" i="54"/>
  <c r="AI239" i="54"/>
  <c r="AR239" i="54"/>
  <c r="BA239" i="54"/>
  <c r="CN239" i="54"/>
  <c r="I239" i="54"/>
  <c r="R239" i="54"/>
  <c r="AA239" i="54"/>
  <c r="AJ239" i="54"/>
  <c r="AS239" i="54"/>
  <c r="BB239" i="54"/>
  <c r="CO239" i="54"/>
  <c r="J239" i="54"/>
  <c r="S239" i="54"/>
  <c r="AB239" i="54"/>
  <c r="AK239" i="54"/>
  <c r="AT239" i="54"/>
  <c r="BC239" i="54"/>
  <c r="CP239" i="54"/>
  <c r="K239" i="54"/>
  <c r="T239" i="54"/>
  <c r="AC239" i="54"/>
  <c r="AL239" i="54"/>
  <c r="AU239" i="54"/>
  <c r="BD239" i="54"/>
  <c r="CQ239" i="54"/>
  <c r="M240" i="54"/>
  <c r="V240" i="54"/>
  <c r="AE240" i="54"/>
  <c r="AN240" i="54"/>
  <c r="AW240" i="54"/>
  <c r="CJ240" i="54"/>
  <c r="AX240" i="54"/>
  <c r="W240" i="54"/>
  <c r="AF240" i="54"/>
  <c r="AO240" i="54"/>
  <c r="CK240" i="54"/>
  <c r="F240" i="54"/>
  <c r="O240" i="54"/>
  <c r="X240" i="54"/>
  <c r="AG240" i="54"/>
  <c r="AP240" i="54"/>
  <c r="AY240" i="54"/>
  <c r="CL240" i="54"/>
  <c r="G240" i="54"/>
  <c r="P240" i="54"/>
  <c r="Y240" i="54"/>
  <c r="AH240" i="54"/>
  <c r="AQ240" i="54"/>
  <c r="AZ240" i="54"/>
  <c r="CM240" i="54"/>
  <c r="H240" i="54"/>
  <c r="Q240" i="54"/>
  <c r="Z240" i="54"/>
  <c r="AI240" i="54"/>
  <c r="AR240" i="54"/>
  <c r="BA240" i="54"/>
  <c r="CN240" i="54"/>
  <c r="I240" i="54"/>
  <c r="R240" i="54"/>
  <c r="AA240" i="54"/>
  <c r="AJ240" i="54"/>
  <c r="AS240" i="54"/>
  <c r="BB240" i="54"/>
  <c r="CO240" i="54"/>
  <c r="J240" i="54"/>
  <c r="S240" i="54"/>
  <c r="AB240" i="54"/>
  <c r="AK240" i="54"/>
  <c r="AT240" i="54"/>
  <c r="BC240" i="54"/>
  <c r="CP240" i="54"/>
  <c r="K240" i="54"/>
  <c r="T240" i="54"/>
  <c r="AC240" i="54"/>
  <c r="AL240" i="54"/>
  <c r="AU240" i="54"/>
  <c r="BD240" i="54"/>
  <c r="CQ240" i="54"/>
  <c r="M241" i="54"/>
  <c r="V241" i="54"/>
  <c r="AE241" i="54"/>
  <c r="AN241" i="54"/>
  <c r="AW241" i="54"/>
  <c r="CJ241" i="54"/>
  <c r="AX241" i="54"/>
  <c r="W241" i="54"/>
  <c r="AF241" i="54"/>
  <c r="AO241" i="54"/>
  <c r="CK241" i="54"/>
  <c r="F241" i="54"/>
  <c r="O241" i="54"/>
  <c r="X241" i="54"/>
  <c r="AG241" i="54"/>
  <c r="AP241" i="54"/>
  <c r="AY241" i="54"/>
  <c r="CL241" i="54"/>
  <c r="G241" i="54"/>
  <c r="P241" i="54"/>
  <c r="Y241" i="54"/>
  <c r="AH241" i="54"/>
  <c r="AQ241" i="54"/>
  <c r="AZ241" i="54"/>
  <c r="CM241" i="54"/>
  <c r="H241" i="54"/>
  <c r="Q241" i="54"/>
  <c r="Z241" i="54"/>
  <c r="AI241" i="54"/>
  <c r="AR241" i="54"/>
  <c r="BA241" i="54"/>
  <c r="CN241" i="54"/>
  <c r="I241" i="54"/>
  <c r="R241" i="54"/>
  <c r="AA241" i="54"/>
  <c r="AJ241" i="54"/>
  <c r="AS241" i="54"/>
  <c r="BB241" i="54"/>
  <c r="CO241" i="54"/>
  <c r="J241" i="54"/>
  <c r="S241" i="54"/>
  <c r="AB241" i="54"/>
  <c r="AK241" i="54"/>
  <c r="AT241" i="54"/>
  <c r="BC241" i="54"/>
  <c r="CP241" i="54"/>
  <c r="K241" i="54"/>
  <c r="T241" i="54"/>
  <c r="AC241" i="54"/>
  <c r="AL241" i="54"/>
  <c r="AU241" i="54"/>
  <c r="BD241" i="54"/>
  <c r="CQ241" i="54"/>
  <c r="M242" i="54"/>
  <c r="V242" i="54"/>
  <c r="AE242" i="54"/>
  <c r="AN242" i="54"/>
  <c r="AW242" i="54"/>
  <c r="CJ242" i="54"/>
  <c r="AX242" i="54"/>
  <c r="W242" i="54"/>
  <c r="AF242" i="54"/>
  <c r="AO242" i="54"/>
  <c r="CK242" i="54"/>
  <c r="F242" i="54"/>
  <c r="O242" i="54"/>
  <c r="X242" i="54"/>
  <c r="AG242" i="54"/>
  <c r="AP242" i="54"/>
  <c r="AY242" i="54"/>
  <c r="CL242" i="54"/>
  <c r="G242" i="54"/>
  <c r="P242" i="54"/>
  <c r="Y242" i="54"/>
  <c r="AH242" i="54"/>
  <c r="AQ242" i="54"/>
  <c r="AZ242" i="54"/>
  <c r="CM242" i="54"/>
  <c r="H242" i="54"/>
  <c r="Q242" i="54"/>
  <c r="Z242" i="54"/>
  <c r="AI242" i="54"/>
  <c r="AR242" i="54"/>
  <c r="BA242" i="54"/>
  <c r="CN242" i="54"/>
  <c r="I242" i="54"/>
  <c r="R242" i="54"/>
  <c r="AA242" i="54"/>
  <c r="AJ242" i="54"/>
  <c r="AS242" i="54"/>
  <c r="BB242" i="54"/>
  <c r="CO242" i="54"/>
  <c r="J242" i="54"/>
  <c r="S242" i="54"/>
  <c r="AB242" i="54"/>
  <c r="AK242" i="54"/>
  <c r="AT242" i="54"/>
  <c r="BC242" i="54"/>
  <c r="CP242" i="54"/>
  <c r="K242" i="54"/>
  <c r="T242" i="54"/>
  <c r="AC242" i="54"/>
  <c r="AL242" i="54"/>
  <c r="AU242" i="54"/>
  <c r="BD242" i="54"/>
  <c r="CQ242" i="54"/>
  <c r="M243" i="54"/>
  <c r="V243" i="54"/>
  <c r="AE243" i="54"/>
  <c r="AN243" i="54"/>
  <c r="AW243" i="54"/>
  <c r="CJ243" i="54"/>
  <c r="AX243" i="54"/>
  <c r="W243" i="54"/>
  <c r="AF243" i="54"/>
  <c r="AO243" i="54"/>
  <c r="CK243" i="54"/>
  <c r="F243" i="54"/>
  <c r="O243" i="54"/>
  <c r="X243" i="54"/>
  <c r="AG243" i="54"/>
  <c r="AP243" i="54"/>
  <c r="AY243" i="54"/>
  <c r="CL243" i="54"/>
  <c r="G243" i="54"/>
  <c r="P243" i="54"/>
  <c r="Y243" i="54"/>
  <c r="AH243" i="54"/>
  <c r="AQ243" i="54"/>
  <c r="AZ243" i="54"/>
  <c r="CM243" i="54"/>
  <c r="H243" i="54"/>
  <c r="Q243" i="54"/>
  <c r="Z243" i="54"/>
  <c r="AI243" i="54"/>
  <c r="AR243" i="54"/>
  <c r="BA243" i="54"/>
  <c r="CN243" i="54"/>
  <c r="I243" i="54"/>
  <c r="R243" i="54"/>
  <c r="AA243" i="54"/>
  <c r="AJ243" i="54"/>
  <c r="AS243" i="54"/>
  <c r="BB243" i="54"/>
  <c r="CO243" i="54"/>
  <c r="J243" i="54"/>
  <c r="S243" i="54"/>
  <c r="AB243" i="54"/>
  <c r="AK243" i="54"/>
  <c r="AT243" i="54"/>
  <c r="BC243" i="54"/>
  <c r="CP243" i="54"/>
  <c r="K243" i="54"/>
  <c r="T243" i="54"/>
  <c r="AC243" i="54"/>
  <c r="AL243" i="54"/>
  <c r="AU243" i="54"/>
  <c r="BD243" i="54"/>
  <c r="CQ243" i="54"/>
  <c r="M244" i="54"/>
  <c r="V244" i="54"/>
  <c r="AE244" i="54"/>
  <c r="AN244" i="54"/>
  <c r="AW244" i="54"/>
  <c r="CJ244" i="54"/>
  <c r="AX244" i="54"/>
  <c r="W244" i="54"/>
  <c r="AF244" i="54"/>
  <c r="AO244" i="54"/>
  <c r="CK244" i="54"/>
  <c r="F244" i="54"/>
  <c r="O244" i="54"/>
  <c r="X244" i="54"/>
  <c r="AG244" i="54"/>
  <c r="AP244" i="54"/>
  <c r="AY244" i="54"/>
  <c r="CL244" i="54"/>
  <c r="G244" i="54"/>
  <c r="P244" i="54"/>
  <c r="Y244" i="54"/>
  <c r="AH244" i="54"/>
  <c r="AQ244" i="54"/>
  <c r="AZ244" i="54"/>
  <c r="CM244" i="54"/>
  <c r="H244" i="54"/>
  <c r="Q244" i="54"/>
  <c r="Z244" i="54"/>
  <c r="AI244" i="54"/>
  <c r="AR244" i="54"/>
  <c r="BA244" i="54"/>
  <c r="CN244" i="54"/>
  <c r="I244" i="54"/>
  <c r="R244" i="54"/>
  <c r="AA244" i="54"/>
  <c r="AJ244" i="54"/>
  <c r="AS244" i="54"/>
  <c r="BB244" i="54"/>
  <c r="CO244" i="54"/>
  <c r="J244" i="54"/>
  <c r="S244" i="54"/>
  <c r="AB244" i="54"/>
  <c r="AK244" i="54"/>
  <c r="AT244" i="54"/>
  <c r="BC244" i="54"/>
  <c r="CP244" i="54"/>
  <c r="K244" i="54"/>
  <c r="T244" i="54"/>
  <c r="AC244" i="54"/>
  <c r="AL244" i="54"/>
  <c r="AU244" i="54"/>
  <c r="BD244" i="54"/>
  <c r="CQ244" i="54"/>
  <c r="M245" i="54"/>
  <c r="V245" i="54"/>
  <c r="AE245" i="54"/>
  <c r="AN245" i="54"/>
  <c r="AW245" i="54"/>
  <c r="CJ245" i="54"/>
  <c r="AX245" i="54"/>
  <c r="W245" i="54"/>
  <c r="AF245" i="54"/>
  <c r="AO245" i="54"/>
  <c r="CK245" i="54"/>
  <c r="F245" i="54"/>
  <c r="O245" i="54"/>
  <c r="X245" i="54"/>
  <c r="AG245" i="54"/>
  <c r="AP245" i="54"/>
  <c r="AY245" i="54"/>
  <c r="CL245" i="54"/>
  <c r="G245" i="54"/>
  <c r="P245" i="54"/>
  <c r="Y245" i="54"/>
  <c r="AH245" i="54"/>
  <c r="AQ245" i="54"/>
  <c r="AZ245" i="54"/>
  <c r="CM245" i="54"/>
  <c r="H245" i="54"/>
  <c r="Q245" i="54"/>
  <c r="Z245" i="54"/>
  <c r="AI245" i="54"/>
  <c r="AR245" i="54"/>
  <c r="BA245" i="54"/>
  <c r="CN245" i="54"/>
  <c r="I245" i="54"/>
  <c r="R245" i="54"/>
  <c r="AA245" i="54"/>
  <c r="AJ245" i="54"/>
  <c r="AS245" i="54"/>
  <c r="BB245" i="54"/>
  <c r="CO245" i="54"/>
  <c r="J245" i="54"/>
  <c r="S245" i="54"/>
  <c r="AB245" i="54"/>
  <c r="AK245" i="54"/>
  <c r="AT245" i="54"/>
  <c r="BC245" i="54"/>
  <c r="CP245" i="54"/>
  <c r="K245" i="54"/>
  <c r="T245" i="54"/>
  <c r="AC245" i="54"/>
  <c r="AL245" i="54"/>
  <c r="AU245" i="54"/>
  <c r="BD245" i="54"/>
  <c r="CQ245" i="54"/>
  <c r="M246" i="54"/>
  <c r="V246" i="54"/>
  <c r="AE246" i="54"/>
  <c r="AN246" i="54"/>
  <c r="AW246" i="54"/>
  <c r="CJ246" i="54"/>
  <c r="AX246" i="54"/>
  <c r="W246" i="54"/>
  <c r="AF246" i="54"/>
  <c r="AO246" i="54"/>
  <c r="CK246" i="54"/>
  <c r="F246" i="54"/>
  <c r="O246" i="54"/>
  <c r="X246" i="54"/>
  <c r="AG246" i="54"/>
  <c r="AP246" i="54"/>
  <c r="AY246" i="54"/>
  <c r="CL246" i="54"/>
  <c r="G246" i="54"/>
  <c r="P246" i="54"/>
  <c r="Y246" i="54"/>
  <c r="AH246" i="54"/>
  <c r="AQ246" i="54"/>
  <c r="AZ246" i="54"/>
  <c r="CM246" i="54"/>
  <c r="H246" i="54"/>
  <c r="Q246" i="54"/>
  <c r="Z246" i="54"/>
  <c r="AI246" i="54"/>
  <c r="AR246" i="54"/>
  <c r="BA246" i="54"/>
  <c r="CN246" i="54"/>
  <c r="I246" i="54"/>
  <c r="R246" i="54"/>
  <c r="AA246" i="54"/>
  <c r="AJ246" i="54"/>
  <c r="AS246" i="54"/>
  <c r="BB246" i="54"/>
  <c r="CO246" i="54"/>
  <c r="J246" i="54"/>
  <c r="S246" i="54"/>
  <c r="AB246" i="54"/>
  <c r="AK246" i="54"/>
  <c r="AT246" i="54"/>
  <c r="BC246" i="54"/>
  <c r="CP246" i="54"/>
  <c r="K246" i="54"/>
  <c r="T246" i="54"/>
  <c r="AC246" i="54"/>
  <c r="AL246" i="54"/>
  <c r="AU246" i="54"/>
  <c r="BD246" i="54"/>
  <c r="CQ246" i="54"/>
  <c r="M247" i="54"/>
  <c r="V247" i="54"/>
  <c r="AE247" i="54"/>
  <c r="AN247" i="54"/>
  <c r="AW247" i="54"/>
  <c r="CJ247" i="54"/>
  <c r="AX247" i="54"/>
  <c r="W247" i="54"/>
  <c r="AF247" i="54"/>
  <c r="AO247" i="54"/>
  <c r="CK247" i="54"/>
  <c r="F247" i="54"/>
  <c r="O247" i="54"/>
  <c r="X247" i="54"/>
  <c r="AG247" i="54"/>
  <c r="AP247" i="54"/>
  <c r="AY247" i="54"/>
  <c r="CL247" i="54"/>
  <c r="G247" i="54"/>
  <c r="P247" i="54"/>
  <c r="Y247" i="54"/>
  <c r="AH247" i="54"/>
  <c r="AQ247" i="54"/>
  <c r="AZ247" i="54"/>
  <c r="CM247" i="54"/>
  <c r="H247" i="54"/>
  <c r="Q247" i="54"/>
  <c r="Z247" i="54"/>
  <c r="AI247" i="54"/>
  <c r="AR247" i="54"/>
  <c r="BA247" i="54"/>
  <c r="CN247" i="54"/>
  <c r="I247" i="54"/>
  <c r="R247" i="54"/>
  <c r="AA247" i="54"/>
  <c r="AJ247" i="54"/>
  <c r="AS247" i="54"/>
  <c r="BB247" i="54"/>
  <c r="CO247" i="54"/>
  <c r="J247" i="54"/>
  <c r="S247" i="54"/>
  <c r="AB247" i="54"/>
  <c r="AK247" i="54"/>
  <c r="AT247" i="54"/>
  <c r="BC247" i="54"/>
  <c r="CP247" i="54"/>
  <c r="K247" i="54"/>
  <c r="T247" i="54"/>
  <c r="AC247" i="54"/>
  <c r="AL247" i="54"/>
  <c r="AU247" i="54"/>
  <c r="BD247" i="54"/>
  <c r="CQ247" i="54"/>
  <c r="M248" i="54"/>
  <c r="V248" i="54"/>
  <c r="AE248" i="54"/>
  <c r="AN248" i="54"/>
  <c r="AW248" i="54"/>
  <c r="CJ248" i="54"/>
  <c r="AX248" i="54"/>
  <c r="W248" i="54"/>
  <c r="AF248" i="54"/>
  <c r="AO248" i="54"/>
  <c r="CK248" i="54"/>
  <c r="F248" i="54"/>
  <c r="O248" i="54"/>
  <c r="X248" i="54"/>
  <c r="AG248" i="54"/>
  <c r="AP248" i="54"/>
  <c r="AY248" i="54"/>
  <c r="CL248" i="54"/>
  <c r="G248" i="54"/>
  <c r="P248" i="54"/>
  <c r="Y248" i="54"/>
  <c r="AH248" i="54"/>
  <c r="AQ248" i="54"/>
  <c r="AZ248" i="54"/>
  <c r="CM248" i="54"/>
  <c r="H248" i="54"/>
  <c r="Q248" i="54"/>
  <c r="Z248" i="54"/>
  <c r="AI248" i="54"/>
  <c r="AR248" i="54"/>
  <c r="BA248" i="54"/>
  <c r="CN248" i="54"/>
  <c r="I248" i="54"/>
  <c r="R248" i="54"/>
  <c r="AA248" i="54"/>
  <c r="AJ248" i="54"/>
  <c r="AS248" i="54"/>
  <c r="BB248" i="54"/>
  <c r="CO248" i="54"/>
  <c r="J248" i="54"/>
  <c r="S248" i="54"/>
  <c r="AB248" i="54"/>
  <c r="AK248" i="54"/>
  <c r="AT248" i="54"/>
  <c r="BC248" i="54"/>
  <c r="CP248" i="54"/>
  <c r="K248" i="54"/>
  <c r="T248" i="54"/>
  <c r="AC248" i="54"/>
  <c r="AL248" i="54"/>
  <c r="AU248" i="54"/>
  <c r="BD248" i="54"/>
  <c r="CQ248" i="54"/>
  <c r="M249" i="54"/>
  <c r="V249" i="54"/>
  <c r="AE249" i="54"/>
  <c r="AN249" i="54"/>
  <c r="AW249" i="54"/>
  <c r="CJ249" i="54"/>
  <c r="AX249" i="54"/>
  <c r="W249" i="54"/>
  <c r="AF249" i="54"/>
  <c r="AO249" i="54"/>
  <c r="CK249" i="54"/>
  <c r="F249" i="54"/>
  <c r="O249" i="54"/>
  <c r="X249" i="54"/>
  <c r="AG249" i="54"/>
  <c r="AP249" i="54"/>
  <c r="AY249" i="54"/>
  <c r="CL249" i="54"/>
  <c r="G249" i="54"/>
  <c r="P249" i="54"/>
  <c r="Y249" i="54"/>
  <c r="AH249" i="54"/>
  <c r="AQ249" i="54"/>
  <c r="AZ249" i="54"/>
  <c r="CM249" i="54"/>
  <c r="H249" i="54"/>
  <c r="Q249" i="54"/>
  <c r="Z249" i="54"/>
  <c r="AI249" i="54"/>
  <c r="AR249" i="54"/>
  <c r="BA249" i="54"/>
  <c r="CN249" i="54"/>
  <c r="I249" i="54"/>
  <c r="R249" i="54"/>
  <c r="AA249" i="54"/>
  <c r="AJ249" i="54"/>
  <c r="AS249" i="54"/>
  <c r="BB249" i="54"/>
  <c r="CO249" i="54"/>
  <c r="J249" i="54"/>
  <c r="S249" i="54"/>
  <c r="AB249" i="54"/>
  <c r="AK249" i="54"/>
  <c r="AT249" i="54"/>
  <c r="BC249" i="54"/>
  <c r="CP249" i="54"/>
  <c r="K249" i="54"/>
  <c r="T249" i="54"/>
  <c r="AC249" i="54"/>
  <c r="AL249" i="54"/>
  <c r="AU249" i="54"/>
  <c r="BD249" i="54"/>
  <c r="CQ249" i="54"/>
  <c r="M250" i="54"/>
  <c r="V250" i="54"/>
  <c r="AE250" i="54"/>
  <c r="AN250" i="54"/>
  <c r="AW250" i="54"/>
  <c r="CJ250" i="54"/>
  <c r="AX250" i="54"/>
  <c r="W250" i="54"/>
  <c r="AF250" i="54"/>
  <c r="AO250" i="54"/>
  <c r="CK250" i="54"/>
  <c r="F250" i="54"/>
  <c r="O250" i="54"/>
  <c r="X250" i="54"/>
  <c r="AG250" i="54"/>
  <c r="AP250" i="54"/>
  <c r="AY250" i="54"/>
  <c r="CL250" i="54"/>
  <c r="G250" i="54"/>
  <c r="P250" i="54"/>
  <c r="Y250" i="54"/>
  <c r="AH250" i="54"/>
  <c r="AQ250" i="54"/>
  <c r="AZ250" i="54"/>
  <c r="CM250" i="54"/>
  <c r="H250" i="54"/>
  <c r="Q250" i="54"/>
  <c r="Z250" i="54"/>
  <c r="AI250" i="54"/>
  <c r="AR250" i="54"/>
  <c r="BA250" i="54"/>
  <c r="CN250" i="54"/>
  <c r="I250" i="54"/>
  <c r="R250" i="54"/>
  <c r="AA250" i="54"/>
  <c r="AJ250" i="54"/>
  <c r="AS250" i="54"/>
  <c r="BB250" i="54"/>
  <c r="CO250" i="54"/>
  <c r="J250" i="54"/>
  <c r="S250" i="54"/>
  <c r="AB250" i="54"/>
  <c r="AK250" i="54"/>
  <c r="AT250" i="54"/>
  <c r="BC250" i="54"/>
  <c r="CP250" i="54"/>
  <c r="K250" i="54"/>
  <c r="T250" i="54"/>
  <c r="AC250" i="54"/>
  <c r="AL250" i="54"/>
  <c r="AU250" i="54"/>
  <c r="BD250" i="54"/>
  <c r="CQ250" i="54"/>
  <c r="M251" i="54"/>
  <c r="V251" i="54"/>
  <c r="AE251" i="54"/>
  <c r="AN251" i="54"/>
  <c r="AW251" i="54"/>
  <c r="CJ251" i="54"/>
  <c r="AX251" i="54"/>
  <c r="W251" i="54"/>
  <c r="AF251" i="54"/>
  <c r="AO251" i="54"/>
  <c r="CK251" i="54"/>
  <c r="F251" i="54"/>
  <c r="O251" i="54"/>
  <c r="X251" i="54"/>
  <c r="AG251" i="54"/>
  <c r="AP251" i="54"/>
  <c r="AY251" i="54"/>
  <c r="CL251" i="54"/>
  <c r="G251" i="54"/>
  <c r="P251" i="54"/>
  <c r="Y251" i="54"/>
  <c r="AH251" i="54"/>
  <c r="AQ251" i="54"/>
  <c r="AZ251" i="54"/>
  <c r="CM251" i="54"/>
  <c r="H251" i="54"/>
  <c r="Q251" i="54"/>
  <c r="Z251" i="54"/>
  <c r="AI251" i="54"/>
  <c r="AR251" i="54"/>
  <c r="BA251" i="54"/>
  <c r="CN251" i="54"/>
  <c r="I251" i="54"/>
  <c r="R251" i="54"/>
  <c r="AA251" i="54"/>
  <c r="AJ251" i="54"/>
  <c r="AS251" i="54"/>
  <c r="BB251" i="54"/>
  <c r="CO251" i="54"/>
  <c r="J251" i="54"/>
  <c r="S251" i="54"/>
  <c r="AB251" i="54"/>
  <c r="AK251" i="54"/>
  <c r="AT251" i="54"/>
  <c r="BC251" i="54"/>
  <c r="CP251" i="54"/>
  <c r="K251" i="54"/>
  <c r="T251" i="54"/>
  <c r="AC251" i="54"/>
  <c r="AL251" i="54"/>
  <c r="AU251" i="54"/>
  <c r="BD251" i="54"/>
  <c r="CQ251" i="54"/>
  <c r="M252" i="54"/>
  <c r="V252" i="54"/>
  <c r="AE252" i="54"/>
  <c r="AN252" i="54"/>
  <c r="AW252" i="54"/>
  <c r="CJ252" i="54"/>
  <c r="AX252" i="54"/>
  <c r="W252" i="54"/>
  <c r="AF252" i="54"/>
  <c r="AO252" i="54"/>
  <c r="CK252" i="54"/>
  <c r="F252" i="54"/>
  <c r="O252" i="54"/>
  <c r="X252" i="54"/>
  <c r="AG252" i="54"/>
  <c r="AP252" i="54"/>
  <c r="AY252" i="54"/>
  <c r="CL252" i="54"/>
  <c r="G252" i="54"/>
  <c r="P252" i="54"/>
  <c r="Y252" i="54"/>
  <c r="AH252" i="54"/>
  <c r="AQ252" i="54"/>
  <c r="AZ252" i="54"/>
  <c r="CM252" i="54"/>
  <c r="H252" i="54"/>
  <c r="Q252" i="54"/>
  <c r="Z252" i="54"/>
  <c r="AI252" i="54"/>
  <c r="AR252" i="54"/>
  <c r="BA252" i="54"/>
  <c r="CN252" i="54"/>
  <c r="I252" i="54"/>
  <c r="R252" i="54"/>
  <c r="AA252" i="54"/>
  <c r="AJ252" i="54"/>
  <c r="AS252" i="54"/>
  <c r="BB252" i="54"/>
  <c r="CO252" i="54"/>
  <c r="J252" i="54"/>
  <c r="S252" i="54"/>
  <c r="AB252" i="54"/>
  <c r="AK252" i="54"/>
  <c r="AT252" i="54"/>
  <c r="BC252" i="54"/>
  <c r="CP252" i="54"/>
  <c r="K252" i="54"/>
  <c r="T252" i="54"/>
  <c r="AC252" i="54"/>
  <c r="AL252" i="54"/>
  <c r="AU252" i="54"/>
  <c r="BD252" i="54"/>
  <c r="CQ252" i="54"/>
  <c r="M253" i="54"/>
  <c r="V253" i="54"/>
  <c r="AE253" i="54"/>
  <c r="AN253" i="54"/>
  <c r="AW253" i="54"/>
  <c r="CJ253" i="54"/>
  <c r="AX253" i="54"/>
  <c r="W253" i="54"/>
  <c r="AF253" i="54"/>
  <c r="AO253" i="54"/>
  <c r="CK253" i="54"/>
  <c r="F253" i="54"/>
  <c r="O253" i="54"/>
  <c r="X253" i="54"/>
  <c r="AG253" i="54"/>
  <c r="AP253" i="54"/>
  <c r="AY253" i="54"/>
  <c r="CL253" i="54"/>
  <c r="G253" i="54"/>
  <c r="P253" i="54"/>
  <c r="Y253" i="54"/>
  <c r="AH253" i="54"/>
  <c r="AQ253" i="54"/>
  <c r="AZ253" i="54"/>
  <c r="CM253" i="54"/>
  <c r="H253" i="54"/>
  <c r="Q253" i="54"/>
  <c r="Z253" i="54"/>
  <c r="AI253" i="54"/>
  <c r="AR253" i="54"/>
  <c r="BA253" i="54"/>
  <c r="CN253" i="54"/>
  <c r="I253" i="54"/>
  <c r="R253" i="54"/>
  <c r="AA253" i="54"/>
  <c r="AJ253" i="54"/>
  <c r="AS253" i="54"/>
  <c r="BB253" i="54"/>
  <c r="CO253" i="54"/>
  <c r="J253" i="54"/>
  <c r="S253" i="54"/>
  <c r="AB253" i="54"/>
  <c r="AK253" i="54"/>
  <c r="AT253" i="54"/>
  <c r="BC253" i="54"/>
  <c r="CP253" i="54"/>
  <c r="K253" i="54"/>
  <c r="T253" i="54"/>
  <c r="AC253" i="54"/>
  <c r="AL253" i="54"/>
  <c r="AU253" i="54"/>
  <c r="BD253" i="54"/>
  <c r="CQ253" i="54"/>
  <c r="M254" i="54"/>
  <c r="V254" i="54"/>
  <c r="AE254" i="54"/>
  <c r="AN254" i="54"/>
  <c r="AW254" i="54"/>
  <c r="CJ254" i="54"/>
  <c r="AX254" i="54"/>
  <c r="W254" i="54"/>
  <c r="AF254" i="54"/>
  <c r="AO254" i="54"/>
  <c r="CK254" i="54"/>
  <c r="F254" i="54"/>
  <c r="O254" i="54"/>
  <c r="X254" i="54"/>
  <c r="AG254" i="54"/>
  <c r="AP254" i="54"/>
  <c r="AY254" i="54"/>
  <c r="CL254" i="54"/>
  <c r="G254" i="54"/>
  <c r="P254" i="54"/>
  <c r="Y254" i="54"/>
  <c r="AH254" i="54"/>
  <c r="AQ254" i="54"/>
  <c r="AZ254" i="54"/>
  <c r="CM254" i="54"/>
  <c r="H254" i="54"/>
  <c r="Q254" i="54"/>
  <c r="Z254" i="54"/>
  <c r="AI254" i="54"/>
  <c r="AR254" i="54"/>
  <c r="BA254" i="54"/>
  <c r="CN254" i="54"/>
  <c r="I254" i="54"/>
  <c r="R254" i="54"/>
  <c r="AA254" i="54"/>
  <c r="AJ254" i="54"/>
  <c r="AS254" i="54"/>
  <c r="BB254" i="54"/>
  <c r="CO254" i="54"/>
  <c r="J254" i="54"/>
  <c r="S254" i="54"/>
  <c r="AB254" i="54"/>
  <c r="AK254" i="54"/>
  <c r="AT254" i="54"/>
  <c r="BC254" i="54"/>
  <c r="CP254" i="54"/>
  <c r="K254" i="54"/>
  <c r="T254" i="54"/>
  <c r="AC254" i="54"/>
  <c r="AL254" i="54"/>
  <c r="AU254" i="54"/>
  <c r="BD254" i="54"/>
  <c r="CQ254" i="54"/>
  <c r="M255" i="54"/>
  <c r="V255" i="54"/>
  <c r="AE255" i="54"/>
  <c r="AN255" i="54"/>
  <c r="AW255" i="54"/>
  <c r="CJ255" i="54"/>
  <c r="AX255" i="54"/>
  <c r="W255" i="54"/>
  <c r="AF255" i="54"/>
  <c r="AO255" i="54"/>
  <c r="CK255" i="54"/>
  <c r="F255" i="54"/>
  <c r="O255" i="54"/>
  <c r="X255" i="54"/>
  <c r="AG255" i="54"/>
  <c r="AP255" i="54"/>
  <c r="AY255" i="54"/>
  <c r="CL255" i="54"/>
  <c r="G255" i="54"/>
  <c r="P255" i="54"/>
  <c r="Y255" i="54"/>
  <c r="AH255" i="54"/>
  <c r="AQ255" i="54"/>
  <c r="AZ255" i="54"/>
  <c r="CM255" i="54"/>
  <c r="H255" i="54"/>
  <c r="Q255" i="54"/>
  <c r="Z255" i="54"/>
  <c r="AI255" i="54"/>
  <c r="AR255" i="54"/>
  <c r="BA255" i="54"/>
  <c r="CN255" i="54"/>
  <c r="I255" i="54"/>
  <c r="R255" i="54"/>
  <c r="AA255" i="54"/>
  <c r="AJ255" i="54"/>
  <c r="AS255" i="54"/>
  <c r="BB255" i="54"/>
  <c r="CO255" i="54"/>
  <c r="J255" i="54"/>
  <c r="S255" i="54"/>
  <c r="AB255" i="54"/>
  <c r="AK255" i="54"/>
  <c r="AT255" i="54"/>
  <c r="BC255" i="54"/>
  <c r="CP255" i="54"/>
  <c r="K255" i="54"/>
  <c r="T255" i="54"/>
  <c r="AC255" i="54"/>
  <c r="AL255" i="54"/>
  <c r="AU255" i="54"/>
  <c r="BD255" i="54"/>
  <c r="CQ255" i="54"/>
  <c r="M256" i="54"/>
  <c r="V256" i="54"/>
  <c r="AE256" i="54"/>
  <c r="AN256" i="54"/>
  <c r="AW256" i="54"/>
  <c r="CJ256" i="54"/>
  <c r="AX256" i="54"/>
  <c r="W256" i="54"/>
  <c r="AF256" i="54"/>
  <c r="AO256" i="54"/>
  <c r="CK256" i="54"/>
  <c r="F256" i="54"/>
  <c r="O256" i="54"/>
  <c r="X256" i="54"/>
  <c r="AG256" i="54"/>
  <c r="AP256" i="54"/>
  <c r="AY256" i="54"/>
  <c r="CL256" i="54"/>
  <c r="G256" i="54"/>
  <c r="P256" i="54"/>
  <c r="Y256" i="54"/>
  <c r="AH256" i="54"/>
  <c r="AQ256" i="54"/>
  <c r="AZ256" i="54"/>
  <c r="CM256" i="54"/>
  <c r="H256" i="54"/>
  <c r="Q256" i="54"/>
  <c r="Z256" i="54"/>
  <c r="AI256" i="54"/>
  <c r="AR256" i="54"/>
  <c r="BA256" i="54"/>
  <c r="CN256" i="54"/>
  <c r="I256" i="54"/>
  <c r="R256" i="54"/>
  <c r="AA256" i="54"/>
  <c r="AJ256" i="54"/>
  <c r="AS256" i="54"/>
  <c r="BB256" i="54"/>
  <c r="CO256" i="54"/>
  <c r="J256" i="54"/>
  <c r="S256" i="54"/>
  <c r="AB256" i="54"/>
  <c r="AK256" i="54"/>
  <c r="AT256" i="54"/>
  <c r="BC256" i="54"/>
  <c r="CP256" i="54"/>
  <c r="K256" i="54"/>
  <c r="T256" i="54"/>
  <c r="AC256" i="54"/>
  <c r="AL256" i="54"/>
  <c r="AU256" i="54"/>
  <c r="BD256" i="54"/>
  <c r="CQ256" i="54"/>
  <c r="M257" i="54"/>
  <c r="V257" i="54"/>
  <c r="AE257" i="54"/>
  <c r="AN257" i="54"/>
  <c r="AW257" i="54"/>
  <c r="CJ257" i="54"/>
  <c r="AX257" i="54"/>
  <c r="W257" i="54"/>
  <c r="AF257" i="54"/>
  <c r="AO257" i="54"/>
  <c r="CK257" i="54"/>
  <c r="F257" i="54"/>
  <c r="O257" i="54"/>
  <c r="X257" i="54"/>
  <c r="AG257" i="54"/>
  <c r="AP257" i="54"/>
  <c r="AY257" i="54"/>
  <c r="CL257" i="54"/>
  <c r="G257" i="54"/>
  <c r="P257" i="54"/>
  <c r="Y257" i="54"/>
  <c r="AH257" i="54"/>
  <c r="AQ257" i="54"/>
  <c r="AZ257" i="54"/>
  <c r="CM257" i="54"/>
  <c r="H257" i="54"/>
  <c r="Q257" i="54"/>
  <c r="Z257" i="54"/>
  <c r="AI257" i="54"/>
  <c r="AR257" i="54"/>
  <c r="BA257" i="54"/>
  <c r="CN257" i="54"/>
  <c r="I257" i="54"/>
  <c r="R257" i="54"/>
  <c r="AA257" i="54"/>
  <c r="AJ257" i="54"/>
  <c r="AS257" i="54"/>
  <c r="BB257" i="54"/>
  <c r="CO257" i="54"/>
  <c r="J257" i="54"/>
  <c r="S257" i="54"/>
  <c r="AB257" i="54"/>
  <c r="AK257" i="54"/>
  <c r="AT257" i="54"/>
  <c r="BC257" i="54"/>
  <c r="CP257" i="54"/>
  <c r="K257" i="54"/>
  <c r="T257" i="54"/>
  <c r="AC257" i="54"/>
  <c r="AL257" i="54"/>
  <c r="AU257" i="54"/>
  <c r="BD257" i="54"/>
  <c r="CQ257" i="54"/>
  <c r="M258" i="54"/>
  <c r="V258" i="54"/>
  <c r="AE258" i="54"/>
  <c r="AN258" i="54"/>
  <c r="AW258" i="54"/>
  <c r="BF258" i="54"/>
  <c r="CJ258" i="54"/>
  <c r="BG258" i="54"/>
  <c r="W258" i="54"/>
  <c r="AF258" i="54"/>
  <c r="AO258" i="54"/>
  <c r="AX258" i="54"/>
  <c r="CK258" i="54"/>
  <c r="F258" i="54"/>
  <c r="O258" i="54"/>
  <c r="X258" i="54"/>
  <c r="AG258" i="54"/>
  <c r="AP258" i="54"/>
  <c r="AY258" i="54"/>
  <c r="BH258" i="54"/>
  <c r="CL258" i="54"/>
  <c r="G258" i="54"/>
  <c r="P258" i="54"/>
  <c r="Y258" i="54"/>
  <c r="AH258" i="54"/>
  <c r="AQ258" i="54"/>
  <c r="AZ258" i="54"/>
  <c r="BI258" i="54"/>
  <c r="CM258" i="54"/>
  <c r="H258" i="54"/>
  <c r="Q258" i="54"/>
  <c r="Z258" i="54"/>
  <c r="AI258" i="54"/>
  <c r="AR258" i="54"/>
  <c r="BA258" i="54"/>
  <c r="BJ258" i="54"/>
  <c r="CN258" i="54"/>
  <c r="I258" i="54"/>
  <c r="R258" i="54"/>
  <c r="AA258" i="54"/>
  <c r="AJ258" i="54"/>
  <c r="AS258" i="54"/>
  <c r="BB258" i="54"/>
  <c r="BK258" i="54"/>
  <c r="CO258" i="54"/>
  <c r="J258" i="54"/>
  <c r="S258" i="54"/>
  <c r="AB258" i="54"/>
  <c r="AK258" i="54"/>
  <c r="AT258" i="54"/>
  <c r="BC258" i="54"/>
  <c r="BL258" i="54"/>
  <c r="CP258" i="54"/>
  <c r="K258" i="54"/>
  <c r="T258" i="54"/>
  <c r="AC258" i="54"/>
  <c r="AL258" i="54"/>
  <c r="AU258" i="54"/>
  <c r="BD258" i="54"/>
  <c r="BM258" i="54"/>
  <c r="CQ258" i="54"/>
  <c r="M259" i="54"/>
  <c r="V259" i="54"/>
  <c r="AE259" i="54"/>
  <c r="AN259" i="54"/>
  <c r="AW259" i="54"/>
  <c r="BF259" i="54"/>
  <c r="CJ259" i="54"/>
  <c r="BG259" i="54"/>
  <c r="W259" i="54"/>
  <c r="AF259" i="54"/>
  <c r="AO259" i="54"/>
  <c r="AX259" i="54"/>
  <c r="CK259" i="54"/>
  <c r="F259" i="54"/>
  <c r="O259" i="54"/>
  <c r="X259" i="54"/>
  <c r="AG259" i="54"/>
  <c r="AP259" i="54"/>
  <c r="AY259" i="54"/>
  <c r="BH259" i="54"/>
  <c r="CL259" i="54"/>
  <c r="G259" i="54"/>
  <c r="P259" i="54"/>
  <c r="Y259" i="54"/>
  <c r="AH259" i="54"/>
  <c r="AQ259" i="54"/>
  <c r="AZ259" i="54"/>
  <c r="BI259" i="54"/>
  <c r="CM259" i="54"/>
  <c r="H259" i="54"/>
  <c r="Q259" i="54"/>
  <c r="Z259" i="54"/>
  <c r="AI259" i="54"/>
  <c r="AR259" i="54"/>
  <c r="BA259" i="54"/>
  <c r="BJ259" i="54"/>
  <c r="CN259" i="54"/>
  <c r="I259" i="54"/>
  <c r="R259" i="54"/>
  <c r="AA259" i="54"/>
  <c r="AJ259" i="54"/>
  <c r="AS259" i="54"/>
  <c r="BB259" i="54"/>
  <c r="BK259" i="54"/>
  <c r="CO259" i="54"/>
  <c r="J259" i="54"/>
  <c r="S259" i="54"/>
  <c r="AB259" i="54"/>
  <c r="AK259" i="54"/>
  <c r="AT259" i="54"/>
  <c r="BC259" i="54"/>
  <c r="BL259" i="54"/>
  <c r="CP259" i="54"/>
  <c r="K259" i="54"/>
  <c r="T259" i="54"/>
  <c r="AC259" i="54"/>
  <c r="AL259" i="54"/>
  <c r="AU259" i="54"/>
  <c r="BD259" i="54"/>
  <c r="BM259" i="54"/>
  <c r="CQ259" i="54"/>
  <c r="M260" i="54"/>
  <c r="V260" i="54"/>
  <c r="AE260" i="54"/>
  <c r="AN260" i="54"/>
  <c r="AW260" i="54"/>
  <c r="BF260" i="54"/>
  <c r="CJ260" i="54"/>
  <c r="BG260" i="54"/>
  <c r="W260" i="54"/>
  <c r="AF260" i="54"/>
  <c r="AO260" i="54"/>
  <c r="AX260" i="54"/>
  <c r="CK260" i="54"/>
  <c r="F260" i="54"/>
  <c r="O260" i="54"/>
  <c r="X260" i="54"/>
  <c r="AG260" i="54"/>
  <c r="AP260" i="54"/>
  <c r="AY260" i="54"/>
  <c r="BH260" i="54"/>
  <c r="CL260" i="54"/>
  <c r="G260" i="54"/>
  <c r="P260" i="54"/>
  <c r="Y260" i="54"/>
  <c r="AH260" i="54"/>
  <c r="AQ260" i="54"/>
  <c r="AZ260" i="54"/>
  <c r="BI260" i="54"/>
  <c r="CM260" i="54"/>
  <c r="H260" i="54"/>
  <c r="Q260" i="54"/>
  <c r="Z260" i="54"/>
  <c r="AI260" i="54"/>
  <c r="AR260" i="54"/>
  <c r="BA260" i="54"/>
  <c r="BJ260" i="54"/>
  <c r="CN260" i="54"/>
  <c r="I260" i="54"/>
  <c r="R260" i="54"/>
  <c r="AA260" i="54"/>
  <c r="AJ260" i="54"/>
  <c r="AS260" i="54"/>
  <c r="BB260" i="54"/>
  <c r="BK260" i="54"/>
  <c r="CO260" i="54"/>
  <c r="J260" i="54"/>
  <c r="S260" i="54"/>
  <c r="AB260" i="54"/>
  <c r="AK260" i="54"/>
  <c r="AT260" i="54"/>
  <c r="BC260" i="54"/>
  <c r="BL260" i="54"/>
  <c r="CP260" i="54"/>
  <c r="K260" i="54"/>
  <c r="T260" i="54"/>
  <c r="AC260" i="54"/>
  <c r="AL260" i="54"/>
  <c r="AU260" i="54"/>
  <c r="BD260" i="54"/>
  <c r="BM260" i="54"/>
  <c r="CQ260" i="54"/>
  <c r="M261" i="54"/>
  <c r="V261" i="54"/>
  <c r="AE261" i="54"/>
  <c r="AN261" i="54"/>
  <c r="AW261" i="54"/>
  <c r="BF261" i="54"/>
  <c r="CJ261" i="54"/>
  <c r="BG261" i="54"/>
  <c r="W261" i="54"/>
  <c r="AF261" i="54"/>
  <c r="AO261" i="54"/>
  <c r="AX261" i="54"/>
  <c r="CK261" i="54"/>
  <c r="F261" i="54"/>
  <c r="O261" i="54"/>
  <c r="X261" i="54"/>
  <c r="AG261" i="54"/>
  <c r="AP261" i="54"/>
  <c r="AY261" i="54"/>
  <c r="BH261" i="54"/>
  <c r="CL261" i="54"/>
  <c r="G261" i="54"/>
  <c r="P261" i="54"/>
  <c r="Y261" i="54"/>
  <c r="AH261" i="54"/>
  <c r="AQ261" i="54"/>
  <c r="AZ261" i="54"/>
  <c r="BI261" i="54"/>
  <c r="CM261" i="54"/>
  <c r="H261" i="54"/>
  <c r="Q261" i="54"/>
  <c r="Z261" i="54"/>
  <c r="AI261" i="54"/>
  <c r="AR261" i="54"/>
  <c r="BA261" i="54"/>
  <c r="BJ261" i="54"/>
  <c r="CN261" i="54"/>
  <c r="I261" i="54"/>
  <c r="R261" i="54"/>
  <c r="AA261" i="54"/>
  <c r="AJ261" i="54"/>
  <c r="AS261" i="54"/>
  <c r="BB261" i="54"/>
  <c r="BK261" i="54"/>
  <c r="CO261" i="54"/>
  <c r="J261" i="54"/>
  <c r="S261" i="54"/>
  <c r="AB261" i="54"/>
  <c r="AK261" i="54"/>
  <c r="AT261" i="54"/>
  <c r="BC261" i="54"/>
  <c r="BL261" i="54"/>
  <c r="CP261" i="54"/>
  <c r="K261" i="54"/>
  <c r="T261" i="54"/>
  <c r="AC261" i="54"/>
  <c r="AL261" i="54"/>
  <c r="AU261" i="54"/>
  <c r="BD261" i="54"/>
  <c r="BM261" i="54"/>
  <c r="CQ261" i="54"/>
  <c r="M262" i="54"/>
  <c r="V262" i="54"/>
  <c r="AE262" i="54"/>
  <c r="AN262" i="54"/>
  <c r="AW262" i="54"/>
  <c r="BF262" i="54"/>
  <c r="CJ262" i="54"/>
  <c r="BG262" i="54"/>
  <c r="W262" i="54"/>
  <c r="AF262" i="54"/>
  <c r="AO262" i="54"/>
  <c r="AX262" i="54"/>
  <c r="CK262" i="54"/>
  <c r="F262" i="54"/>
  <c r="O262" i="54"/>
  <c r="X262" i="54"/>
  <c r="AG262" i="54"/>
  <c r="AP262" i="54"/>
  <c r="AY262" i="54"/>
  <c r="BH262" i="54"/>
  <c r="CL262" i="54"/>
  <c r="G262" i="54"/>
  <c r="P262" i="54"/>
  <c r="Y262" i="54"/>
  <c r="AH262" i="54"/>
  <c r="AQ262" i="54"/>
  <c r="AZ262" i="54"/>
  <c r="BI262" i="54"/>
  <c r="CM262" i="54"/>
  <c r="H262" i="54"/>
  <c r="Q262" i="54"/>
  <c r="Z262" i="54"/>
  <c r="AI262" i="54"/>
  <c r="AR262" i="54"/>
  <c r="BA262" i="54"/>
  <c r="BJ262" i="54"/>
  <c r="CN262" i="54"/>
  <c r="I262" i="54"/>
  <c r="R262" i="54"/>
  <c r="AA262" i="54"/>
  <c r="AJ262" i="54"/>
  <c r="AS262" i="54"/>
  <c r="BB262" i="54"/>
  <c r="BK262" i="54"/>
  <c r="CO262" i="54"/>
  <c r="J262" i="54"/>
  <c r="S262" i="54"/>
  <c r="AB262" i="54"/>
  <c r="AK262" i="54"/>
  <c r="AT262" i="54"/>
  <c r="BC262" i="54"/>
  <c r="BL262" i="54"/>
  <c r="CP262" i="54"/>
  <c r="K262" i="54"/>
  <c r="T262" i="54"/>
  <c r="AC262" i="54"/>
  <c r="AL262" i="54"/>
  <c r="AU262" i="54"/>
  <c r="BD262" i="54"/>
  <c r="BM262" i="54"/>
  <c r="CQ262" i="54"/>
  <c r="M263" i="54"/>
  <c r="V263" i="54"/>
  <c r="AE263" i="54"/>
  <c r="AN263" i="54"/>
  <c r="AW263" i="54"/>
  <c r="BF263" i="54"/>
  <c r="CJ263" i="54"/>
  <c r="BG263" i="54"/>
  <c r="W263" i="54"/>
  <c r="AF263" i="54"/>
  <c r="AO263" i="54"/>
  <c r="AX263" i="54"/>
  <c r="CK263" i="54"/>
  <c r="F263" i="54"/>
  <c r="O263" i="54"/>
  <c r="X263" i="54"/>
  <c r="AG263" i="54"/>
  <c r="AP263" i="54"/>
  <c r="AY263" i="54"/>
  <c r="BH263" i="54"/>
  <c r="CL263" i="54"/>
  <c r="G263" i="54"/>
  <c r="P263" i="54"/>
  <c r="Y263" i="54"/>
  <c r="AH263" i="54"/>
  <c r="AQ263" i="54"/>
  <c r="AZ263" i="54"/>
  <c r="BI263" i="54"/>
  <c r="CM263" i="54"/>
  <c r="H263" i="54"/>
  <c r="Q263" i="54"/>
  <c r="Z263" i="54"/>
  <c r="AI263" i="54"/>
  <c r="AR263" i="54"/>
  <c r="BA263" i="54"/>
  <c r="BJ263" i="54"/>
  <c r="CN263" i="54"/>
  <c r="I263" i="54"/>
  <c r="R263" i="54"/>
  <c r="AA263" i="54"/>
  <c r="AJ263" i="54"/>
  <c r="AS263" i="54"/>
  <c r="BB263" i="54"/>
  <c r="BK263" i="54"/>
  <c r="CO263" i="54"/>
  <c r="J263" i="54"/>
  <c r="S263" i="54"/>
  <c r="AB263" i="54"/>
  <c r="AK263" i="54"/>
  <c r="AT263" i="54"/>
  <c r="BC263" i="54"/>
  <c r="BL263" i="54"/>
  <c r="CP263" i="54"/>
  <c r="K263" i="54"/>
  <c r="T263" i="54"/>
  <c r="AC263" i="54"/>
  <c r="AL263" i="54"/>
  <c r="AU263" i="54"/>
  <c r="BD263" i="54"/>
  <c r="BM263" i="54"/>
  <c r="CQ263" i="54"/>
  <c r="M264" i="54"/>
  <c r="V264" i="54"/>
  <c r="AE264" i="54"/>
  <c r="AN264" i="54"/>
  <c r="AW264" i="54"/>
  <c r="BF264" i="54"/>
  <c r="CJ264" i="54"/>
  <c r="BG264" i="54"/>
  <c r="W264" i="54"/>
  <c r="AF264" i="54"/>
  <c r="AO264" i="54"/>
  <c r="AX264" i="54"/>
  <c r="CK264" i="54"/>
  <c r="F264" i="54"/>
  <c r="O264" i="54"/>
  <c r="X264" i="54"/>
  <c r="AG264" i="54"/>
  <c r="AP264" i="54"/>
  <c r="AY264" i="54"/>
  <c r="BH264" i="54"/>
  <c r="CL264" i="54"/>
  <c r="G264" i="54"/>
  <c r="P264" i="54"/>
  <c r="Y264" i="54"/>
  <c r="AH264" i="54"/>
  <c r="AQ264" i="54"/>
  <c r="AZ264" i="54"/>
  <c r="BI264" i="54"/>
  <c r="CM264" i="54"/>
  <c r="H264" i="54"/>
  <c r="Q264" i="54"/>
  <c r="Z264" i="54"/>
  <c r="AI264" i="54"/>
  <c r="AR264" i="54"/>
  <c r="BA264" i="54"/>
  <c r="BJ264" i="54"/>
  <c r="CN264" i="54"/>
  <c r="I264" i="54"/>
  <c r="R264" i="54"/>
  <c r="AA264" i="54"/>
  <c r="AJ264" i="54"/>
  <c r="AS264" i="54"/>
  <c r="BB264" i="54"/>
  <c r="BK264" i="54"/>
  <c r="CO264" i="54"/>
  <c r="J264" i="54"/>
  <c r="S264" i="54"/>
  <c r="AB264" i="54"/>
  <c r="AK264" i="54"/>
  <c r="AT264" i="54"/>
  <c r="BC264" i="54"/>
  <c r="BL264" i="54"/>
  <c r="CP264" i="54"/>
  <c r="K264" i="54"/>
  <c r="T264" i="54"/>
  <c r="AC264" i="54"/>
  <c r="AL264" i="54"/>
  <c r="AU264" i="54"/>
  <c r="BD264" i="54"/>
  <c r="BM264" i="54"/>
  <c r="CQ264" i="54"/>
  <c r="M265" i="54"/>
  <c r="V265" i="54"/>
  <c r="AE265" i="54"/>
  <c r="AN265" i="54"/>
  <c r="AW265" i="54"/>
  <c r="BF265" i="54"/>
  <c r="CJ265" i="54"/>
  <c r="BG265" i="54"/>
  <c r="W265" i="54"/>
  <c r="AF265" i="54"/>
  <c r="AO265" i="54"/>
  <c r="AX265" i="54"/>
  <c r="CK265" i="54"/>
  <c r="F265" i="54"/>
  <c r="O265" i="54"/>
  <c r="X265" i="54"/>
  <c r="AG265" i="54"/>
  <c r="AP265" i="54"/>
  <c r="AY265" i="54"/>
  <c r="BH265" i="54"/>
  <c r="CL265" i="54"/>
  <c r="G265" i="54"/>
  <c r="P265" i="54"/>
  <c r="Y265" i="54"/>
  <c r="AH265" i="54"/>
  <c r="AQ265" i="54"/>
  <c r="AZ265" i="54"/>
  <c r="BI265" i="54"/>
  <c r="CM265" i="54"/>
  <c r="H265" i="54"/>
  <c r="Q265" i="54"/>
  <c r="Z265" i="54"/>
  <c r="AI265" i="54"/>
  <c r="AR265" i="54"/>
  <c r="BA265" i="54"/>
  <c r="BJ265" i="54"/>
  <c r="CN265" i="54"/>
  <c r="I265" i="54"/>
  <c r="R265" i="54"/>
  <c r="AA265" i="54"/>
  <c r="AJ265" i="54"/>
  <c r="AS265" i="54"/>
  <c r="BB265" i="54"/>
  <c r="BK265" i="54"/>
  <c r="CO265" i="54"/>
  <c r="J265" i="54"/>
  <c r="S265" i="54"/>
  <c r="AB265" i="54"/>
  <c r="AK265" i="54"/>
  <c r="AT265" i="54"/>
  <c r="BC265" i="54"/>
  <c r="BL265" i="54"/>
  <c r="CP265" i="54"/>
  <c r="K265" i="54"/>
  <c r="T265" i="54"/>
  <c r="AC265" i="54"/>
  <c r="AL265" i="54"/>
  <c r="AU265" i="54"/>
  <c r="BD265" i="54"/>
  <c r="BM265" i="54"/>
  <c r="CQ265" i="54"/>
  <c r="M266" i="54"/>
  <c r="V266" i="54"/>
  <c r="AE266" i="54"/>
  <c r="AN266" i="54"/>
  <c r="AW266" i="54"/>
  <c r="BF266" i="54"/>
  <c r="CJ266" i="54"/>
  <c r="BG266" i="54"/>
  <c r="W266" i="54"/>
  <c r="AF266" i="54"/>
  <c r="AO266" i="54"/>
  <c r="AX266" i="54"/>
  <c r="CK266" i="54"/>
  <c r="F266" i="54"/>
  <c r="O266" i="54"/>
  <c r="X266" i="54"/>
  <c r="AG266" i="54"/>
  <c r="AP266" i="54"/>
  <c r="AY266" i="54"/>
  <c r="BH266" i="54"/>
  <c r="CL266" i="54"/>
  <c r="G266" i="54"/>
  <c r="P266" i="54"/>
  <c r="Y266" i="54"/>
  <c r="AH266" i="54"/>
  <c r="AQ266" i="54"/>
  <c r="AZ266" i="54"/>
  <c r="BI266" i="54"/>
  <c r="CM266" i="54"/>
  <c r="H266" i="54"/>
  <c r="Q266" i="54"/>
  <c r="Z266" i="54"/>
  <c r="AI266" i="54"/>
  <c r="AR266" i="54"/>
  <c r="BA266" i="54"/>
  <c r="BJ266" i="54"/>
  <c r="CN266" i="54"/>
  <c r="I266" i="54"/>
  <c r="R266" i="54"/>
  <c r="AA266" i="54"/>
  <c r="AJ266" i="54"/>
  <c r="AS266" i="54"/>
  <c r="BB266" i="54"/>
  <c r="BK266" i="54"/>
  <c r="CO266" i="54"/>
  <c r="J266" i="54"/>
  <c r="S266" i="54"/>
  <c r="AB266" i="54"/>
  <c r="AK266" i="54"/>
  <c r="AT266" i="54"/>
  <c r="BC266" i="54"/>
  <c r="BL266" i="54"/>
  <c r="CP266" i="54"/>
  <c r="K266" i="54"/>
  <c r="T266" i="54"/>
  <c r="AC266" i="54"/>
  <c r="AL266" i="54"/>
  <c r="AU266" i="54"/>
  <c r="BD266" i="54"/>
  <c r="BM266" i="54"/>
  <c r="CQ266" i="54"/>
  <c r="M267" i="54"/>
  <c r="V267" i="54"/>
  <c r="AE267" i="54"/>
  <c r="AN267" i="54"/>
  <c r="AW267" i="54"/>
  <c r="BF267" i="54"/>
  <c r="CJ267" i="54"/>
  <c r="BG267" i="54"/>
  <c r="W267" i="54"/>
  <c r="AF267" i="54"/>
  <c r="AO267" i="54"/>
  <c r="AX267" i="54"/>
  <c r="CK267" i="54"/>
  <c r="F267" i="54"/>
  <c r="O267" i="54"/>
  <c r="X267" i="54"/>
  <c r="AG267" i="54"/>
  <c r="AP267" i="54"/>
  <c r="AY267" i="54"/>
  <c r="BH267" i="54"/>
  <c r="CL267" i="54"/>
  <c r="G267" i="54"/>
  <c r="P267" i="54"/>
  <c r="Y267" i="54"/>
  <c r="AH267" i="54"/>
  <c r="AQ267" i="54"/>
  <c r="AZ267" i="54"/>
  <c r="BI267" i="54"/>
  <c r="CM267" i="54"/>
  <c r="H267" i="54"/>
  <c r="Q267" i="54"/>
  <c r="Z267" i="54"/>
  <c r="AI267" i="54"/>
  <c r="AR267" i="54"/>
  <c r="BA267" i="54"/>
  <c r="BJ267" i="54"/>
  <c r="CN267" i="54"/>
  <c r="I267" i="54"/>
  <c r="R267" i="54"/>
  <c r="AA267" i="54"/>
  <c r="AJ267" i="54"/>
  <c r="AS267" i="54"/>
  <c r="BB267" i="54"/>
  <c r="BK267" i="54"/>
  <c r="CO267" i="54"/>
  <c r="J267" i="54"/>
  <c r="S267" i="54"/>
  <c r="AB267" i="54"/>
  <c r="AK267" i="54"/>
  <c r="AT267" i="54"/>
  <c r="BC267" i="54"/>
  <c r="BL267" i="54"/>
  <c r="CP267" i="54"/>
  <c r="K267" i="54"/>
  <c r="T267" i="54"/>
  <c r="AC267" i="54"/>
  <c r="AL267" i="54"/>
  <c r="AU267" i="54"/>
  <c r="BD267" i="54"/>
  <c r="BM267" i="54"/>
  <c r="CQ267" i="54"/>
  <c r="M268" i="54"/>
  <c r="V268" i="54"/>
  <c r="AE268" i="54"/>
  <c r="AN268" i="54"/>
  <c r="AW268" i="54"/>
  <c r="BF268" i="54"/>
  <c r="CJ268" i="54"/>
  <c r="BG268" i="54"/>
  <c r="W268" i="54"/>
  <c r="AF268" i="54"/>
  <c r="AO268" i="54"/>
  <c r="AX268" i="54"/>
  <c r="CK268" i="54"/>
  <c r="F268" i="54"/>
  <c r="O268" i="54"/>
  <c r="X268" i="54"/>
  <c r="AG268" i="54"/>
  <c r="AP268" i="54"/>
  <c r="AY268" i="54"/>
  <c r="BH268" i="54"/>
  <c r="CL268" i="54"/>
  <c r="G268" i="54"/>
  <c r="P268" i="54"/>
  <c r="Y268" i="54"/>
  <c r="AH268" i="54"/>
  <c r="AQ268" i="54"/>
  <c r="AZ268" i="54"/>
  <c r="BI268" i="54"/>
  <c r="CM268" i="54"/>
  <c r="H268" i="54"/>
  <c r="Q268" i="54"/>
  <c r="Z268" i="54"/>
  <c r="AI268" i="54"/>
  <c r="AR268" i="54"/>
  <c r="BA268" i="54"/>
  <c r="BJ268" i="54"/>
  <c r="CN268" i="54"/>
  <c r="I268" i="54"/>
  <c r="R268" i="54"/>
  <c r="AA268" i="54"/>
  <c r="AJ268" i="54"/>
  <c r="AS268" i="54"/>
  <c r="BB268" i="54"/>
  <c r="BK268" i="54"/>
  <c r="CO268" i="54"/>
  <c r="J268" i="54"/>
  <c r="S268" i="54"/>
  <c r="AB268" i="54"/>
  <c r="AK268" i="54"/>
  <c r="AT268" i="54"/>
  <c r="BC268" i="54"/>
  <c r="BL268" i="54"/>
  <c r="CP268" i="54"/>
  <c r="K268" i="54"/>
  <c r="T268" i="54"/>
  <c r="AC268" i="54"/>
  <c r="AL268" i="54"/>
  <c r="AU268" i="54"/>
  <c r="BD268" i="54"/>
  <c r="BM268" i="54"/>
  <c r="CQ268" i="54"/>
  <c r="M269" i="54"/>
  <c r="V269" i="54"/>
  <c r="AE269" i="54"/>
  <c r="AN269" i="54"/>
  <c r="AW269" i="54"/>
  <c r="BF269" i="54"/>
  <c r="CJ269" i="54"/>
  <c r="BG269" i="54"/>
  <c r="W269" i="54"/>
  <c r="AF269" i="54"/>
  <c r="AO269" i="54"/>
  <c r="AX269" i="54"/>
  <c r="CK269" i="54"/>
  <c r="F269" i="54"/>
  <c r="O269" i="54"/>
  <c r="X269" i="54"/>
  <c r="AG269" i="54"/>
  <c r="AP269" i="54"/>
  <c r="AY269" i="54"/>
  <c r="BH269" i="54"/>
  <c r="CL269" i="54"/>
  <c r="G269" i="54"/>
  <c r="P269" i="54"/>
  <c r="Y269" i="54"/>
  <c r="AH269" i="54"/>
  <c r="AQ269" i="54"/>
  <c r="AZ269" i="54"/>
  <c r="BI269" i="54"/>
  <c r="CM269" i="54"/>
  <c r="H269" i="54"/>
  <c r="Q269" i="54"/>
  <c r="Z269" i="54"/>
  <c r="AI269" i="54"/>
  <c r="AR269" i="54"/>
  <c r="BA269" i="54"/>
  <c r="BJ269" i="54"/>
  <c r="CN269" i="54"/>
  <c r="I269" i="54"/>
  <c r="R269" i="54"/>
  <c r="AA269" i="54"/>
  <c r="AJ269" i="54"/>
  <c r="AS269" i="54"/>
  <c r="BB269" i="54"/>
  <c r="BK269" i="54"/>
  <c r="CO269" i="54"/>
  <c r="J269" i="54"/>
  <c r="S269" i="54"/>
  <c r="AB269" i="54"/>
  <c r="AK269" i="54"/>
  <c r="AT269" i="54"/>
  <c r="BC269" i="54"/>
  <c r="BL269" i="54"/>
  <c r="CP269" i="54"/>
  <c r="K269" i="54"/>
  <c r="T269" i="54"/>
  <c r="AC269" i="54"/>
  <c r="AL269" i="54"/>
  <c r="AU269" i="54"/>
  <c r="BD269" i="54"/>
  <c r="BM269" i="54"/>
  <c r="CQ269" i="54"/>
  <c r="M270" i="54"/>
  <c r="V270" i="54"/>
  <c r="AE270" i="54"/>
  <c r="AN270" i="54"/>
  <c r="AW270" i="54"/>
  <c r="BF270" i="54"/>
  <c r="CJ270" i="54"/>
  <c r="BG270" i="54"/>
  <c r="W270" i="54"/>
  <c r="AF270" i="54"/>
  <c r="AO270" i="54"/>
  <c r="AX270" i="54"/>
  <c r="CK270" i="54"/>
  <c r="F270" i="54"/>
  <c r="O270" i="54"/>
  <c r="X270" i="54"/>
  <c r="AG270" i="54"/>
  <c r="AP270" i="54"/>
  <c r="AY270" i="54"/>
  <c r="BH270" i="54"/>
  <c r="CL270" i="54"/>
  <c r="G270" i="54"/>
  <c r="P270" i="54"/>
  <c r="Y270" i="54"/>
  <c r="AH270" i="54"/>
  <c r="AQ270" i="54"/>
  <c r="AZ270" i="54"/>
  <c r="BI270" i="54"/>
  <c r="CM270" i="54"/>
  <c r="H270" i="54"/>
  <c r="Q270" i="54"/>
  <c r="Z270" i="54"/>
  <c r="AI270" i="54"/>
  <c r="AR270" i="54"/>
  <c r="BA270" i="54"/>
  <c r="BJ270" i="54"/>
  <c r="CN270" i="54"/>
  <c r="I270" i="54"/>
  <c r="R270" i="54"/>
  <c r="AA270" i="54"/>
  <c r="AJ270" i="54"/>
  <c r="AS270" i="54"/>
  <c r="BB270" i="54"/>
  <c r="BK270" i="54"/>
  <c r="CO270" i="54"/>
  <c r="J270" i="54"/>
  <c r="S270" i="54"/>
  <c r="AB270" i="54"/>
  <c r="AK270" i="54"/>
  <c r="AT270" i="54"/>
  <c r="BC270" i="54"/>
  <c r="BL270" i="54"/>
  <c r="CP270" i="54"/>
  <c r="K270" i="54"/>
  <c r="T270" i="54"/>
  <c r="AC270" i="54"/>
  <c r="AL270" i="54"/>
  <c r="AU270" i="54"/>
  <c r="BD270" i="54"/>
  <c r="BM270" i="54"/>
  <c r="CQ270" i="54"/>
  <c r="M271" i="54"/>
  <c r="V271" i="54"/>
  <c r="AE271" i="54"/>
  <c r="AN271" i="54"/>
  <c r="AW271" i="54"/>
  <c r="BF271" i="54"/>
  <c r="CJ271" i="54"/>
  <c r="BG271" i="54"/>
  <c r="W271" i="54"/>
  <c r="AF271" i="54"/>
  <c r="AO271" i="54"/>
  <c r="AX271" i="54"/>
  <c r="CK271" i="54"/>
  <c r="F271" i="54"/>
  <c r="O271" i="54"/>
  <c r="X271" i="54"/>
  <c r="AG271" i="54"/>
  <c r="AP271" i="54"/>
  <c r="AY271" i="54"/>
  <c r="BH271" i="54"/>
  <c r="CL271" i="54"/>
  <c r="G271" i="54"/>
  <c r="P271" i="54"/>
  <c r="Y271" i="54"/>
  <c r="AH271" i="54"/>
  <c r="AQ271" i="54"/>
  <c r="AZ271" i="54"/>
  <c r="BI271" i="54"/>
  <c r="CM271" i="54"/>
  <c r="H271" i="54"/>
  <c r="Q271" i="54"/>
  <c r="Z271" i="54"/>
  <c r="AI271" i="54"/>
  <c r="AR271" i="54"/>
  <c r="BA271" i="54"/>
  <c r="BJ271" i="54"/>
  <c r="CN271" i="54"/>
  <c r="I271" i="54"/>
  <c r="R271" i="54"/>
  <c r="AA271" i="54"/>
  <c r="AJ271" i="54"/>
  <c r="AS271" i="54"/>
  <c r="BB271" i="54"/>
  <c r="BK271" i="54"/>
  <c r="CO271" i="54"/>
  <c r="J271" i="54"/>
  <c r="S271" i="54"/>
  <c r="AB271" i="54"/>
  <c r="AK271" i="54"/>
  <c r="AT271" i="54"/>
  <c r="BC271" i="54"/>
  <c r="BL271" i="54"/>
  <c r="CP271" i="54"/>
  <c r="K271" i="54"/>
  <c r="T271" i="54"/>
  <c r="AC271" i="54"/>
  <c r="AL271" i="54"/>
  <c r="AU271" i="54"/>
  <c r="BD271" i="54"/>
  <c r="BM271" i="54"/>
  <c r="CQ271" i="54"/>
  <c r="M272" i="54"/>
  <c r="V272" i="54"/>
  <c r="AE272" i="54"/>
  <c r="AN272" i="54"/>
  <c r="AW272" i="54"/>
  <c r="BF272" i="54"/>
  <c r="CJ272" i="54"/>
  <c r="BG272" i="54"/>
  <c r="W272" i="54"/>
  <c r="AF272" i="54"/>
  <c r="AO272" i="54"/>
  <c r="AX272" i="54"/>
  <c r="CK272" i="54"/>
  <c r="F272" i="54"/>
  <c r="O272" i="54"/>
  <c r="X272" i="54"/>
  <c r="AG272" i="54"/>
  <c r="AP272" i="54"/>
  <c r="AY272" i="54"/>
  <c r="BH272" i="54"/>
  <c r="CL272" i="54"/>
  <c r="G272" i="54"/>
  <c r="P272" i="54"/>
  <c r="Y272" i="54"/>
  <c r="AH272" i="54"/>
  <c r="AQ272" i="54"/>
  <c r="AZ272" i="54"/>
  <c r="BI272" i="54"/>
  <c r="CM272" i="54"/>
  <c r="H272" i="54"/>
  <c r="Q272" i="54"/>
  <c r="Z272" i="54"/>
  <c r="AI272" i="54"/>
  <c r="AR272" i="54"/>
  <c r="BA272" i="54"/>
  <c r="BJ272" i="54"/>
  <c r="CN272" i="54"/>
  <c r="I272" i="54"/>
  <c r="R272" i="54"/>
  <c r="AA272" i="54"/>
  <c r="AJ272" i="54"/>
  <c r="AS272" i="54"/>
  <c r="BB272" i="54"/>
  <c r="BK272" i="54"/>
  <c r="CO272" i="54"/>
  <c r="J272" i="54"/>
  <c r="S272" i="54"/>
  <c r="AB272" i="54"/>
  <c r="AK272" i="54"/>
  <c r="AT272" i="54"/>
  <c r="BC272" i="54"/>
  <c r="BL272" i="54"/>
  <c r="CP272" i="54"/>
  <c r="K272" i="54"/>
  <c r="T272" i="54"/>
  <c r="AC272" i="54"/>
  <c r="AL272" i="54"/>
  <c r="AU272" i="54"/>
  <c r="BD272" i="54"/>
  <c r="BM272" i="54"/>
  <c r="CQ272" i="54"/>
  <c r="M273" i="54"/>
  <c r="V273" i="54"/>
  <c r="AE273" i="54"/>
  <c r="AN273" i="54"/>
  <c r="AW273" i="54"/>
  <c r="BF273" i="54"/>
  <c r="CJ273" i="54"/>
  <c r="BG273" i="54"/>
  <c r="W273" i="54"/>
  <c r="AF273" i="54"/>
  <c r="AO273" i="54"/>
  <c r="AX273" i="54"/>
  <c r="CK273" i="54"/>
  <c r="F273" i="54"/>
  <c r="O273" i="54"/>
  <c r="X273" i="54"/>
  <c r="AG273" i="54"/>
  <c r="AP273" i="54"/>
  <c r="AY273" i="54"/>
  <c r="BH273" i="54"/>
  <c r="CL273" i="54"/>
  <c r="G273" i="54"/>
  <c r="P273" i="54"/>
  <c r="Y273" i="54"/>
  <c r="AH273" i="54"/>
  <c r="AQ273" i="54"/>
  <c r="AZ273" i="54"/>
  <c r="BI273" i="54"/>
  <c r="CM273" i="54"/>
  <c r="H273" i="54"/>
  <c r="Q273" i="54"/>
  <c r="Z273" i="54"/>
  <c r="AI273" i="54"/>
  <c r="AR273" i="54"/>
  <c r="BA273" i="54"/>
  <c r="BJ273" i="54"/>
  <c r="CN273" i="54"/>
  <c r="I273" i="54"/>
  <c r="R273" i="54"/>
  <c r="AA273" i="54"/>
  <c r="AJ273" i="54"/>
  <c r="AS273" i="54"/>
  <c r="BB273" i="54"/>
  <c r="BK273" i="54"/>
  <c r="CO273" i="54"/>
  <c r="J273" i="54"/>
  <c r="S273" i="54"/>
  <c r="AB273" i="54"/>
  <c r="AK273" i="54"/>
  <c r="AT273" i="54"/>
  <c r="BC273" i="54"/>
  <c r="BL273" i="54"/>
  <c r="CP273" i="54"/>
  <c r="K273" i="54"/>
  <c r="T273" i="54"/>
  <c r="AC273" i="54"/>
  <c r="AL273" i="54"/>
  <c r="AU273" i="54"/>
  <c r="BD273" i="54"/>
  <c r="BM273" i="54"/>
  <c r="CQ273" i="54"/>
  <c r="M274" i="54"/>
  <c r="V274" i="54"/>
  <c r="AE274" i="54"/>
  <c r="AN274" i="54"/>
  <c r="AW274" i="54"/>
  <c r="BF274" i="54"/>
  <c r="CJ274" i="54"/>
  <c r="BG274" i="54"/>
  <c r="W274" i="54"/>
  <c r="AF274" i="54"/>
  <c r="AO274" i="54"/>
  <c r="AX274" i="54"/>
  <c r="CK274" i="54"/>
  <c r="F274" i="54"/>
  <c r="O274" i="54"/>
  <c r="X274" i="54"/>
  <c r="AG274" i="54"/>
  <c r="AP274" i="54"/>
  <c r="AY274" i="54"/>
  <c r="BH274" i="54"/>
  <c r="CL274" i="54"/>
  <c r="G274" i="54"/>
  <c r="P274" i="54"/>
  <c r="Y274" i="54"/>
  <c r="AH274" i="54"/>
  <c r="AQ274" i="54"/>
  <c r="AZ274" i="54"/>
  <c r="BI274" i="54"/>
  <c r="CM274" i="54"/>
  <c r="H274" i="54"/>
  <c r="Q274" i="54"/>
  <c r="Z274" i="54"/>
  <c r="AI274" i="54"/>
  <c r="AR274" i="54"/>
  <c r="BA274" i="54"/>
  <c r="BJ274" i="54"/>
  <c r="CN274" i="54"/>
  <c r="I274" i="54"/>
  <c r="R274" i="54"/>
  <c r="AA274" i="54"/>
  <c r="AJ274" i="54"/>
  <c r="AS274" i="54"/>
  <c r="BB274" i="54"/>
  <c r="BK274" i="54"/>
  <c r="CO274" i="54"/>
  <c r="J274" i="54"/>
  <c r="S274" i="54"/>
  <c r="AB274" i="54"/>
  <c r="AK274" i="54"/>
  <c r="AT274" i="54"/>
  <c r="BC274" i="54"/>
  <c r="BL274" i="54"/>
  <c r="CP274" i="54"/>
  <c r="K274" i="54"/>
  <c r="T274" i="54"/>
  <c r="AC274" i="54"/>
  <c r="AL274" i="54"/>
  <c r="AU274" i="54"/>
  <c r="BD274" i="54"/>
  <c r="BM274" i="54"/>
  <c r="CQ274" i="54"/>
  <c r="M275" i="54"/>
  <c r="V275" i="54"/>
  <c r="AE275" i="54"/>
  <c r="AN275" i="54"/>
  <c r="AW275" i="54"/>
  <c r="BF275" i="54"/>
  <c r="CJ275" i="54"/>
  <c r="BG275" i="54"/>
  <c r="W275" i="54"/>
  <c r="AF275" i="54"/>
  <c r="AO275" i="54"/>
  <c r="AX275" i="54"/>
  <c r="CK275" i="54"/>
  <c r="F275" i="54"/>
  <c r="O275" i="54"/>
  <c r="X275" i="54"/>
  <c r="AG275" i="54"/>
  <c r="AP275" i="54"/>
  <c r="AY275" i="54"/>
  <c r="BH275" i="54"/>
  <c r="CL275" i="54"/>
  <c r="G275" i="54"/>
  <c r="P275" i="54"/>
  <c r="Y275" i="54"/>
  <c r="AH275" i="54"/>
  <c r="AQ275" i="54"/>
  <c r="AZ275" i="54"/>
  <c r="BI275" i="54"/>
  <c r="CM275" i="54"/>
  <c r="H275" i="54"/>
  <c r="Q275" i="54"/>
  <c r="Z275" i="54"/>
  <c r="AI275" i="54"/>
  <c r="AR275" i="54"/>
  <c r="BA275" i="54"/>
  <c r="BJ275" i="54"/>
  <c r="CN275" i="54"/>
  <c r="I275" i="54"/>
  <c r="R275" i="54"/>
  <c r="AA275" i="54"/>
  <c r="AJ275" i="54"/>
  <c r="AS275" i="54"/>
  <c r="BB275" i="54"/>
  <c r="BK275" i="54"/>
  <c r="CO275" i="54"/>
  <c r="J275" i="54"/>
  <c r="S275" i="54"/>
  <c r="AB275" i="54"/>
  <c r="AK275" i="54"/>
  <c r="AT275" i="54"/>
  <c r="BC275" i="54"/>
  <c r="BL275" i="54"/>
  <c r="CP275" i="54"/>
  <c r="K275" i="54"/>
  <c r="T275" i="54"/>
  <c r="AC275" i="54"/>
  <c r="AL275" i="54"/>
  <c r="AU275" i="54"/>
  <c r="BD275" i="54"/>
  <c r="BM275" i="54"/>
  <c r="CQ275" i="54"/>
  <c r="M276" i="54"/>
  <c r="V276" i="54"/>
  <c r="AE276" i="54"/>
  <c r="AN276" i="54"/>
  <c r="AW276" i="54"/>
  <c r="BF276" i="54"/>
  <c r="CJ276" i="54"/>
  <c r="BG276" i="54"/>
  <c r="W276" i="54"/>
  <c r="AF276" i="54"/>
  <c r="AO276" i="54"/>
  <c r="AX276" i="54"/>
  <c r="CK276" i="54"/>
  <c r="F276" i="54"/>
  <c r="O276" i="54"/>
  <c r="X276" i="54"/>
  <c r="AG276" i="54"/>
  <c r="AP276" i="54"/>
  <c r="AY276" i="54"/>
  <c r="BH276" i="54"/>
  <c r="CL276" i="54"/>
  <c r="G276" i="54"/>
  <c r="P276" i="54"/>
  <c r="Y276" i="54"/>
  <c r="AH276" i="54"/>
  <c r="AQ276" i="54"/>
  <c r="AZ276" i="54"/>
  <c r="BI276" i="54"/>
  <c r="CM276" i="54"/>
  <c r="H276" i="54"/>
  <c r="Q276" i="54"/>
  <c r="Z276" i="54"/>
  <c r="AI276" i="54"/>
  <c r="AR276" i="54"/>
  <c r="BA276" i="54"/>
  <c r="BJ276" i="54"/>
  <c r="CN276" i="54"/>
  <c r="I276" i="54"/>
  <c r="R276" i="54"/>
  <c r="AA276" i="54"/>
  <c r="AJ276" i="54"/>
  <c r="AS276" i="54"/>
  <c r="BB276" i="54"/>
  <c r="BK276" i="54"/>
  <c r="CO276" i="54"/>
  <c r="J276" i="54"/>
  <c r="S276" i="54"/>
  <c r="AB276" i="54"/>
  <c r="AK276" i="54"/>
  <c r="AT276" i="54"/>
  <c r="BC276" i="54"/>
  <c r="BL276" i="54"/>
  <c r="CP276" i="54"/>
  <c r="K276" i="54"/>
  <c r="T276" i="54"/>
  <c r="AC276" i="54"/>
  <c r="AL276" i="54"/>
  <c r="AU276" i="54"/>
  <c r="BD276" i="54"/>
  <c r="BM276" i="54"/>
  <c r="CQ276" i="54"/>
  <c r="M277" i="54"/>
  <c r="V277" i="54"/>
  <c r="AE277" i="54"/>
  <c r="AN277" i="54"/>
  <c r="AW277" i="54"/>
  <c r="BF277" i="54"/>
  <c r="CJ277" i="54"/>
  <c r="BG277" i="54"/>
  <c r="W277" i="54"/>
  <c r="AF277" i="54"/>
  <c r="AO277" i="54"/>
  <c r="AX277" i="54"/>
  <c r="CK277" i="54"/>
  <c r="F277" i="54"/>
  <c r="O277" i="54"/>
  <c r="X277" i="54"/>
  <c r="AG277" i="54"/>
  <c r="AP277" i="54"/>
  <c r="AY277" i="54"/>
  <c r="BH277" i="54"/>
  <c r="CL277" i="54"/>
  <c r="G277" i="54"/>
  <c r="P277" i="54"/>
  <c r="Y277" i="54"/>
  <c r="AH277" i="54"/>
  <c r="AQ277" i="54"/>
  <c r="AZ277" i="54"/>
  <c r="BI277" i="54"/>
  <c r="CM277" i="54"/>
  <c r="H277" i="54"/>
  <c r="Q277" i="54"/>
  <c r="Z277" i="54"/>
  <c r="AI277" i="54"/>
  <c r="AR277" i="54"/>
  <c r="BA277" i="54"/>
  <c r="BJ277" i="54"/>
  <c r="CN277" i="54"/>
  <c r="I277" i="54"/>
  <c r="R277" i="54"/>
  <c r="AA277" i="54"/>
  <c r="AJ277" i="54"/>
  <c r="AS277" i="54"/>
  <c r="BB277" i="54"/>
  <c r="BK277" i="54"/>
  <c r="CO277" i="54"/>
  <c r="J277" i="54"/>
  <c r="S277" i="54"/>
  <c r="AB277" i="54"/>
  <c r="AK277" i="54"/>
  <c r="AT277" i="54"/>
  <c r="BC277" i="54"/>
  <c r="BL277" i="54"/>
  <c r="CP277" i="54"/>
  <c r="K277" i="54"/>
  <c r="T277" i="54"/>
  <c r="AC277" i="54"/>
  <c r="AL277" i="54"/>
  <c r="AU277" i="54"/>
  <c r="BD277" i="54"/>
  <c r="BM277" i="54"/>
  <c r="CQ277" i="54"/>
  <c r="M278" i="54"/>
  <c r="V278" i="54"/>
  <c r="AE278" i="54"/>
  <c r="AN278" i="54"/>
  <c r="AW278" i="54"/>
  <c r="BF278" i="54"/>
  <c r="BO278" i="54"/>
  <c r="CJ278" i="54"/>
  <c r="BP278" i="54"/>
  <c r="W278" i="54"/>
  <c r="AF278" i="54"/>
  <c r="AO278" i="54"/>
  <c r="AX278" i="54"/>
  <c r="BG278" i="54"/>
  <c r="CK278" i="54"/>
  <c r="F278" i="54"/>
  <c r="O278" i="54"/>
  <c r="X278" i="54"/>
  <c r="AG278" i="54"/>
  <c r="AP278" i="54"/>
  <c r="AY278" i="54"/>
  <c r="BH278" i="54"/>
  <c r="BQ278" i="54"/>
  <c r="CL278" i="54"/>
  <c r="G278" i="54"/>
  <c r="P278" i="54"/>
  <c r="Y278" i="54"/>
  <c r="AH278" i="54"/>
  <c r="AQ278" i="54"/>
  <c r="AZ278" i="54"/>
  <c r="BI278" i="54"/>
  <c r="BR278" i="54"/>
  <c r="CM278" i="54"/>
  <c r="H278" i="54"/>
  <c r="Q278" i="54"/>
  <c r="Z278" i="54"/>
  <c r="AI278" i="54"/>
  <c r="AR278" i="54"/>
  <c r="BA278" i="54"/>
  <c r="BJ278" i="54"/>
  <c r="BS278" i="54"/>
  <c r="CN278" i="54"/>
  <c r="I278" i="54"/>
  <c r="R278" i="54"/>
  <c r="AA278" i="54"/>
  <c r="AJ278" i="54"/>
  <c r="AS278" i="54"/>
  <c r="BB278" i="54"/>
  <c r="BK278" i="54"/>
  <c r="BT278" i="54"/>
  <c r="CO278" i="54"/>
  <c r="J278" i="54"/>
  <c r="S278" i="54"/>
  <c r="AB278" i="54"/>
  <c r="AK278" i="54"/>
  <c r="AT278" i="54"/>
  <c r="BC278" i="54"/>
  <c r="BL278" i="54"/>
  <c r="BU278" i="54"/>
  <c r="CP278" i="54"/>
  <c r="K278" i="54"/>
  <c r="T278" i="54"/>
  <c r="AC278" i="54"/>
  <c r="AL278" i="54"/>
  <c r="AU278" i="54"/>
  <c r="BD278" i="54"/>
  <c r="BM278" i="54"/>
  <c r="BV278" i="54"/>
  <c r="CQ278" i="54"/>
  <c r="B140" i="2"/>
  <c r="M279" i="54"/>
  <c r="V279" i="54"/>
  <c r="AE279" i="54"/>
  <c r="AN279" i="54"/>
  <c r="AW279" i="54"/>
  <c r="BF279" i="54"/>
  <c r="BO279" i="54"/>
  <c r="CJ279" i="54"/>
  <c r="BP279" i="54"/>
  <c r="W279" i="54"/>
  <c r="AF279" i="54"/>
  <c r="AO279" i="54"/>
  <c r="AX279" i="54"/>
  <c r="BG279" i="54"/>
  <c r="CK279" i="54"/>
  <c r="F279" i="54"/>
  <c r="O279" i="54"/>
  <c r="X279" i="54"/>
  <c r="AG279" i="54"/>
  <c r="AP279" i="54"/>
  <c r="AY279" i="54"/>
  <c r="BH279" i="54"/>
  <c r="BQ279" i="54"/>
  <c r="CL279" i="54"/>
  <c r="G279" i="54"/>
  <c r="P279" i="54"/>
  <c r="Y279" i="54"/>
  <c r="AH279" i="54"/>
  <c r="AQ279" i="54"/>
  <c r="AZ279" i="54"/>
  <c r="BI279" i="54"/>
  <c r="BR279" i="54"/>
  <c r="CM279" i="54"/>
  <c r="H279" i="54"/>
  <c r="Q279" i="54"/>
  <c r="Z279" i="54"/>
  <c r="AI279" i="54"/>
  <c r="AR279" i="54"/>
  <c r="BA279" i="54"/>
  <c r="BJ279" i="54"/>
  <c r="BS279" i="54"/>
  <c r="CN279" i="54"/>
  <c r="I279" i="54"/>
  <c r="R279" i="54"/>
  <c r="AA279" i="54"/>
  <c r="AJ279" i="54"/>
  <c r="AS279" i="54"/>
  <c r="BB279" i="54"/>
  <c r="BK279" i="54"/>
  <c r="BT279" i="54"/>
  <c r="CO279" i="54"/>
  <c r="J279" i="54"/>
  <c r="S279" i="54"/>
  <c r="AB279" i="54"/>
  <c r="AK279" i="54"/>
  <c r="AT279" i="54"/>
  <c r="BC279" i="54"/>
  <c r="BL279" i="54"/>
  <c r="BU279" i="54"/>
  <c r="CP279" i="54"/>
  <c r="K279" i="54"/>
  <c r="T279" i="54"/>
  <c r="AC279" i="54"/>
  <c r="AL279" i="54"/>
  <c r="AU279" i="54"/>
  <c r="BD279" i="54"/>
  <c r="BM279" i="54"/>
  <c r="BV279" i="54"/>
  <c r="CQ279" i="54"/>
  <c r="B141" i="2"/>
  <c r="M280" i="54"/>
  <c r="V280" i="54"/>
  <c r="AE280" i="54"/>
  <c r="AN280" i="54"/>
  <c r="AW280" i="54"/>
  <c r="BF280" i="54"/>
  <c r="BO280" i="54"/>
  <c r="CJ280" i="54"/>
  <c r="BP280" i="54"/>
  <c r="W280" i="54"/>
  <c r="AF280" i="54"/>
  <c r="AO280" i="54"/>
  <c r="AX280" i="54"/>
  <c r="BG280" i="54"/>
  <c r="CK280" i="54"/>
  <c r="F280" i="54"/>
  <c r="O280" i="54"/>
  <c r="X280" i="54"/>
  <c r="AG280" i="54"/>
  <c r="AP280" i="54"/>
  <c r="AY280" i="54"/>
  <c r="BH280" i="54"/>
  <c r="BQ280" i="54"/>
  <c r="CL280" i="54"/>
  <c r="G280" i="54"/>
  <c r="P280" i="54"/>
  <c r="Y280" i="54"/>
  <c r="AH280" i="54"/>
  <c r="AQ280" i="54"/>
  <c r="AZ280" i="54"/>
  <c r="BI280" i="54"/>
  <c r="BR280" i="54"/>
  <c r="CM280" i="54"/>
  <c r="H280" i="54"/>
  <c r="Q280" i="54"/>
  <c r="Z280" i="54"/>
  <c r="AI280" i="54"/>
  <c r="AR280" i="54"/>
  <c r="BA280" i="54"/>
  <c r="BJ280" i="54"/>
  <c r="BS280" i="54"/>
  <c r="CN280" i="54"/>
  <c r="I280" i="54"/>
  <c r="R280" i="54"/>
  <c r="AA280" i="54"/>
  <c r="AJ280" i="54"/>
  <c r="AS280" i="54"/>
  <c r="BB280" i="54"/>
  <c r="BK280" i="54"/>
  <c r="BT280" i="54"/>
  <c r="CO280" i="54"/>
  <c r="J280" i="54"/>
  <c r="S280" i="54"/>
  <c r="AB280" i="54"/>
  <c r="AK280" i="54"/>
  <c r="AT280" i="54"/>
  <c r="BC280" i="54"/>
  <c r="BL280" i="54"/>
  <c r="BU280" i="54"/>
  <c r="CP280" i="54"/>
  <c r="K280" i="54"/>
  <c r="T280" i="54"/>
  <c r="AC280" i="54"/>
  <c r="AL280" i="54"/>
  <c r="AU280" i="54"/>
  <c r="BD280" i="54"/>
  <c r="BM280" i="54"/>
  <c r="BV280" i="54"/>
  <c r="CQ280" i="54"/>
  <c r="B142" i="2"/>
  <c r="M281" i="54"/>
  <c r="V281" i="54"/>
  <c r="AE281" i="54"/>
  <c r="AN281" i="54"/>
  <c r="AW281" i="54"/>
  <c r="BF281" i="54"/>
  <c r="BO281" i="54"/>
  <c r="CJ281" i="54"/>
  <c r="BP281" i="54"/>
  <c r="W281" i="54"/>
  <c r="AF281" i="54"/>
  <c r="AO281" i="54"/>
  <c r="AX281" i="54"/>
  <c r="BG281" i="54"/>
  <c r="CK281" i="54"/>
  <c r="F281" i="54"/>
  <c r="O281" i="54"/>
  <c r="X281" i="54"/>
  <c r="AG281" i="54"/>
  <c r="AP281" i="54"/>
  <c r="AY281" i="54"/>
  <c r="BH281" i="54"/>
  <c r="BQ281" i="54"/>
  <c r="CL281" i="54"/>
  <c r="G281" i="54"/>
  <c r="P281" i="54"/>
  <c r="Y281" i="54"/>
  <c r="AH281" i="54"/>
  <c r="AQ281" i="54"/>
  <c r="AZ281" i="54"/>
  <c r="BI281" i="54"/>
  <c r="BR281" i="54"/>
  <c r="CM281" i="54"/>
  <c r="H281" i="54"/>
  <c r="Q281" i="54"/>
  <c r="Z281" i="54"/>
  <c r="AI281" i="54"/>
  <c r="AR281" i="54"/>
  <c r="BA281" i="54"/>
  <c r="BJ281" i="54"/>
  <c r="BS281" i="54"/>
  <c r="CN281" i="54"/>
  <c r="I281" i="54"/>
  <c r="R281" i="54"/>
  <c r="AA281" i="54"/>
  <c r="AJ281" i="54"/>
  <c r="AS281" i="54"/>
  <c r="BB281" i="54"/>
  <c r="BK281" i="54"/>
  <c r="BT281" i="54"/>
  <c r="CO281" i="54"/>
  <c r="J281" i="54"/>
  <c r="S281" i="54"/>
  <c r="AB281" i="54"/>
  <c r="AK281" i="54"/>
  <c r="AT281" i="54"/>
  <c r="BC281" i="54"/>
  <c r="BL281" i="54"/>
  <c r="BU281" i="54"/>
  <c r="CP281" i="54"/>
  <c r="K281" i="54"/>
  <c r="T281" i="54"/>
  <c r="AC281" i="54"/>
  <c r="AL281" i="54"/>
  <c r="AU281" i="54"/>
  <c r="BD281" i="54"/>
  <c r="BM281" i="54"/>
  <c r="BV281" i="54"/>
  <c r="CQ281" i="54"/>
  <c r="B143" i="2"/>
  <c r="M282" i="54"/>
  <c r="V282" i="54"/>
  <c r="AE282" i="54"/>
  <c r="AN282" i="54"/>
  <c r="AW282" i="54"/>
  <c r="BF282" i="54"/>
  <c r="BO282" i="54"/>
  <c r="CJ282" i="54"/>
  <c r="BP282" i="54"/>
  <c r="W282" i="54"/>
  <c r="AF282" i="54"/>
  <c r="AO282" i="54"/>
  <c r="AX282" i="54"/>
  <c r="BG282" i="54"/>
  <c r="CK282" i="54"/>
  <c r="F282" i="54"/>
  <c r="O282" i="54"/>
  <c r="X282" i="54"/>
  <c r="AG282" i="54"/>
  <c r="AP282" i="54"/>
  <c r="AY282" i="54"/>
  <c r="BH282" i="54"/>
  <c r="BQ282" i="54"/>
  <c r="CL282" i="54"/>
  <c r="G282" i="54"/>
  <c r="P282" i="54"/>
  <c r="Y282" i="54"/>
  <c r="AH282" i="54"/>
  <c r="AQ282" i="54"/>
  <c r="AZ282" i="54"/>
  <c r="BI282" i="54"/>
  <c r="BR282" i="54"/>
  <c r="CM282" i="54"/>
  <c r="H282" i="54"/>
  <c r="Q282" i="54"/>
  <c r="Z282" i="54"/>
  <c r="AI282" i="54"/>
  <c r="AR282" i="54"/>
  <c r="BA282" i="54"/>
  <c r="BJ282" i="54"/>
  <c r="BS282" i="54"/>
  <c r="CN282" i="54"/>
  <c r="I282" i="54"/>
  <c r="R282" i="54"/>
  <c r="AA282" i="54"/>
  <c r="AJ282" i="54"/>
  <c r="AS282" i="54"/>
  <c r="BB282" i="54"/>
  <c r="BK282" i="54"/>
  <c r="BT282" i="54"/>
  <c r="CO282" i="54"/>
  <c r="J282" i="54"/>
  <c r="S282" i="54"/>
  <c r="AB282" i="54"/>
  <c r="AK282" i="54"/>
  <c r="AT282" i="54"/>
  <c r="BC282" i="54"/>
  <c r="BL282" i="54"/>
  <c r="BU282" i="54"/>
  <c r="CP282" i="54"/>
  <c r="K282" i="54"/>
  <c r="T282" i="54"/>
  <c r="AC282" i="54"/>
  <c r="AL282" i="54"/>
  <c r="AU282" i="54"/>
  <c r="BD282" i="54"/>
  <c r="BM282" i="54"/>
  <c r="BV282" i="54"/>
  <c r="CQ282" i="54"/>
  <c r="B144" i="2"/>
  <c r="M283" i="54"/>
  <c r="V283" i="54"/>
  <c r="AE283" i="54"/>
  <c r="AN283" i="54"/>
  <c r="AW283" i="54"/>
  <c r="BF283" i="54"/>
  <c r="BO283" i="54"/>
  <c r="CJ283" i="54"/>
  <c r="BP283" i="54"/>
  <c r="W283" i="54"/>
  <c r="AF283" i="54"/>
  <c r="AO283" i="54"/>
  <c r="AX283" i="54"/>
  <c r="BG283" i="54"/>
  <c r="CK283" i="54"/>
  <c r="F283" i="54"/>
  <c r="O283" i="54"/>
  <c r="X283" i="54"/>
  <c r="AG283" i="54"/>
  <c r="AP283" i="54"/>
  <c r="AY283" i="54"/>
  <c r="BH283" i="54"/>
  <c r="BQ283" i="54"/>
  <c r="CL283" i="54"/>
  <c r="G283" i="54"/>
  <c r="P283" i="54"/>
  <c r="Y283" i="54"/>
  <c r="AH283" i="54"/>
  <c r="AQ283" i="54"/>
  <c r="AZ283" i="54"/>
  <c r="BI283" i="54"/>
  <c r="BR283" i="54"/>
  <c r="CM283" i="54"/>
  <c r="H283" i="54"/>
  <c r="Q283" i="54"/>
  <c r="Z283" i="54"/>
  <c r="AI283" i="54"/>
  <c r="AR283" i="54"/>
  <c r="BA283" i="54"/>
  <c r="BJ283" i="54"/>
  <c r="BS283" i="54"/>
  <c r="CN283" i="54"/>
  <c r="I283" i="54"/>
  <c r="R283" i="54"/>
  <c r="AA283" i="54"/>
  <c r="AJ283" i="54"/>
  <c r="AS283" i="54"/>
  <c r="BB283" i="54"/>
  <c r="BK283" i="54"/>
  <c r="BT283" i="54"/>
  <c r="CO283" i="54"/>
  <c r="J283" i="54"/>
  <c r="S283" i="54"/>
  <c r="AB283" i="54"/>
  <c r="AK283" i="54"/>
  <c r="AT283" i="54"/>
  <c r="BC283" i="54"/>
  <c r="BL283" i="54"/>
  <c r="BU283" i="54"/>
  <c r="CP283" i="54"/>
  <c r="K283" i="54"/>
  <c r="T283" i="54"/>
  <c r="AC283" i="54"/>
  <c r="AL283" i="54"/>
  <c r="AU283" i="54"/>
  <c r="BD283" i="54"/>
  <c r="BM283" i="54"/>
  <c r="BV283" i="54"/>
  <c r="CQ283" i="54"/>
  <c r="B145" i="2"/>
  <c r="M284" i="54"/>
  <c r="V284" i="54"/>
  <c r="AE284" i="54"/>
  <c r="AN284" i="54"/>
  <c r="AW284" i="54"/>
  <c r="BF284" i="54"/>
  <c r="BO284" i="54"/>
  <c r="CJ284" i="54"/>
  <c r="BP284" i="54"/>
  <c r="W284" i="54"/>
  <c r="AF284" i="54"/>
  <c r="AO284" i="54"/>
  <c r="AX284" i="54"/>
  <c r="BG284" i="54"/>
  <c r="CK284" i="54"/>
  <c r="F284" i="54"/>
  <c r="O284" i="54"/>
  <c r="X284" i="54"/>
  <c r="AG284" i="54"/>
  <c r="AP284" i="54"/>
  <c r="AY284" i="54"/>
  <c r="BH284" i="54"/>
  <c r="BQ284" i="54"/>
  <c r="CL284" i="54"/>
  <c r="G284" i="54"/>
  <c r="P284" i="54"/>
  <c r="Y284" i="54"/>
  <c r="AH284" i="54"/>
  <c r="AQ284" i="54"/>
  <c r="AZ284" i="54"/>
  <c r="BI284" i="54"/>
  <c r="BR284" i="54"/>
  <c r="CM284" i="54"/>
  <c r="H284" i="54"/>
  <c r="Q284" i="54"/>
  <c r="Z284" i="54"/>
  <c r="AI284" i="54"/>
  <c r="AR284" i="54"/>
  <c r="BA284" i="54"/>
  <c r="BJ284" i="54"/>
  <c r="BS284" i="54"/>
  <c r="CN284" i="54"/>
  <c r="I284" i="54"/>
  <c r="R284" i="54"/>
  <c r="AA284" i="54"/>
  <c r="AJ284" i="54"/>
  <c r="AS284" i="54"/>
  <c r="BB284" i="54"/>
  <c r="BK284" i="54"/>
  <c r="BT284" i="54"/>
  <c r="CO284" i="54"/>
  <c r="J284" i="54"/>
  <c r="S284" i="54"/>
  <c r="AB284" i="54"/>
  <c r="AK284" i="54"/>
  <c r="AT284" i="54"/>
  <c r="BC284" i="54"/>
  <c r="BL284" i="54"/>
  <c r="BU284" i="54"/>
  <c r="CP284" i="54"/>
  <c r="K284" i="54"/>
  <c r="T284" i="54"/>
  <c r="AC284" i="54"/>
  <c r="AL284" i="54"/>
  <c r="AU284" i="54"/>
  <c r="BD284" i="54"/>
  <c r="BM284" i="54"/>
  <c r="BV284" i="54"/>
  <c r="CQ284" i="54"/>
  <c r="B146" i="2"/>
  <c r="M285" i="54"/>
  <c r="V285" i="54"/>
  <c r="AE285" i="54"/>
  <c r="AN285" i="54"/>
  <c r="AW285" i="54"/>
  <c r="BF285" i="54"/>
  <c r="BO285" i="54"/>
  <c r="CJ285" i="54"/>
  <c r="BP285" i="54"/>
  <c r="W285" i="54"/>
  <c r="AF285" i="54"/>
  <c r="AO285" i="54"/>
  <c r="AX285" i="54"/>
  <c r="BG285" i="54"/>
  <c r="CK285" i="54"/>
  <c r="F285" i="54"/>
  <c r="O285" i="54"/>
  <c r="X285" i="54"/>
  <c r="AG285" i="54"/>
  <c r="AP285" i="54"/>
  <c r="AY285" i="54"/>
  <c r="BH285" i="54"/>
  <c r="BQ285" i="54"/>
  <c r="CL285" i="54"/>
  <c r="G285" i="54"/>
  <c r="P285" i="54"/>
  <c r="Y285" i="54"/>
  <c r="AH285" i="54"/>
  <c r="AQ285" i="54"/>
  <c r="AZ285" i="54"/>
  <c r="BI285" i="54"/>
  <c r="BR285" i="54"/>
  <c r="CM285" i="54"/>
  <c r="H285" i="54"/>
  <c r="Q285" i="54"/>
  <c r="Z285" i="54"/>
  <c r="AI285" i="54"/>
  <c r="AR285" i="54"/>
  <c r="BA285" i="54"/>
  <c r="BJ285" i="54"/>
  <c r="BS285" i="54"/>
  <c r="CN285" i="54"/>
  <c r="I285" i="54"/>
  <c r="R285" i="54"/>
  <c r="AA285" i="54"/>
  <c r="AJ285" i="54"/>
  <c r="AS285" i="54"/>
  <c r="BB285" i="54"/>
  <c r="BK285" i="54"/>
  <c r="BT285" i="54"/>
  <c r="CO285" i="54"/>
  <c r="J285" i="54"/>
  <c r="S285" i="54"/>
  <c r="AB285" i="54"/>
  <c r="AK285" i="54"/>
  <c r="AT285" i="54"/>
  <c r="BC285" i="54"/>
  <c r="BL285" i="54"/>
  <c r="BU285" i="54"/>
  <c r="CP285" i="54"/>
  <c r="K285" i="54"/>
  <c r="T285" i="54"/>
  <c r="AC285" i="54"/>
  <c r="AL285" i="54"/>
  <c r="AU285" i="54"/>
  <c r="BD285" i="54"/>
  <c r="BM285" i="54"/>
  <c r="BV285" i="54"/>
  <c r="CQ285" i="54"/>
  <c r="B147" i="2"/>
  <c r="M286" i="54"/>
  <c r="V286" i="54"/>
  <c r="AE286" i="54"/>
  <c r="AN286" i="54"/>
  <c r="AW286" i="54"/>
  <c r="BF286" i="54"/>
  <c r="BO286" i="54"/>
  <c r="CJ286" i="54"/>
  <c r="BP286" i="54"/>
  <c r="W286" i="54"/>
  <c r="AF286" i="54"/>
  <c r="AO286" i="54"/>
  <c r="AX286" i="54"/>
  <c r="BG286" i="54"/>
  <c r="CK286" i="54"/>
  <c r="F286" i="54"/>
  <c r="O286" i="54"/>
  <c r="X286" i="54"/>
  <c r="AG286" i="54"/>
  <c r="AP286" i="54"/>
  <c r="AY286" i="54"/>
  <c r="BH286" i="54"/>
  <c r="BQ286" i="54"/>
  <c r="CL286" i="54"/>
  <c r="G286" i="54"/>
  <c r="P286" i="54"/>
  <c r="Y286" i="54"/>
  <c r="AH286" i="54"/>
  <c r="AQ286" i="54"/>
  <c r="AZ286" i="54"/>
  <c r="BI286" i="54"/>
  <c r="BR286" i="54"/>
  <c r="CM286" i="54"/>
  <c r="H286" i="54"/>
  <c r="Q286" i="54"/>
  <c r="Z286" i="54"/>
  <c r="AI286" i="54"/>
  <c r="AR286" i="54"/>
  <c r="BA286" i="54"/>
  <c r="BJ286" i="54"/>
  <c r="BS286" i="54"/>
  <c r="CN286" i="54"/>
  <c r="I286" i="54"/>
  <c r="R286" i="54"/>
  <c r="AA286" i="54"/>
  <c r="AJ286" i="54"/>
  <c r="AS286" i="54"/>
  <c r="BB286" i="54"/>
  <c r="BK286" i="54"/>
  <c r="BT286" i="54"/>
  <c r="CO286" i="54"/>
  <c r="J286" i="54"/>
  <c r="S286" i="54"/>
  <c r="AB286" i="54"/>
  <c r="AK286" i="54"/>
  <c r="AT286" i="54"/>
  <c r="BC286" i="54"/>
  <c r="BL286" i="54"/>
  <c r="BU286" i="54"/>
  <c r="CP286" i="54"/>
  <c r="K286" i="54"/>
  <c r="T286" i="54"/>
  <c r="AC286" i="54"/>
  <c r="AL286" i="54"/>
  <c r="AU286" i="54"/>
  <c r="BD286" i="54"/>
  <c r="BM286" i="54"/>
  <c r="BV286" i="54"/>
  <c r="CQ286" i="54"/>
  <c r="B148" i="2"/>
  <c r="M287" i="54"/>
  <c r="V287" i="54"/>
  <c r="AE287" i="54"/>
  <c r="AN287" i="54"/>
  <c r="AW287" i="54"/>
  <c r="BF287" i="54"/>
  <c r="BO287" i="54"/>
  <c r="CJ287" i="54"/>
  <c r="BP287" i="54"/>
  <c r="W287" i="54"/>
  <c r="AF287" i="54"/>
  <c r="AO287" i="54"/>
  <c r="AX287" i="54"/>
  <c r="BG287" i="54"/>
  <c r="CK287" i="54"/>
  <c r="F287" i="54"/>
  <c r="O287" i="54"/>
  <c r="X287" i="54"/>
  <c r="AG287" i="54"/>
  <c r="AP287" i="54"/>
  <c r="AY287" i="54"/>
  <c r="BH287" i="54"/>
  <c r="BQ287" i="54"/>
  <c r="CL287" i="54"/>
  <c r="G287" i="54"/>
  <c r="P287" i="54"/>
  <c r="Y287" i="54"/>
  <c r="AH287" i="54"/>
  <c r="AQ287" i="54"/>
  <c r="AZ287" i="54"/>
  <c r="BI287" i="54"/>
  <c r="BR287" i="54"/>
  <c r="CM287" i="54"/>
  <c r="H287" i="54"/>
  <c r="Q287" i="54"/>
  <c r="Z287" i="54"/>
  <c r="AI287" i="54"/>
  <c r="AR287" i="54"/>
  <c r="BA287" i="54"/>
  <c r="BJ287" i="54"/>
  <c r="BS287" i="54"/>
  <c r="CN287" i="54"/>
  <c r="I287" i="54"/>
  <c r="R287" i="54"/>
  <c r="AA287" i="54"/>
  <c r="AJ287" i="54"/>
  <c r="AS287" i="54"/>
  <c r="BB287" i="54"/>
  <c r="BK287" i="54"/>
  <c r="BT287" i="54"/>
  <c r="CO287" i="54"/>
  <c r="J287" i="54"/>
  <c r="S287" i="54"/>
  <c r="AB287" i="54"/>
  <c r="AK287" i="54"/>
  <c r="AT287" i="54"/>
  <c r="BC287" i="54"/>
  <c r="BL287" i="54"/>
  <c r="BU287" i="54"/>
  <c r="CP287" i="54"/>
  <c r="K287" i="54"/>
  <c r="T287" i="54"/>
  <c r="AC287" i="54"/>
  <c r="AL287" i="54"/>
  <c r="AU287" i="54"/>
  <c r="BD287" i="54"/>
  <c r="BM287" i="54"/>
  <c r="BV287" i="54"/>
  <c r="CQ287" i="54"/>
  <c r="B149" i="2"/>
  <c r="M288" i="54"/>
  <c r="V288" i="54"/>
  <c r="AE288" i="54"/>
  <c r="AN288" i="54"/>
  <c r="AW288" i="54"/>
  <c r="BF288" i="54"/>
  <c r="BO288" i="54"/>
  <c r="CJ288" i="54"/>
  <c r="BP288" i="54"/>
  <c r="W288" i="54"/>
  <c r="AF288" i="54"/>
  <c r="AO288" i="54"/>
  <c r="AX288" i="54"/>
  <c r="BG288" i="54"/>
  <c r="CK288" i="54"/>
  <c r="F288" i="54"/>
  <c r="O288" i="54"/>
  <c r="X288" i="54"/>
  <c r="AG288" i="54"/>
  <c r="AP288" i="54"/>
  <c r="AY288" i="54"/>
  <c r="BH288" i="54"/>
  <c r="BQ288" i="54"/>
  <c r="CL288" i="54"/>
  <c r="G288" i="54"/>
  <c r="P288" i="54"/>
  <c r="Y288" i="54"/>
  <c r="AH288" i="54"/>
  <c r="AQ288" i="54"/>
  <c r="AZ288" i="54"/>
  <c r="BI288" i="54"/>
  <c r="BR288" i="54"/>
  <c r="CM288" i="54"/>
  <c r="H288" i="54"/>
  <c r="Q288" i="54"/>
  <c r="Z288" i="54"/>
  <c r="AI288" i="54"/>
  <c r="AR288" i="54"/>
  <c r="BA288" i="54"/>
  <c r="BJ288" i="54"/>
  <c r="BS288" i="54"/>
  <c r="CN288" i="54"/>
  <c r="I288" i="54"/>
  <c r="R288" i="54"/>
  <c r="AA288" i="54"/>
  <c r="AJ288" i="54"/>
  <c r="AS288" i="54"/>
  <c r="BB288" i="54"/>
  <c r="BK288" i="54"/>
  <c r="BT288" i="54"/>
  <c r="CO288" i="54"/>
  <c r="J288" i="54"/>
  <c r="S288" i="54"/>
  <c r="AB288" i="54"/>
  <c r="AK288" i="54"/>
  <c r="AT288" i="54"/>
  <c r="BC288" i="54"/>
  <c r="BL288" i="54"/>
  <c r="BU288" i="54"/>
  <c r="CP288" i="54"/>
  <c r="K288" i="54"/>
  <c r="T288" i="54"/>
  <c r="AC288" i="54"/>
  <c r="AL288" i="54"/>
  <c r="AU288" i="54"/>
  <c r="BD288" i="54"/>
  <c r="BM288" i="54"/>
  <c r="BV288" i="54"/>
  <c r="CQ288" i="54"/>
  <c r="B150" i="2"/>
  <c r="M289" i="54"/>
  <c r="V289" i="54"/>
  <c r="AE289" i="54"/>
  <c r="AN289" i="54"/>
  <c r="AW289" i="54"/>
  <c r="BF289" i="54"/>
  <c r="BO289" i="54"/>
  <c r="CJ289" i="54"/>
  <c r="BP289" i="54"/>
  <c r="W289" i="54"/>
  <c r="AF289" i="54"/>
  <c r="AO289" i="54"/>
  <c r="AX289" i="54"/>
  <c r="BG289" i="54"/>
  <c r="CK289" i="54"/>
  <c r="F289" i="54"/>
  <c r="O289" i="54"/>
  <c r="X289" i="54"/>
  <c r="AG289" i="54"/>
  <c r="AP289" i="54"/>
  <c r="AY289" i="54"/>
  <c r="BH289" i="54"/>
  <c r="BQ289" i="54"/>
  <c r="CL289" i="54"/>
  <c r="G289" i="54"/>
  <c r="P289" i="54"/>
  <c r="Y289" i="54"/>
  <c r="AH289" i="54"/>
  <c r="AQ289" i="54"/>
  <c r="AZ289" i="54"/>
  <c r="BI289" i="54"/>
  <c r="BR289" i="54"/>
  <c r="CM289" i="54"/>
  <c r="H289" i="54"/>
  <c r="Q289" i="54"/>
  <c r="Z289" i="54"/>
  <c r="AI289" i="54"/>
  <c r="AR289" i="54"/>
  <c r="BA289" i="54"/>
  <c r="BJ289" i="54"/>
  <c r="BS289" i="54"/>
  <c r="CN289" i="54"/>
  <c r="I289" i="54"/>
  <c r="R289" i="54"/>
  <c r="AA289" i="54"/>
  <c r="AJ289" i="54"/>
  <c r="AS289" i="54"/>
  <c r="BB289" i="54"/>
  <c r="BK289" i="54"/>
  <c r="BT289" i="54"/>
  <c r="CO289" i="54"/>
  <c r="J289" i="54"/>
  <c r="S289" i="54"/>
  <c r="AB289" i="54"/>
  <c r="AK289" i="54"/>
  <c r="AT289" i="54"/>
  <c r="BC289" i="54"/>
  <c r="BL289" i="54"/>
  <c r="BU289" i="54"/>
  <c r="CP289" i="54"/>
  <c r="K289" i="54"/>
  <c r="T289" i="54"/>
  <c r="AC289" i="54"/>
  <c r="AL289" i="54"/>
  <c r="AU289" i="54"/>
  <c r="BD289" i="54"/>
  <c r="BM289" i="54"/>
  <c r="BV289" i="54"/>
  <c r="CQ289" i="54"/>
  <c r="B151" i="2"/>
  <c r="M290" i="54"/>
  <c r="V290" i="54"/>
  <c r="AE290" i="54"/>
  <c r="AN290" i="54"/>
  <c r="AW290" i="54"/>
  <c r="BF290" i="54"/>
  <c r="BO290" i="54"/>
  <c r="CJ290" i="54"/>
  <c r="BP290" i="54"/>
  <c r="W290" i="54"/>
  <c r="AF290" i="54"/>
  <c r="AO290" i="54"/>
  <c r="AX290" i="54"/>
  <c r="BG290" i="54"/>
  <c r="CK290" i="54"/>
  <c r="F290" i="54"/>
  <c r="O290" i="54"/>
  <c r="X290" i="54"/>
  <c r="AG290" i="54"/>
  <c r="AP290" i="54"/>
  <c r="AY290" i="54"/>
  <c r="BH290" i="54"/>
  <c r="BQ290" i="54"/>
  <c r="CL290" i="54"/>
  <c r="G290" i="54"/>
  <c r="P290" i="54"/>
  <c r="Y290" i="54"/>
  <c r="AH290" i="54"/>
  <c r="AQ290" i="54"/>
  <c r="AZ290" i="54"/>
  <c r="BI290" i="54"/>
  <c r="BR290" i="54"/>
  <c r="CM290" i="54"/>
  <c r="H290" i="54"/>
  <c r="Q290" i="54"/>
  <c r="Z290" i="54"/>
  <c r="AI290" i="54"/>
  <c r="AR290" i="54"/>
  <c r="BA290" i="54"/>
  <c r="BJ290" i="54"/>
  <c r="BS290" i="54"/>
  <c r="CN290" i="54"/>
  <c r="I290" i="54"/>
  <c r="R290" i="54"/>
  <c r="AA290" i="54"/>
  <c r="AJ290" i="54"/>
  <c r="AS290" i="54"/>
  <c r="BB290" i="54"/>
  <c r="BK290" i="54"/>
  <c r="BT290" i="54"/>
  <c r="CO290" i="54"/>
  <c r="J290" i="54"/>
  <c r="S290" i="54"/>
  <c r="AB290" i="54"/>
  <c r="AK290" i="54"/>
  <c r="AT290" i="54"/>
  <c r="BC290" i="54"/>
  <c r="BL290" i="54"/>
  <c r="BU290" i="54"/>
  <c r="CP290" i="54"/>
  <c r="K290" i="54"/>
  <c r="T290" i="54"/>
  <c r="AC290" i="54"/>
  <c r="AL290" i="54"/>
  <c r="AU290" i="54"/>
  <c r="BD290" i="54"/>
  <c r="BM290" i="54"/>
  <c r="BV290" i="54"/>
  <c r="CQ290" i="54"/>
  <c r="B152" i="2"/>
  <c r="M291" i="54"/>
  <c r="V291" i="54"/>
  <c r="AE291" i="54"/>
  <c r="AN291" i="54"/>
  <c r="AW291" i="54"/>
  <c r="BF291" i="54"/>
  <c r="BO291" i="54"/>
  <c r="CJ291" i="54"/>
  <c r="BP291" i="54"/>
  <c r="W291" i="54"/>
  <c r="AF291" i="54"/>
  <c r="AO291" i="54"/>
  <c r="AX291" i="54"/>
  <c r="BG291" i="54"/>
  <c r="CK291" i="54"/>
  <c r="F291" i="54"/>
  <c r="O291" i="54"/>
  <c r="X291" i="54"/>
  <c r="AG291" i="54"/>
  <c r="AP291" i="54"/>
  <c r="AY291" i="54"/>
  <c r="BH291" i="54"/>
  <c r="BQ291" i="54"/>
  <c r="CL291" i="54"/>
  <c r="G291" i="54"/>
  <c r="P291" i="54"/>
  <c r="Y291" i="54"/>
  <c r="AH291" i="54"/>
  <c r="AQ291" i="54"/>
  <c r="AZ291" i="54"/>
  <c r="BI291" i="54"/>
  <c r="BR291" i="54"/>
  <c r="CM291" i="54"/>
  <c r="H291" i="54"/>
  <c r="Q291" i="54"/>
  <c r="Z291" i="54"/>
  <c r="AI291" i="54"/>
  <c r="AR291" i="54"/>
  <c r="BA291" i="54"/>
  <c r="BJ291" i="54"/>
  <c r="BS291" i="54"/>
  <c r="CN291" i="54"/>
  <c r="I291" i="54"/>
  <c r="R291" i="54"/>
  <c r="AA291" i="54"/>
  <c r="AJ291" i="54"/>
  <c r="AS291" i="54"/>
  <c r="BB291" i="54"/>
  <c r="BK291" i="54"/>
  <c r="BT291" i="54"/>
  <c r="CO291" i="54"/>
  <c r="J291" i="54"/>
  <c r="S291" i="54"/>
  <c r="AB291" i="54"/>
  <c r="AK291" i="54"/>
  <c r="AT291" i="54"/>
  <c r="BC291" i="54"/>
  <c r="BL291" i="54"/>
  <c r="BU291" i="54"/>
  <c r="CP291" i="54"/>
  <c r="K291" i="54"/>
  <c r="T291" i="54"/>
  <c r="AC291" i="54"/>
  <c r="AL291" i="54"/>
  <c r="AU291" i="54"/>
  <c r="BD291" i="54"/>
  <c r="BM291" i="54"/>
  <c r="BV291" i="54"/>
  <c r="CQ291" i="54"/>
  <c r="B153" i="2"/>
  <c r="M292" i="54"/>
  <c r="V292" i="54"/>
  <c r="AE292" i="54"/>
  <c r="AN292" i="54"/>
  <c r="AW292" i="54"/>
  <c r="BF292" i="54"/>
  <c r="BO292" i="54"/>
  <c r="CJ292" i="54"/>
  <c r="BP292" i="54"/>
  <c r="W292" i="54"/>
  <c r="AF292" i="54"/>
  <c r="AO292" i="54"/>
  <c r="AX292" i="54"/>
  <c r="BG292" i="54"/>
  <c r="CK292" i="54"/>
  <c r="F292" i="54"/>
  <c r="O292" i="54"/>
  <c r="X292" i="54"/>
  <c r="AG292" i="54"/>
  <c r="AP292" i="54"/>
  <c r="AY292" i="54"/>
  <c r="BH292" i="54"/>
  <c r="BQ292" i="54"/>
  <c r="CL292" i="54"/>
  <c r="G292" i="54"/>
  <c r="P292" i="54"/>
  <c r="Y292" i="54"/>
  <c r="AH292" i="54"/>
  <c r="AQ292" i="54"/>
  <c r="AZ292" i="54"/>
  <c r="BI292" i="54"/>
  <c r="BR292" i="54"/>
  <c r="CM292" i="54"/>
  <c r="H292" i="54"/>
  <c r="Q292" i="54"/>
  <c r="Z292" i="54"/>
  <c r="AI292" i="54"/>
  <c r="AR292" i="54"/>
  <c r="BA292" i="54"/>
  <c r="BJ292" i="54"/>
  <c r="BS292" i="54"/>
  <c r="CN292" i="54"/>
  <c r="I292" i="54"/>
  <c r="R292" i="54"/>
  <c r="AA292" i="54"/>
  <c r="AJ292" i="54"/>
  <c r="AS292" i="54"/>
  <c r="BB292" i="54"/>
  <c r="BK292" i="54"/>
  <c r="BT292" i="54"/>
  <c r="CO292" i="54"/>
  <c r="J292" i="54"/>
  <c r="S292" i="54"/>
  <c r="AB292" i="54"/>
  <c r="AK292" i="54"/>
  <c r="AT292" i="54"/>
  <c r="BC292" i="54"/>
  <c r="BL292" i="54"/>
  <c r="BU292" i="54"/>
  <c r="CP292" i="54"/>
  <c r="K292" i="54"/>
  <c r="T292" i="54"/>
  <c r="AC292" i="54"/>
  <c r="AL292" i="54"/>
  <c r="AU292" i="54"/>
  <c r="BD292" i="54"/>
  <c r="BM292" i="54"/>
  <c r="BV292" i="54"/>
  <c r="CQ292" i="54"/>
  <c r="B154" i="2"/>
  <c r="M293" i="54"/>
  <c r="V293" i="54"/>
  <c r="AE293" i="54"/>
  <c r="AN293" i="54"/>
  <c r="AW293" i="54"/>
  <c r="BF293" i="54"/>
  <c r="BO293" i="54"/>
  <c r="CJ293" i="54"/>
  <c r="BP293" i="54"/>
  <c r="W293" i="54"/>
  <c r="AF293" i="54"/>
  <c r="AO293" i="54"/>
  <c r="AX293" i="54"/>
  <c r="BG293" i="54"/>
  <c r="CK293" i="54"/>
  <c r="F293" i="54"/>
  <c r="O293" i="54"/>
  <c r="X293" i="54"/>
  <c r="AG293" i="54"/>
  <c r="AP293" i="54"/>
  <c r="AY293" i="54"/>
  <c r="BH293" i="54"/>
  <c r="BQ293" i="54"/>
  <c r="CL293" i="54"/>
  <c r="G293" i="54"/>
  <c r="P293" i="54"/>
  <c r="Y293" i="54"/>
  <c r="AH293" i="54"/>
  <c r="AQ293" i="54"/>
  <c r="AZ293" i="54"/>
  <c r="BI293" i="54"/>
  <c r="BR293" i="54"/>
  <c r="CM293" i="54"/>
  <c r="H293" i="54"/>
  <c r="Q293" i="54"/>
  <c r="Z293" i="54"/>
  <c r="AI293" i="54"/>
  <c r="AR293" i="54"/>
  <c r="BA293" i="54"/>
  <c r="BJ293" i="54"/>
  <c r="BS293" i="54"/>
  <c r="CN293" i="54"/>
  <c r="I293" i="54"/>
  <c r="R293" i="54"/>
  <c r="AA293" i="54"/>
  <c r="AJ293" i="54"/>
  <c r="AS293" i="54"/>
  <c r="BB293" i="54"/>
  <c r="BK293" i="54"/>
  <c r="BT293" i="54"/>
  <c r="CO293" i="54"/>
  <c r="J293" i="54"/>
  <c r="S293" i="54"/>
  <c r="AB293" i="54"/>
  <c r="AK293" i="54"/>
  <c r="AT293" i="54"/>
  <c r="BC293" i="54"/>
  <c r="BL293" i="54"/>
  <c r="BU293" i="54"/>
  <c r="CP293" i="54"/>
  <c r="K293" i="54"/>
  <c r="T293" i="54"/>
  <c r="AC293" i="54"/>
  <c r="AL293" i="54"/>
  <c r="AU293" i="54"/>
  <c r="BD293" i="54"/>
  <c r="BM293" i="54"/>
  <c r="BV293" i="54"/>
  <c r="CQ293" i="54"/>
  <c r="B155" i="2"/>
  <c r="M294" i="54"/>
  <c r="V294" i="54"/>
  <c r="AE294" i="54"/>
  <c r="AN294" i="54"/>
  <c r="AW294" i="54"/>
  <c r="BF294" i="54"/>
  <c r="BO294" i="54"/>
  <c r="CJ294" i="54"/>
  <c r="BP294" i="54"/>
  <c r="W294" i="54"/>
  <c r="AF294" i="54"/>
  <c r="AO294" i="54"/>
  <c r="AX294" i="54"/>
  <c r="BG294" i="54"/>
  <c r="CK294" i="54"/>
  <c r="F294" i="54"/>
  <c r="O294" i="54"/>
  <c r="X294" i="54"/>
  <c r="AG294" i="54"/>
  <c r="AP294" i="54"/>
  <c r="AY294" i="54"/>
  <c r="BH294" i="54"/>
  <c r="BQ294" i="54"/>
  <c r="CL294" i="54"/>
  <c r="G294" i="54"/>
  <c r="P294" i="54"/>
  <c r="Y294" i="54"/>
  <c r="AH294" i="54"/>
  <c r="AQ294" i="54"/>
  <c r="AZ294" i="54"/>
  <c r="BI294" i="54"/>
  <c r="BR294" i="54"/>
  <c r="CM294" i="54"/>
  <c r="H294" i="54"/>
  <c r="Q294" i="54"/>
  <c r="Z294" i="54"/>
  <c r="AI294" i="54"/>
  <c r="AR294" i="54"/>
  <c r="BA294" i="54"/>
  <c r="BJ294" i="54"/>
  <c r="BS294" i="54"/>
  <c r="CN294" i="54"/>
  <c r="I294" i="54"/>
  <c r="R294" i="54"/>
  <c r="AA294" i="54"/>
  <c r="AJ294" i="54"/>
  <c r="AS294" i="54"/>
  <c r="BB294" i="54"/>
  <c r="BK294" i="54"/>
  <c r="BT294" i="54"/>
  <c r="CO294" i="54"/>
  <c r="J294" i="54"/>
  <c r="S294" i="54"/>
  <c r="AB294" i="54"/>
  <c r="AK294" i="54"/>
  <c r="AT294" i="54"/>
  <c r="BC294" i="54"/>
  <c r="BL294" i="54"/>
  <c r="BU294" i="54"/>
  <c r="CP294" i="54"/>
  <c r="K294" i="54"/>
  <c r="T294" i="54"/>
  <c r="AC294" i="54"/>
  <c r="AL294" i="54"/>
  <c r="AU294" i="54"/>
  <c r="BD294" i="54"/>
  <c r="BM294" i="54"/>
  <c r="BV294" i="54"/>
  <c r="CQ294" i="54"/>
  <c r="B156" i="2"/>
  <c r="M295" i="54"/>
  <c r="V295" i="54"/>
  <c r="AE295" i="54"/>
  <c r="AN295" i="54"/>
  <c r="AW295" i="54"/>
  <c r="BF295" i="54"/>
  <c r="BO295" i="54"/>
  <c r="CJ295" i="54"/>
  <c r="BP295" i="54"/>
  <c r="W295" i="54"/>
  <c r="AF295" i="54"/>
  <c r="AO295" i="54"/>
  <c r="AX295" i="54"/>
  <c r="BG295" i="54"/>
  <c r="CK295" i="54"/>
  <c r="F295" i="54"/>
  <c r="O295" i="54"/>
  <c r="X295" i="54"/>
  <c r="AG295" i="54"/>
  <c r="AP295" i="54"/>
  <c r="AY295" i="54"/>
  <c r="BH295" i="54"/>
  <c r="BQ295" i="54"/>
  <c r="CL295" i="54"/>
  <c r="G295" i="54"/>
  <c r="P295" i="54"/>
  <c r="Y295" i="54"/>
  <c r="AH295" i="54"/>
  <c r="AQ295" i="54"/>
  <c r="AZ295" i="54"/>
  <c r="BI295" i="54"/>
  <c r="BR295" i="54"/>
  <c r="CM295" i="54"/>
  <c r="H295" i="54"/>
  <c r="Q295" i="54"/>
  <c r="Z295" i="54"/>
  <c r="AI295" i="54"/>
  <c r="AR295" i="54"/>
  <c r="BA295" i="54"/>
  <c r="BJ295" i="54"/>
  <c r="BS295" i="54"/>
  <c r="CN295" i="54"/>
  <c r="I295" i="54"/>
  <c r="R295" i="54"/>
  <c r="AA295" i="54"/>
  <c r="AJ295" i="54"/>
  <c r="AS295" i="54"/>
  <c r="BB295" i="54"/>
  <c r="BK295" i="54"/>
  <c r="BT295" i="54"/>
  <c r="CO295" i="54"/>
  <c r="J295" i="54"/>
  <c r="S295" i="54"/>
  <c r="AB295" i="54"/>
  <c r="AK295" i="54"/>
  <c r="AT295" i="54"/>
  <c r="BC295" i="54"/>
  <c r="BL295" i="54"/>
  <c r="BU295" i="54"/>
  <c r="CP295" i="54"/>
  <c r="K295" i="54"/>
  <c r="T295" i="54"/>
  <c r="AC295" i="54"/>
  <c r="AL295" i="54"/>
  <c r="AU295" i="54"/>
  <c r="BD295" i="54"/>
  <c r="BM295" i="54"/>
  <c r="BV295" i="54"/>
  <c r="CQ295" i="54"/>
  <c r="B157" i="2"/>
  <c r="M296" i="54"/>
  <c r="V296" i="54"/>
  <c r="AE296" i="54"/>
  <c r="AN296" i="54"/>
  <c r="AW296" i="54"/>
  <c r="BF296" i="54"/>
  <c r="BO296" i="54"/>
  <c r="CJ296" i="54"/>
  <c r="BP296" i="54"/>
  <c r="W296" i="54"/>
  <c r="AF296" i="54"/>
  <c r="AO296" i="54"/>
  <c r="AX296" i="54"/>
  <c r="BG296" i="54"/>
  <c r="CK296" i="54"/>
  <c r="F296" i="54"/>
  <c r="O296" i="54"/>
  <c r="X296" i="54"/>
  <c r="AG296" i="54"/>
  <c r="AP296" i="54"/>
  <c r="AY296" i="54"/>
  <c r="BH296" i="54"/>
  <c r="BQ296" i="54"/>
  <c r="CL296" i="54"/>
  <c r="G296" i="54"/>
  <c r="P296" i="54"/>
  <c r="Y296" i="54"/>
  <c r="AH296" i="54"/>
  <c r="AQ296" i="54"/>
  <c r="AZ296" i="54"/>
  <c r="BI296" i="54"/>
  <c r="BR296" i="54"/>
  <c r="CM296" i="54"/>
  <c r="H296" i="54"/>
  <c r="Q296" i="54"/>
  <c r="Z296" i="54"/>
  <c r="AI296" i="54"/>
  <c r="AR296" i="54"/>
  <c r="BA296" i="54"/>
  <c r="BJ296" i="54"/>
  <c r="BS296" i="54"/>
  <c r="CN296" i="54"/>
  <c r="I296" i="54"/>
  <c r="R296" i="54"/>
  <c r="AA296" i="54"/>
  <c r="AJ296" i="54"/>
  <c r="AS296" i="54"/>
  <c r="BB296" i="54"/>
  <c r="BK296" i="54"/>
  <c r="BT296" i="54"/>
  <c r="CO296" i="54"/>
  <c r="J296" i="54"/>
  <c r="S296" i="54"/>
  <c r="AB296" i="54"/>
  <c r="AK296" i="54"/>
  <c r="AT296" i="54"/>
  <c r="BC296" i="54"/>
  <c r="BL296" i="54"/>
  <c r="BU296" i="54"/>
  <c r="CP296" i="54"/>
  <c r="K296" i="54"/>
  <c r="T296" i="54"/>
  <c r="AC296" i="54"/>
  <c r="AL296" i="54"/>
  <c r="AU296" i="54"/>
  <c r="BD296" i="54"/>
  <c r="BM296" i="54"/>
  <c r="BV296" i="54"/>
  <c r="CQ296" i="54"/>
  <c r="B158" i="2"/>
  <c r="M297" i="54"/>
  <c r="V297" i="54"/>
  <c r="AE297" i="54"/>
  <c r="AN297" i="54"/>
  <c r="AW297" i="54"/>
  <c r="BF297" i="54"/>
  <c r="BO297" i="54"/>
  <c r="CJ297" i="54"/>
  <c r="BP297" i="54"/>
  <c r="W297" i="54"/>
  <c r="AF297" i="54"/>
  <c r="AO297" i="54"/>
  <c r="AX297" i="54"/>
  <c r="BG297" i="54"/>
  <c r="CK297" i="54"/>
  <c r="F297" i="54"/>
  <c r="O297" i="54"/>
  <c r="X297" i="54"/>
  <c r="AG297" i="54"/>
  <c r="AP297" i="54"/>
  <c r="AY297" i="54"/>
  <c r="BH297" i="54"/>
  <c r="BQ297" i="54"/>
  <c r="CL297" i="54"/>
  <c r="G297" i="54"/>
  <c r="P297" i="54"/>
  <c r="Y297" i="54"/>
  <c r="AH297" i="54"/>
  <c r="AQ297" i="54"/>
  <c r="AZ297" i="54"/>
  <c r="BI297" i="54"/>
  <c r="BR297" i="54"/>
  <c r="CM297" i="54"/>
  <c r="H297" i="54"/>
  <c r="Q297" i="54"/>
  <c r="Z297" i="54"/>
  <c r="AI297" i="54"/>
  <c r="AR297" i="54"/>
  <c r="BA297" i="54"/>
  <c r="BJ297" i="54"/>
  <c r="BS297" i="54"/>
  <c r="CN297" i="54"/>
  <c r="I297" i="54"/>
  <c r="R297" i="54"/>
  <c r="AA297" i="54"/>
  <c r="AJ297" i="54"/>
  <c r="AS297" i="54"/>
  <c r="BB297" i="54"/>
  <c r="BK297" i="54"/>
  <c r="BT297" i="54"/>
  <c r="CO297" i="54"/>
  <c r="J297" i="54"/>
  <c r="S297" i="54"/>
  <c r="AB297" i="54"/>
  <c r="AK297" i="54"/>
  <c r="AT297" i="54"/>
  <c r="BC297" i="54"/>
  <c r="BL297" i="54"/>
  <c r="BU297" i="54"/>
  <c r="CP297" i="54"/>
  <c r="K297" i="54"/>
  <c r="T297" i="54"/>
  <c r="AC297" i="54"/>
  <c r="AL297" i="54"/>
  <c r="AU297" i="54"/>
  <c r="BD297" i="54"/>
  <c r="BM297" i="54"/>
  <c r="BV297" i="54"/>
  <c r="CQ297" i="54"/>
  <c r="B159" i="2"/>
  <c r="M298" i="54"/>
  <c r="V298" i="54"/>
  <c r="AE298" i="54"/>
  <c r="AN298" i="54"/>
  <c r="AW298" i="54"/>
  <c r="BF298" i="54"/>
  <c r="BO298" i="54"/>
  <c r="BX298" i="54"/>
  <c r="CJ298" i="54"/>
  <c r="BY298" i="54"/>
  <c r="W298" i="54"/>
  <c r="AF298" i="54"/>
  <c r="AO298" i="54"/>
  <c r="AX298" i="54"/>
  <c r="BG298" i="54"/>
  <c r="BP298" i="54"/>
  <c r="CK298" i="54"/>
  <c r="F298" i="54"/>
  <c r="O298" i="54"/>
  <c r="X298" i="54"/>
  <c r="AG298" i="54"/>
  <c r="AP298" i="54"/>
  <c r="AY298" i="54"/>
  <c r="BH298" i="54"/>
  <c r="BQ298" i="54"/>
  <c r="BZ298" i="54"/>
  <c r="CL298" i="54"/>
  <c r="G298" i="54"/>
  <c r="P298" i="54"/>
  <c r="Y298" i="54"/>
  <c r="AH298" i="54"/>
  <c r="AQ298" i="54"/>
  <c r="AZ298" i="54"/>
  <c r="BI298" i="54"/>
  <c r="BR298" i="54"/>
  <c r="CA298" i="54"/>
  <c r="CM298" i="54"/>
  <c r="H298" i="54"/>
  <c r="Q298" i="54"/>
  <c r="Z298" i="54"/>
  <c r="AI298" i="54"/>
  <c r="AR298" i="54"/>
  <c r="BA298" i="54"/>
  <c r="BJ298" i="54"/>
  <c r="BS298" i="54"/>
  <c r="CB298" i="54"/>
  <c r="CN298" i="54"/>
  <c r="I298" i="54"/>
  <c r="R298" i="54"/>
  <c r="AA298" i="54"/>
  <c r="AJ298" i="54"/>
  <c r="AS298" i="54"/>
  <c r="BB298" i="54"/>
  <c r="BK298" i="54"/>
  <c r="BT298" i="54"/>
  <c r="CC298" i="54"/>
  <c r="CO298" i="54"/>
  <c r="J298" i="54"/>
  <c r="S298" i="54"/>
  <c r="AB298" i="54"/>
  <c r="AK298" i="54"/>
  <c r="AT298" i="54"/>
  <c r="BC298" i="54"/>
  <c r="BL298" i="54"/>
  <c r="BU298" i="54"/>
  <c r="CD298" i="54"/>
  <c r="CP298" i="54"/>
  <c r="K298" i="54"/>
  <c r="T298" i="54"/>
  <c r="AC298" i="54"/>
  <c r="AL298" i="54"/>
  <c r="AU298" i="54"/>
  <c r="BD298" i="54"/>
  <c r="BM298" i="54"/>
  <c r="BV298" i="54"/>
  <c r="CE298" i="54"/>
  <c r="CQ298" i="54"/>
  <c r="B160" i="2"/>
  <c r="M299" i="54"/>
  <c r="V299" i="54"/>
  <c r="AE299" i="54"/>
  <c r="AN299" i="54"/>
  <c r="AW299" i="54"/>
  <c r="BF299" i="54"/>
  <c r="BO299" i="54"/>
  <c r="BX299" i="54"/>
  <c r="CJ299" i="54"/>
  <c r="BY299" i="54"/>
  <c r="W299" i="54"/>
  <c r="AF299" i="54"/>
  <c r="AO299" i="54"/>
  <c r="AX299" i="54"/>
  <c r="BG299" i="54"/>
  <c r="BP299" i="54"/>
  <c r="CK299" i="54"/>
  <c r="F299" i="54"/>
  <c r="O299" i="54"/>
  <c r="X299" i="54"/>
  <c r="AG299" i="54"/>
  <c r="AP299" i="54"/>
  <c r="AY299" i="54"/>
  <c r="BH299" i="54"/>
  <c r="BQ299" i="54"/>
  <c r="BZ299" i="54"/>
  <c r="CL299" i="54"/>
  <c r="G299" i="54"/>
  <c r="P299" i="54"/>
  <c r="Y299" i="54"/>
  <c r="AH299" i="54"/>
  <c r="AQ299" i="54"/>
  <c r="AZ299" i="54"/>
  <c r="BI299" i="54"/>
  <c r="BR299" i="54"/>
  <c r="CA299" i="54"/>
  <c r="CM299" i="54"/>
  <c r="H299" i="54"/>
  <c r="Q299" i="54"/>
  <c r="Z299" i="54"/>
  <c r="AI299" i="54"/>
  <c r="AR299" i="54"/>
  <c r="BA299" i="54"/>
  <c r="BJ299" i="54"/>
  <c r="BS299" i="54"/>
  <c r="CB299" i="54"/>
  <c r="CN299" i="54"/>
  <c r="I299" i="54"/>
  <c r="R299" i="54"/>
  <c r="AA299" i="54"/>
  <c r="AJ299" i="54"/>
  <c r="AS299" i="54"/>
  <c r="BB299" i="54"/>
  <c r="BK299" i="54"/>
  <c r="BT299" i="54"/>
  <c r="CC299" i="54"/>
  <c r="CO299" i="54"/>
  <c r="J299" i="54"/>
  <c r="S299" i="54"/>
  <c r="AB299" i="54"/>
  <c r="AK299" i="54"/>
  <c r="AT299" i="54"/>
  <c r="BC299" i="54"/>
  <c r="BL299" i="54"/>
  <c r="BU299" i="54"/>
  <c r="CD299" i="54"/>
  <c r="CP299" i="54"/>
  <c r="K299" i="54"/>
  <c r="T299" i="54"/>
  <c r="AC299" i="54"/>
  <c r="AL299" i="54"/>
  <c r="AU299" i="54"/>
  <c r="BD299" i="54"/>
  <c r="BM299" i="54"/>
  <c r="BV299" i="54"/>
  <c r="CE299" i="54"/>
  <c r="CQ299" i="54"/>
  <c r="B161" i="2"/>
  <c r="M300" i="54"/>
  <c r="V300" i="54"/>
  <c r="AE300" i="54"/>
  <c r="AN300" i="54"/>
  <c r="AW300" i="54"/>
  <c r="BF300" i="54"/>
  <c r="BO300" i="54"/>
  <c r="BX300" i="54"/>
  <c r="CJ300" i="54"/>
  <c r="BY300" i="54"/>
  <c r="W300" i="54"/>
  <c r="AF300" i="54"/>
  <c r="AO300" i="54"/>
  <c r="AX300" i="54"/>
  <c r="BG300" i="54"/>
  <c r="BP300" i="54"/>
  <c r="CK300" i="54"/>
  <c r="F300" i="54"/>
  <c r="O300" i="54"/>
  <c r="X300" i="54"/>
  <c r="AG300" i="54"/>
  <c r="AP300" i="54"/>
  <c r="AY300" i="54"/>
  <c r="BH300" i="54"/>
  <c r="BQ300" i="54"/>
  <c r="BZ300" i="54"/>
  <c r="CL300" i="54"/>
  <c r="G300" i="54"/>
  <c r="P300" i="54"/>
  <c r="Y300" i="54"/>
  <c r="AH300" i="54"/>
  <c r="AQ300" i="54"/>
  <c r="AZ300" i="54"/>
  <c r="BI300" i="54"/>
  <c r="BR300" i="54"/>
  <c r="CA300" i="54"/>
  <c r="CM300" i="54"/>
  <c r="H300" i="54"/>
  <c r="Q300" i="54"/>
  <c r="Z300" i="54"/>
  <c r="AI300" i="54"/>
  <c r="AR300" i="54"/>
  <c r="BA300" i="54"/>
  <c r="BJ300" i="54"/>
  <c r="BS300" i="54"/>
  <c r="CB300" i="54"/>
  <c r="CN300" i="54"/>
  <c r="I300" i="54"/>
  <c r="R300" i="54"/>
  <c r="AA300" i="54"/>
  <c r="AJ300" i="54"/>
  <c r="AS300" i="54"/>
  <c r="BB300" i="54"/>
  <c r="BK300" i="54"/>
  <c r="BT300" i="54"/>
  <c r="CC300" i="54"/>
  <c r="CO300" i="54"/>
  <c r="J300" i="54"/>
  <c r="S300" i="54"/>
  <c r="AB300" i="54"/>
  <c r="AK300" i="54"/>
  <c r="AT300" i="54"/>
  <c r="BC300" i="54"/>
  <c r="BL300" i="54"/>
  <c r="BU300" i="54"/>
  <c r="CD300" i="54"/>
  <c r="CP300" i="54"/>
  <c r="K300" i="54"/>
  <c r="T300" i="54"/>
  <c r="AC300" i="54"/>
  <c r="AL300" i="54"/>
  <c r="AU300" i="54"/>
  <c r="BD300" i="54"/>
  <c r="BM300" i="54"/>
  <c r="BV300" i="54"/>
  <c r="CE300" i="54"/>
  <c r="CQ300" i="54"/>
  <c r="B162" i="2"/>
  <c r="M301" i="54"/>
  <c r="V301" i="54"/>
  <c r="AE301" i="54"/>
  <c r="AN301" i="54"/>
  <c r="AW301" i="54"/>
  <c r="BF301" i="54"/>
  <c r="BO301" i="54"/>
  <c r="BX301" i="54"/>
  <c r="CJ301" i="54"/>
  <c r="BY301" i="54"/>
  <c r="W301" i="54"/>
  <c r="AF301" i="54"/>
  <c r="AO301" i="54"/>
  <c r="AX301" i="54"/>
  <c r="BG301" i="54"/>
  <c r="BP301" i="54"/>
  <c r="CK301" i="54"/>
  <c r="F301" i="54"/>
  <c r="O301" i="54"/>
  <c r="X301" i="54"/>
  <c r="AG301" i="54"/>
  <c r="AP301" i="54"/>
  <c r="AY301" i="54"/>
  <c r="BH301" i="54"/>
  <c r="BQ301" i="54"/>
  <c r="BZ301" i="54"/>
  <c r="CL301" i="54"/>
  <c r="G301" i="54"/>
  <c r="P301" i="54"/>
  <c r="Y301" i="54"/>
  <c r="AH301" i="54"/>
  <c r="AQ301" i="54"/>
  <c r="AZ301" i="54"/>
  <c r="BI301" i="54"/>
  <c r="BR301" i="54"/>
  <c r="CA301" i="54"/>
  <c r="CM301" i="54"/>
  <c r="H301" i="54"/>
  <c r="Q301" i="54"/>
  <c r="Z301" i="54"/>
  <c r="AI301" i="54"/>
  <c r="AR301" i="54"/>
  <c r="BA301" i="54"/>
  <c r="BJ301" i="54"/>
  <c r="BS301" i="54"/>
  <c r="CB301" i="54"/>
  <c r="CN301" i="54"/>
  <c r="I301" i="54"/>
  <c r="R301" i="54"/>
  <c r="AA301" i="54"/>
  <c r="AJ301" i="54"/>
  <c r="AS301" i="54"/>
  <c r="BB301" i="54"/>
  <c r="BK301" i="54"/>
  <c r="BT301" i="54"/>
  <c r="CC301" i="54"/>
  <c r="CO301" i="54"/>
  <c r="J301" i="54"/>
  <c r="S301" i="54"/>
  <c r="AB301" i="54"/>
  <c r="AK301" i="54"/>
  <c r="AT301" i="54"/>
  <c r="BC301" i="54"/>
  <c r="BL301" i="54"/>
  <c r="BU301" i="54"/>
  <c r="CD301" i="54"/>
  <c r="CP301" i="54"/>
  <c r="K301" i="54"/>
  <c r="T301" i="54"/>
  <c r="AC301" i="54"/>
  <c r="AL301" i="54"/>
  <c r="AU301" i="54"/>
  <c r="BD301" i="54"/>
  <c r="BM301" i="54"/>
  <c r="BV301" i="54"/>
  <c r="CE301" i="54"/>
  <c r="CQ301" i="54"/>
  <c r="B163" i="2"/>
  <c r="M302" i="54"/>
  <c r="V302" i="54"/>
  <c r="AE302" i="54"/>
  <c r="AN302" i="54"/>
  <c r="AW302" i="54"/>
  <c r="BF302" i="54"/>
  <c r="BO302" i="54"/>
  <c r="BX302" i="54"/>
  <c r="CJ302" i="54"/>
  <c r="BY302" i="54"/>
  <c r="W302" i="54"/>
  <c r="AF302" i="54"/>
  <c r="AO302" i="54"/>
  <c r="AX302" i="54"/>
  <c r="BG302" i="54"/>
  <c r="BP302" i="54"/>
  <c r="CK302" i="54"/>
  <c r="F302" i="54"/>
  <c r="O302" i="54"/>
  <c r="X302" i="54"/>
  <c r="AG302" i="54"/>
  <c r="AP302" i="54"/>
  <c r="AY302" i="54"/>
  <c r="BH302" i="54"/>
  <c r="BQ302" i="54"/>
  <c r="BZ302" i="54"/>
  <c r="CL302" i="54"/>
  <c r="G302" i="54"/>
  <c r="P302" i="54"/>
  <c r="Y302" i="54"/>
  <c r="AH302" i="54"/>
  <c r="AQ302" i="54"/>
  <c r="AZ302" i="54"/>
  <c r="BI302" i="54"/>
  <c r="BR302" i="54"/>
  <c r="CA302" i="54"/>
  <c r="CM302" i="54"/>
  <c r="H302" i="54"/>
  <c r="Q302" i="54"/>
  <c r="Z302" i="54"/>
  <c r="AI302" i="54"/>
  <c r="AR302" i="54"/>
  <c r="BA302" i="54"/>
  <c r="BJ302" i="54"/>
  <c r="BS302" i="54"/>
  <c r="CB302" i="54"/>
  <c r="CN302" i="54"/>
  <c r="I302" i="54"/>
  <c r="R302" i="54"/>
  <c r="AA302" i="54"/>
  <c r="AJ302" i="54"/>
  <c r="AS302" i="54"/>
  <c r="BB302" i="54"/>
  <c r="BK302" i="54"/>
  <c r="BT302" i="54"/>
  <c r="CC302" i="54"/>
  <c r="CO302" i="54"/>
  <c r="J302" i="54"/>
  <c r="S302" i="54"/>
  <c r="AB302" i="54"/>
  <c r="AK302" i="54"/>
  <c r="AT302" i="54"/>
  <c r="BC302" i="54"/>
  <c r="BL302" i="54"/>
  <c r="BU302" i="54"/>
  <c r="CD302" i="54"/>
  <c r="CP302" i="54"/>
  <c r="K302" i="54"/>
  <c r="T302" i="54"/>
  <c r="AC302" i="54"/>
  <c r="AL302" i="54"/>
  <c r="AU302" i="54"/>
  <c r="BD302" i="54"/>
  <c r="BM302" i="54"/>
  <c r="BV302" i="54"/>
  <c r="CE302" i="54"/>
  <c r="CQ302" i="54"/>
  <c r="B164" i="2"/>
  <c r="M303" i="54"/>
  <c r="V303" i="54"/>
  <c r="AE303" i="54"/>
  <c r="AN303" i="54"/>
  <c r="AW303" i="54"/>
  <c r="BF303" i="54"/>
  <c r="BO303" i="54"/>
  <c r="BX303" i="54"/>
  <c r="CJ303" i="54"/>
  <c r="BY303" i="54"/>
  <c r="W303" i="54"/>
  <c r="AF303" i="54"/>
  <c r="AO303" i="54"/>
  <c r="AX303" i="54"/>
  <c r="BG303" i="54"/>
  <c r="BP303" i="54"/>
  <c r="CK303" i="54"/>
  <c r="F303" i="54"/>
  <c r="O303" i="54"/>
  <c r="X303" i="54"/>
  <c r="AG303" i="54"/>
  <c r="AP303" i="54"/>
  <c r="AY303" i="54"/>
  <c r="BH303" i="54"/>
  <c r="BQ303" i="54"/>
  <c r="BZ303" i="54"/>
  <c r="CL303" i="54"/>
  <c r="G303" i="54"/>
  <c r="P303" i="54"/>
  <c r="Y303" i="54"/>
  <c r="AH303" i="54"/>
  <c r="AQ303" i="54"/>
  <c r="AZ303" i="54"/>
  <c r="BI303" i="54"/>
  <c r="BR303" i="54"/>
  <c r="CA303" i="54"/>
  <c r="CM303" i="54"/>
  <c r="H303" i="54"/>
  <c r="Q303" i="54"/>
  <c r="Z303" i="54"/>
  <c r="AI303" i="54"/>
  <c r="AR303" i="54"/>
  <c r="BA303" i="54"/>
  <c r="BJ303" i="54"/>
  <c r="BS303" i="54"/>
  <c r="CB303" i="54"/>
  <c r="CN303" i="54"/>
  <c r="I303" i="54"/>
  <c r="R303" i="54"/>
  <c r="AA303" i="54"/>
  <c r="AJ303" i="54"/>
  <c r="AS303" i="54"/>
  <c r="BB303" i="54"/>
  <c r="BK303" i="54"/>
  <c r="BT303" i="54"/>
  <c r="CC303" i="54"/>
  <c r="CO303" i="54"/>
  <c r="J303" i="54"/>
  <c r="S303" i="54"/>
  <c r="AB303" i="54"/>
  <c r="AK303" i="54"/>
  <c r="AT303" i="54"/>
  <c r="BC303" i="54"/>
  <c r="BL303" i="54"/>
  <c r="BU303" i="54"/>
  <c r="CD303" i="54"/>
  <c r="CP303" i="54"/>
  <c r="K303" i="54"/>
  <c r="T303" i="54"/>
  <c r="AC303" i="54"/>
  <c r="AL303" i="54"/>
  <c r="AU303" i="54"/>
  <c r="BD303" i="54"/>
  <c r="BM303" i="54"/>
  <c r="BV303" i="54"/>
  <c r="CE303" i="54"/>
  <c r="CQ303" i="54"/>
  <c r="B165" i="2"/>
  <c r="M304" i="54"/>
  <c r="V304" i="54"/>
  <c r="AE304" i="54"/>
  <c r="AN304" i="54"/>
  <c r="AW304" i="54"/>
  <c r="BF304" i="54"/>
  <c r="BO304" i="54"/>
  <c r="BX304" i="54"/>
  <c r="CJ304" i="54"/>
  <c r="BY304" i="54"/>
  <c r="W304" i="54"/>
  <c r="AF304" i="54"/>
  <c r="AO304" i="54"/>
  <c r="AX304" i="54"/>
  <c r="BG304" i="54"/>
  <c r="BP304" i="54"/>
  <c r="CK304" i="54"/>
  <c r="F304" i="54"/>
  <c r="O304" i="54"/>
  <c r="X304" i="54"/>
  <c r="AG304" i="54"/>
  <c r="AP304" i="54"/>
  <c r="AY304" i="54"/>
  <c r="BH304" i="54"/>
  <c r="BQ304" i="54"/>
  <c r="BZ304" i="54"/>
  <c r="CL304" i="54"/>
  <c r="G304" i="54"/>
  <c r="P304" i="54"/>
  <c r="Y304" i="54"/>
  <c r="AH304" i="54"/>
  <c r="AQ304" i="54"/>
  <c r="AZ304" i="54"/>
  <c r="BI304" i="54"/>
  <c r="BR304" i="54"/>
  <c r="CA304" i="54"/>
  <c r="CM304" i="54"/>
  <c r="H304" i="54"/>
  <c r="Q304" i="54"/>
  <c r="Z304" i="54"/>
  <c r="AI304" i="54"/>
  <c r="AR304" i="54"/>
  <c r="BA304" i="54"/>
  <c r="BJ304" i="54"/>
  <c r="BS304" i="54"/>
  <c r="CB304" i="54"/>
  <c r="CN304" i="54"/>
  <c r="I304" i="54"/>
  <c r="R304" i="54"/>
  <c r="AA304" i="54"/>
  <c r="AJ304" i="54"/>
  <c r="AS304" i="54"/>
  <c r="BB304" i="54"/>
  <c r="BK304" i="54"/>
  <c r="BT304" i="54"/>
  <c r="CC304" i="54"/>
  <c r="CO304" i="54"/>
  <c r="J304" i="54"/>
  <c r="S304" i="54"/>
  <c r="AB304" i="54"/>
  <c r="AK304" i="54"/>
  <c r="AT304" i="54"/>
  <c r="BC304" i="54"/>
  <c r="BL304" i="54"/>
  <c r="BU304" i="54"/>
  <c r="CD304" i="54"/>
  <c r="CP304" i="54"/>
  <c r="K304" i="54"/>
  <c r="T304" i="54"/>
  <c r="AC304" i="54"/>
  <c r="AL304" i="54"/>
  <c r="AU304" i="54"/>
  <c r="BD304" i="54"/>
  <c r="BM304" i="54"/>
  <c r="BV304" i="54"/>
  <c r="CE304" i="54"/>
  <c r="CQ304" i="54"/>
  <c r="B166" i="2"/>
  <c r="M305" i="54"/>
  <c r="V305" i="54"/>
  <c r="AE305" i="54"/>
  <c r="AN305" i="54"/>
  <c r="AW305" i="54"/>
  <c r="BF305" i="54"/>
  <c r="BO305" i="54"/>
  <c r="BX305" i="54"/>
  <c r="CJ305" i="54"/>
  <c r="BY305" i="54"/>
  <c r="W305" i="54"/>
  <c r="AF305" i="54"/>
  <c r="AO305" i="54"/>
  <c r="AX305" i="54"/>
  <c r="BG305" i="54"/>
  <c r="BP305" i="54"/>
  <c r="CK305" i="54"/>
  <c r="F305" i="54"/>
  <c r="O305" i="54"/>
  <c r="X305" i="54"/>
  <c r="AG305" i="54"/>
  <c r="AP305" i="54"/>
  <c r="AY305" i="54"/>
  <c r="BH305" i="54"/>
  <c r="BQ305" i="54"/>
  <c r="BZ305" i="54"/>
  <c r="CL305" i="54"/>
  <c r="G305" i="54"/>
  <c r="P305" i="54"/>
  <c r="Y305" i="54"/>
  <c r="AH305" i="54"/>
  <c r="AQ305" i="54"/>
  <c r="AZ305" i="54"/>
  <c r="BI305" i="54"/>
  <c r="BR305" i="54"/>
  <c r="CA305" i="54"/>
  <c r="CM305" i="54"/>
  <c r="H305" i="54"/>
  <c r="Q305" i="54"/>
  <c r="Z305" i="54"/>
  <c r="AI305" i="54"/>
  <c r="AR305" i="54"/>
  <c r="BA305" i="54"/>
  <c r="BJ305" i="54"/>
  <c r="BS305" i="54"/>
  <c r="CB305" i="54"/>
  <c r="CN305" i="54"/>
  <c r="I305" i="54"/>
  <c r="R305" i="54"/>
  <c r="AA305" i="54"/>
  <c r="AJ305" i="54"/>
  <c r="AS305" i="54"/>
  <c r="BB305" i="54"/>
  <c r="BK305" i="54"/>
  <c r="BT305" i="54"/>
  <c r="CC305" i="54"/>
  <c r="CO305" i="54"/>
  <c r="J305" i="54"/>
  <c r="S305" i="54"/>
  <c r="AB305" i="54"/>
  <c r="AK305" i="54"/>
  <c r="AT305" i="54"/>
  <c r="BC305" i="54"/>
  <c r="BL305" i="54"/>
  <c r="BU305" i="54"/>
  <c r="CD305" i="54"/>
  <c r="CP305" i="54"/>
  <c r="K305" i="54"/>
  <c r="T305" i="54"/>
  <c r="AC305" i="54"/>
  <c r="AL305" i="54"/>
  <c r="AU305" i="54"/>
  <c r="BD305" i="54"/>
  <c r="BM305" i="54"/>
  <c r="BV305" i="54"/>
  <c r="CE305" i="54"/>
  <c r="CQ305" i="54"/>
  <c r="B167" i="2"/>
  <c r="M306" i="54"/>
  <c r="V306" i="54"/>
  <c r="AE306" i="54"/>
  <c r="AN306" i="54"/>
  <c r="AW306" i="54"/>
  <c r="BF306" i="54"/>
  <c r="BO306" i="54"/>
  <c r="BX306" i="54"/>
  <c r="CJ306" i="54"/>
  <c r="BY306" i="54"/>
  <c r="W306" i="54"/>
  <c r="AF306" i="54"/>
  <c r="AO306" i="54"/>
  <c r="AX306" i="54"/>
  <c r="BG306" i="54"/>
  <c r="BP306" i="54"/>
  <c r="CK306" i="54"/>
  <c r="F306" i="54"/>
  <c r="O306" i="54"/>
  <c r="X306" i="54"/>
  <c r="AG306" i="54"/>
  <c r="AP306" i="54"/>
  <c r="AY306" i="54"/>
  <c r="BH306" i="54"/>
  <c r="BQ306" i="54"/>
  <c r="BZ306" i="54"/>
  <c r="CL306" i="54"/>
  <c r="G306" i="54"/>
  <c r="P306" i="54"/>
  <c r="Y306" i="54"/>
  <c r="AH306" i="54"/>
  <c r="AQ306" i="54"/>
  <c r="AZ306" i="54"/>
  <c r="BI306" i="54"/>
  <c r="BR306" i="54"/>
  <c r="CA306" i="54"/>
  <c r="CM306" i="54"/>
  <c r="H306" i="54"/>
  <c r="Q306" i="54"/>
  <c r="Z306" i="54"/>
  <c r="AI306" i="54"/>
  <c r="AR306" i="54"/>
  <c r="BA306" i="54"/>
  <c r="BJ306" i="54"/>
  <c r="BS306" i="54"/>
  <c r="CB306" i="54"/>
  <c r="CN306" i="54"/>
  <c r="I306" i="54"/>
  <c r="R306" i="54"/>
  <c r="AA306" i="54"/>
  <c r="AJ306" i="54"/>
  <c r="AS306" i="54"/>
  <c r="BB306" i="54"/>
  <c r="BK306" i="54"/>
  <c r="BT306" i="54"/>
  <c r="CC306" i="54"/>
  <c r="CO306" i="54"/>
  <c r="J306" i="54"/>
  <c r="S306" i="54"/>
  <c r="AB306" i="54"/>
  <c r="AK306" i="54"/>
  <c r="AT306" i="54"/>
  <c r="BC306" i="54"/>
  <c r="BL306" i="54"/>
  <c r="BU306" i="54"/>
  <c r="CD306" i="54"/>
  <c r="CP306" i="54"/>
  <c r="K306" i="54"/>
  <c r="T306" i="54"/>
  <c r="AC306" i="54"/>
  <c r="AL306" i="54"/>
  <c r="AU306" i="54"/>
  <c r="BD306" i="54"/>
  <c r="BM306" i="54"/>
  <c r="BV306" i="54"/>
  <c r="CE306" i="54"/>
  <c r="CQ306" i="54"/>
  <c r="B168" i="2"/>
  <c r="M307" i="54"/>
  <c r="V307" i="54"/>
  <c r="AE307" i="54"/>
  <c r="AN307" i="54"/>
  <c r="AW307" i="54"/>
  <c r="BF307" i="54"/>
  <c r="BO307" i="54"/>
  <c r="BX307" i="54"/>
  <c r="CJ307" i="54"/>
  <c r="BY307" i="54"/>
  <c r="W307" i="54"/>
  <c r="AF307" i="54"/>
  <c r="AO307" i="54"/>
  <c r="AX307" i="54"/>
  <c r="BG307" i="54"/>
  <c r="BP307" i="54"/>
  <c r="CK307" i="54"/>
  <c r="F307" i="54"/>
  <c r="O307" i="54"/>
  <c r="X307" i="54"/>
  <c r="AG307" i="54"/>
  <c r="AP307" i="54"/>
  <c r="AY307" i="54"/>
  <c r="BH307" i="54"/>
  <c r="BQ307" i="54"/>
  <c r="BZ307" i="54"/>
  <c r="CL307" i="54"/>
  <c r="G307" i="54"/>
  <c r="P307" i="54"/>
  <c r="Y307" i="54"/>
  <c r="AH307" i="54"/>
  <c r="AQ307" i="54"/>
  <c r="AZ307" i="54"/>
  <c r="BI307" i="54"/>
  <c r="BR307" i="54"/>
  <c r="CA307" i="54"/>
  <c r="CM307" i="54"/>
  <c r="H307" i="54"/>
  <c r="Q307" i="54"/>
  <c r="Z307" i="54"/>
  <c r="AI307" i="54"/>
  <c r="AR307" i="54"/>
  <c r="BA307" i="54"/>
  <c r="BJ307" i="54"/>
  <c r="BS307" i="54"/>
  <c r="CB307" i="54"/>
  <c r="CN307" i="54"/>
  <c r="I307" i="54"/>
  <c r="R307" i="54"/>
  <c r="AA307" i="54"/>
  <c r="AJ307" i="54"/>
  <c r="AS307" i="54"/>
  <c r="BB307" i="54"/>
  <c r="BK307" i="54"/>
  <c r="BT307" i="54"/>
  <c r="CC307" i="54"/>
  <c r="CO307" i="54"/>
  <c r="J307" i="54"/>
  <c r="S307" i="54"/>
  <c r="AB307" i="54"/>
  <c r="AK307" i="54"/>
  <c r="AT307" i="54"/>
  <c r="BC307" i="54"/>
  <c r="BL307" i="54"/>
  <c r="BU307" i="54"/>
  <c r="CD307" i="54"/>
  <c r="CP307" i="54"/>
  <c r="K307" i="54"/>
  <c r="T307" i="54"/>
  <c r="AC307" i="54"/>
  <c r="AL307" i="54"/>
  <c r="AU307" i="54"/>
  <c r="BD307" i="54"/>
  <c r="BM307" i="54"/>
  <c r="BV307" i="54"/>
  <c r="CE307" i="54"/>
  <c r="CQ307" i="54"/>
  <c r="B169" i="2"/>
  <c r="M308" i="54"/>
  <c r="V308" i="54"/>
  <c r="AE308" i="54"/>
  <c r="AN308" i="54"/>
  <c r="AW308" i="54"/>
  <c r="BF308" i="54"/>
  <c r="BO308" i="54"/>
  <c r="BX308" i="54"/>
  <c r="CJ308" i="54"/>
  <c r="BY308" i="54"/>
  <c r="W308" i="54"/>
  <c r="AF308" i="54"/>
  <c r="AO308" i="54"/>
  <c r="AX308" i="54"/>
  <c r="BG308" i="54"/>
  <c r="BP308" i="54"/>
  <c r="CK308" i="54"/>
  <c r="F308" i="54"/>
  <c r="O308" i="54"/>
  <c r="X308" i="54"/>
  <c r="AG308" i="54"/>
  <c r="AP308" i="54"/>
  <c r="AY308" i="54"/>
  <c r="BH308" i="54"/>
  <c r="BQ308" i="54"/>
  <c r="BZ308" i="54"/>
  <c r="CL308" i="54"/>
  <c r="G308" i="54"/>
  <c r="P308" i="54"/>
  <c r="Y308" i="54"/>
  <c r="AH308" i="54"/>
  <c r="AQ308" i="54"/>
  <c r="AZ308" i="54"/>
  <c r="BI308" i="54"/>
  <c r="BR308" i="54"/>
  <c r="CA308" i="54"/>
  <c r="CM308" i="54"/>
  <c r="H308" i="54"/>
  <c r="Q308" i="54"/>
  <c r="Z308" i="54"/>
  <c r="AI308" i="54"/>
  <c r="AR308" i="54"/>
  <c r="BA308" i="54"/>
  <c r="BJ308" i="54"/>
  <c r="BS308" i="54"/>
  <c r="CB308" i="54"/>
  <c r="CN308" i="54"/>
  <c r="I308" i="54"/>
  <c r="R308" i="54"/>
  <c r="AA308" i="54"/>
  <c r="AJ308" i="54"/>
  <c r="AS308" i="54"/>
  <c r="BB308" i="54"/>
  <c r="BK308" i="54"/>
  <c r="BT308" i="54"/>
  <c r="CC308" i="54"/>
  <c r="CO308" i="54"/>
  <c r="J308" i="54"/>
  <c r="S308" i="54"/>
  <c r="AB308" i="54"/>
  <c r="AK308" i="54"/>
  <c r="AT308" i="54"/>
  <c r="BC308" i="54"/>
  <c r="BL308" i="54"/>
  <c r="BU308" i="54"/>
  <c r="CD308" i="54"/>
  <c r="CP308" i="54"/>
  <c r="K308" i="54"/>
  <c r="T308" i="54"/>
  <c r="AC308" i="54"/>
  <c r="AL308" i="54"/>
  <c r="AU308" i="54"/>
  <c r="BD308" i="54"/>
  <c r="BM308" i="54"/>
  <c r="BV308" i="54"/>
  <c r="CE308" i="54"/>
  <c r="CQ308" i="54"/>
  <c r="B170" i="2"/>
  <c r="M309" i="54"/>
  <c r="V309" i="54"/>
  <c r="AE309" i="54"/>
  <c r="AN309" i="54"/>
  <c r="AW309" i="54"/>
  <c r="BF309" i="54"/>
  <c r="BO309" i="54"/>
  <c r="BX309" i="54"/>
  <c r="CJ309" i="54"/>
  <c r="BY309" i="54"/>
  <c r="W309" i="54"/>
  <c r="AF309" i="54"/>
  <c r="AO309" i="54"/>
  <c r="AX309" i="54"/>
  <c r="BG309" i="54"/>
  <c r="BP309" i="54"/>
  <c r="CK309" i="54"/>
  <c r="F309" i="54"/>
  <c r="O309" i="54"/>
  <c r="X309" i="54"/>
  <c r="AG309" i="54"/>
  <c r="AP309" i="54"/>
  <c r="AY309" i="54"/>
  <c r="BH309" i="54"/>
  <c r="BQ309" i="54"/>
  <c r="BZ309" i="54"/>
  <c r="CL309" i="54"/>
  <c r="G309" i="54"/>
  <c r="P309" i="54"/>
  <c r="Y309" i="54"/>
  <c r="AH309" i="54"/>
  <c r="AQ309" i="54"/>
  <c r="AZ309" i="54"/>
  <c r="BI309" i="54"/>
  <c r="BR309" i="54"/>
  <c r="CA309" i="54"/>
  <c r="CM309" i="54"/>
  <c r="H309" i="54"/>
  <c r="Q309" i="54"/>
  <c r="Z309" i="54"/>
  <c r="AI309" i="54"/>
  <c r="AR309" i="54"/>
  <c r="BA309" i="54"/>
  <c r="BJ309" i="54"/>
  <c r="BS309" i="54"/>
  <c r="CB309" i="54"/>
  <c r="CN309" i="54"/>
  <c r="I309" i="54"/>
  <c r="R309" i="54"/>
  <c r="AA309" i="54"/>
  <c r="AJ309" i="54"/>
  <c r="AS309" i="54"/>
  <c r="BB309" i="54"/>
  <c r="BK309" i="54"/>
  <c r="BT309" i="54"/>
  <c r="CC309" i="54"/>
  <c r="CO309" i="54"/>
  <c r="J309" i="54"/>
  <c r="S309" i="54"/>
  <c r="AB309" i="54"/>
  <c r="AK309" i="54"/>
  <c r="AT309" i="54"/>
  <c r="BC309" i="54"/>
  <c r="BL309" i="54"/>
  <c r="BU309" i="54"/>
  <c r="CD309" i="54"/>
  <c r="CP309" i="54"/>
  <c r="K309" i="54"/>
  <c r="T309" i="54"/>
  <c r="AC309" i="54"/>
  <c r="AL309" i="54"/>
  <c r="AU309" i="54"/>
  <c r="BD309" i="54"/>
  <c r="BM309" i="54"/>
  <c r="BV309" i="54"/>
  <c r="CE309" i="54"/>
  <c r="CQ309" i="54"/>
  <c r="B171" i="2"/>
  <c r="M310" i="54"/>
  <c r="V310" i="54"/>
  <c r="AE310" i="54"/>
  <c r="AN310" i="54"/>
  <c r="AW310" i="54"/>
  <c r="BF310" i="54"/>
  <c r="BO310" i="54"/>
  <c r="BX310" i="54"/>
  <c r="CJ310" i="54"/>
  <c r="BY310" i="54"/>
  <c r="W310" i="54"/>
  <c r="AF310" i="54"/>
  <c r="AO310" i="54"/>
  <c r="AX310" i="54"/>
  <c r="BG310" i="54"/>
  <c r="BP310" i="54"/>
  <c r="CK310" i="54"/>
  <c r="F310" i="54"/>
  <c r="O310" i="54"/>
  <c r="X310" i="54"/>
  <c r="AG310" i="54"/>
  <c r="AP310" i="54"/>
  <c r="AY310" i="54"/>
  <c r="BH310" i="54"/>
  <c r="BQ310" i="54"/>
  <c r="BZ310" i="54"/>
  <c r="CL310" i="54"/>
  <c r="G310" i="54"/>
  <c r="P310" i="54"/>
  <c r="Y310" i="54"/>
  <c r="AH310" i="54"/>
  <c r="AQ310" i="54"/>
  <c r="AZ310" i="54"/>
  <c r="BI310" i="54"/>
  <c r="BR310" i="54"/>
  <c r="CA310" i="54"/>
  <c r="CM310" i="54"/>
  <c r="H310" i="54"/>
  <c r="Q310" i="54"/>
  <c r="Z310" i="54"/>
  <c r="AI310" i="54"/>
  <c r="AR310" i="54"/>
  <c r="BA310" i="54"/>
  <c r="BJ310" i="54"/>
  <c r="BS310" i="54"/>
  <c r="CB310" i="54"/>
  <c r="CN310" i="54"/>
  <c r="I310" i="54"/>
  <c r="R310" i="54"/>
  <c r="AA310" i="54"/>
  <c r="AJ310" i="54"/>
  <c r="AS310" i="54"/>
  <c r="BB310" i="54"/>
  <c r="BK310" i="54"/>
  <c r="BT310" i="54"/>
  <c r="CC310" i="54"/>
  <c r="CO310" i="54"/>
  <c r="J310" i="54"/>
  <c r="S310" i="54"/>
  <c r="AB310" i="54"/>
  <c r="AK310" i="54"/>
  <c r="AT310" i="54"/>
  <c r="BC310" i="54"/>
  <c r="BL310" i="54"/>
  <c r="BU310" i="54"/>
  <c r="CD310" i="54"/>
  <c r="CP310" i="54"/>
  <c r="K310" i="54"/>
  <c r="T310" i="54"/>
  <c r="AC310" i="54"/>
  <c r="AL310" i="54"/>
  <c r="AU310" i="54"/>
  <c r="BD310" i="54"/>
  <c r="BM310" i="54"/>
  <c r="BV310" i="54"/>
  <c r="CE310" i="54"/>
  <c r="CQ310" i="54"/>
  <c r="B172" i="2"/>
  <c r="M311" i="54"/>
  <c r="V311" i="54"/>
  <c r="AE311" i="54"/>
  <c r="AN311" i="54"/>
  <c r="AW311" i="54"/>
  <c r="BF311" i="54"/>
  <c r="BO311" i="54"/>
  <c r="BX311" i="54"/>
  <c r="CJ311" i="54"/>
  <c r="BY311" i="54"/>
  <c r="W311" i="54"/>
  <c r="AF311" i="54"/>
  <c r="AO311" i="54"/>
  <c r="AX311" i="54"/>
  <c r="BG311" i="54"/>
  <c r="BP311" i="54"/>
  <c r="CK311" i="54"/>
  <c r="F311" i="54"/>
  <c r="O311" i="54"/>
  <c r="X311" i="54"/>
  <c r="AG311" i="54"/>
  <c r="AP311" i="54"/>
  <c r="AY311" i="54"/>
  <c r="BH311" i="54"/>
  <c r="BQ311" i="54"/>
  <c r="BZ311" i="54"/>
  <c r="CL311" i="54"/>
  <c r="G311" i="54"/>
  <c r="P311" i="54"/>
  <c r="Y311" i="54"/>
  <c r="AH311" i="54"/>
  <c r="AQ311" i="54"/>
  <c r="AZ311" i="54"/>
  <c r="BI311" i="54"/>
  <c r="BR311" i="54"/>
  <c r="CA311" i="54"/>
  <c r="CM311" i="54"/>
  <c r="H311" i="54"/>
  <c r="Q311" i="54"/>
  <c r="Z311" i="54"/>
  <c r="AI311" i="54"/>
  <c r="AR311" i="54"/>
  <c r="BA311" i="54"/>
  <c r="BJ311" i="54"/>
  <c r="BS311" i="54"/>
  <c r="CB311" i="54"/>
  <c r="CN311" i="54"/>
  <c r="I311" i="54"/>
  <c r="R311" i="54"/>
  <c r="AA311" i="54"/>
  <c r="AJ311" i="54"/>
  <c r="AS311" i="54"/>
  <c r="BB311" i="54"/>
  <c r="BK311" i="54"/>
  <c r="BT311" i="54"/>
  <c r="CC311" i="54"/>
  <c r="CO311" i="54"/>
  <c r="J311" i="54"/>
  <c r="S311" i="54"/>
  <c r="AB311" i="54"/>
  <c r="AK311" i="54"/>
  <c r="AT311" i="54"/>
  <c r="BC311" i="54"/>
  <c r="BL311" i="54"/>
  <c r="BU311" i="54"/>
  <c r="CD311" i="54"/>
  <c r="CP311" i="54"/>
  <c r="K311" i="54"/>
  <c r="T311" i="54"/>
  <c r="AC311" i="54"/>
  <c r="AL311" i="54"/>
  <c r="AU311" i="54"/>
  <c r="BD311" i="54"/>
  <c r="BM311" i="54"/>
  <c r="BV311" i="54"/>
  <c r="CE311" i="54"/>
  <c r="CQ311" i="54"/>
  <c r="B173" i="2"/>
  <c r="M312" i="54"/>
  <c r="V312" i="54"/>
  <c r="AE312" i="54"/>
  <c r="AN312" i="54"/>
  <c r="AW312" i="54"/>
  <c r="BF312" i="54"/>
  <c r="BO312" i="54"/>
  <c r="BX312" i="54"/>
  <c r="CJ312" i="54"/>
  <c r="BY312" i="54"/>
  <c r="W312" i="54"/>
  <c r="AF312" i="54"/>
  <c r="AO312" i="54"/>
  <c r="AX312" i="54"/>
  <c r="BG312" i="54"/>
  <c r="BP312" i="54"/>
  <c r="CK312" i="54"/>
  <c r="F312" i="54"/>
  <c r="O312" i="54"/>
  <c r="X312" i="54"/>
  <c r="AG312" i="54"/>
  <c r="AP312" i="54"/>
  <c r="AY312" i="54"/>
  <c r="BH312" i="54"/>
  <c r="BQ312" i="54"/>
  <c r="BZ312" i="54"/>
  <c r="CL312" i="54"/>
  <c r="G312" i="54"/>
  <c r="P312" i="54"/>
  <c r="Y312" i="54"/>
  <c r="AH312" i="54"/>
  <c r="AQ312" i="54"/>
  <c r="AZ312" i="54"/>
  <c r="BI312" i="54"/>
  <c r="BR312" i="54"/>
  <c r="CA312" i="54"/>
  <c r="CM312" i="54"/>
  <c r="H312" i="54"/>
  <c r="Q312" i="54"/>
  <c r="Z312" i="54"/>
  <c r="AI312" i="54"/>
  <c r="AR312" i="54"/>
  <c r="BA312" i="54"/>
  <c r="BJ312" i="54"/>
  <c r="BS312" i="54"/>
  <c r="CB312" i="54"/>
  <c r="CN312" i="54"/>
  <c r="I312" i="54"/>
  <c r="R312" i="54"/>
  <c r="AA312" i="54"/>
  <c r="AJ312" i="54"/>
  <c r="AS312" i="54"/>
  <c r="BB312" i="54"/>
  <c r="BK312" i="54"/>
  <c r="BT312" i="54"/>
  <c r="CC312" i="54"/>
  <c r="CO312" i="54"/>
  <c r="J312" i="54"/>
  <c r="S312" i="54"/>
  <c r="AB312" i="54"/>
  <c r="AK312" i="54"/>
  <c r="AT312" i="54"/>
  <c r="BC312" i="54"/>
  <c r="BL312" i="54"/>
  <c r="BU312" i="54"/>
  <c r="CD312" i="54"/>
  <c r="CP312" i="54"/>
  <c r="K312" i="54"/>
  <c r="T312" i="54"/>
  <c r="AC312" i="54"/>
  <c r="AL312" i="54"/>
  <c r="AU312" i="54"/>
  <c r="BD312" i="54"/>
  <c r="BM312" i="54"/>
  <c r="BV312" i="54"/>
  <c r="CE312" i="54"/>
  <c r="CQ312" i="54"/>
  <c r="B174" i="2"/>
  <c r="M313" i="54"/>
  <c r="V313" i="54"/>
  <c r="AE313" i="54"/>
  <c r="AN313" i="54"/>
  <c r="AW313" i="54"/>
  <c r="BF313" i="54"/>
  <c r="BO313" i="54"/>
  <c r="BX313" i="54"/>
  <c r="CJ313" i="54"/>
  <c r="BY313" i="54"/>
  <c r="W313" i="54"/>
  <c r="AF313" i="54"/>
  <c r="AO313" i="54"/>
  <c r="AX313" i="54"/>
  <c r="BG313" i="54"/>
  <c r="BP313" i="54"/>
  <c r="CK313" i="54"/>
  <c r="F313" i="54"/>
  <c r="O313" i="54"/>
  <c r="X313" i="54"/>
  <c r="AG313" i="54"/>
  <c r="AP313" i="54"/>
  <c r="AY313" i="54"/>
  <c r="BH313" i="54"/>
  <c r="BQ313" i="54"/>
  <c r="BZ313" i="54"/>
  <c r="CL313" i="54"/>
  <c r="G313" i="54"/>
  <c r="P313" i="54"/>
  <c r="Y313" i="54"/>
  <c r="AH313" i="54"/>
  <c r="AQ313" i="54"/>
  <c r="AZ313" i="54"/>
  <c r="BI313" i="54"/>
  <c r="BR313" i="54"/>
  <c r="CA313" i="54"/>
  <c r="CM313" i="54"/>
  <c r="H313" i="54"/>
  <c r="Q313" i="54"/>
  <c r="Z313" i="54"/>
  <c r="AI313" i="54"/>
  <c r="AR313" i="54"/>
  <c r="BA313" i="54"/>
  <c r="BJ313" i="54"/>
  <c r="BS313" i="54"/>
  <c r="CB313" i="54"/>
  <c r="CN313" i="54"/>
  <c r="I313" i="54"/>
  <c r="R313" i="54"/>
  <c r="AA313" i="54"/>
  <c r="AJ313" i="54"/>
  <c r="AS313" i="54"/>
  <c r="BB313" i="54"/>
  <c r="BK313" i="54"/>
  <c r="BT313" i="54"/>
  <c r="CC313" i="54"/>
  <c r="CO313" i="54"/>
  <c r="J313" i="54"/>
  <c r="S313" i="54"/>
  <c r="AB313" i="54"/>
  <c r="AK313" i="54"/>
  <c r="AT313" i="54"/>
  <c r="BC313" i="54"/>
  <c r="BL313" i="54"/>
  <c r="BU313" i="54"/>
  <c r="CD313" i="54"/>
  <c r="CP313" i="54"/>
  <c r="K313" i="54"/>
  <c r="T313" i="54"/>
  <c r="AC313" i="54"/>
  <c r="AL313" i="54"/>
  <c r="AU313" i="54"/>
  <c r="BD313" i="54"/>
  <c r="BM313" i="54"/>
  <c r="BV313" i="54"/>
  <c r="CE313" i="54"/>
  <c r="CQ313" i="54"/>
  <c r="B175" i="2"/>
  <c r="M314" i="54"/>
  <c r="V314" i="54"/>
  <c r="AE314" i="54"/>
  <c r="AN314" i="54"/>
  <c r="AW314" i="54"/>
  <c r="BF314" i="54"/>
  <c r="BO314" i="54"/>
  <c r="BX314" i="54"/>
  <c r="CJ314" i="54"/>
  <c r="BY314" i="54"/>
  <c r="W314" i="54"/>
  <c r="AF314" i="54"/>
  <c r="AO314" i="54"/>
  <c r="AX314" i="54"/>
  <c r="BG314" i="54"/>
  <c r="BP314" i="54"/>
  <c r="CK314" i="54"/>
  <c r="F314" i="54"/>
  <c r="O314" i="54"/>
  <c r="X314" i="54"/>
  <c r="AG314" i="54"/>
  <c r="AP314" i="54"/>
  <c r="AY314" i="54"/>
  <c r="BH314" i="54"/>
  <c r="BQ314" i="54"/>
  <c r="BZ314" i="54"/>
  <c r="CL314" i="54"/>
  <c r="G314" i="54"/>
  <c r="P314" i="54"/>
  <c r="Y314" i="54"/>
  <c r="AH314" i="54"/>
  <c r="AQ314" i="54"/>
  <c r="AZ314" i="54"/>
  <c r="BI314" i="54"/>
  <c r="BR314" i="54"/>
  <c r="CA314" i="54"/>
  <c r="CM314" i="54"/>
  <c r="H314" i="54"/>
  <c r="Q314" i="54"/>
  <c r="Z314" i="54"/>
  <c r="AI314" i="54"/>
  <c r="AR314" i="54"/>
  <c r="BA314" i="54"/>
  <c r="BJ314" i="54"/>
  <c r="BS314" i="54"/>
  <c r="CB314" i="54"/>
  <c r="CN314" i="54"/>
  <c r="I314" i="54"/>
  <c r="R314" i="54"/>
  <c r="AA314" i="54"/>
  <c r="AJ314" i="54"/>
  <c r="AS314" i="54"/>
  <c r="BB314" i="54"/>
  <c r="BK314" i="54"/>
  <c r="BT314" i="54"/>
  <c r="CC314" i="54"/>
  <c r="CO314" i="54"/>
  <c r="J314" i="54"/>
  <c r="S314" i="54"/>
  <c r="AB314" i="54"/>
  <c r="AK314" i="54"/>
  <c r="AT314" i="54"/>
  <c r="BC314" i="54"/>
  <c r="BL314" i="54"/>
  <c r="BU314" i="54"/>
  <c r="CD314" i="54"/>
  <c r="CP314" i="54"/>
  <c r="K314" i="54"/>
  <c r="T314" i="54"/>
  <c r="AC314" i="54"/>
  <c r="AL314" i="54"/>
  <c r="AU314" i="54"/>
  <c r="BD314" i="54"/>
  <c r="BM314" i="54"/>
  <c r="BV314" i="54"/>
  <c r="CE314" i="54"/>
  <c r="CQ314" i="54"/>
  <c r="B176" i="2"/>
  <c r="M315" i="54"/>
  <c r="V315" i="54"/>
  <c r="AE315" i="54"/>
  <c r="AN315" i="54"/>
  <c r="AW315" i="54"/>
  <c r="BF315" i="54"/>
  <c r="BO315" i="54"/>
  <c r="BX315" i="54"/>
  <c r="CJ315" i="54"/>
  <c r="BY315" i="54"/>
  <c r="W315" i="54"/>
  <c r="AF315" i="54"/>
  <c r="AO315" i="54"/>
  <c r="AX315" i="54"/>
  <c r="BG315" i="54"/>
  <c r="BP315" i="54"/>
  <c r="CK315" i="54"/>
  <c r="F315" i="54"/>
  <c r="O315" i="54"/>
  <c r="X315" i="54"/>
  <c r="AG315" i="54"/>
  <c r="AP315" i="54"/>
  <c r="AY315" i="54"/>
  <c r="BH315" i="54"/>
  <c r="BQ315" i="54"/>
  <c r="BZ315" i="54"/>
  <c r="CL315" i="54"/>
  <c r="G315" i="54"/>
  <c r="P315" i="54"/>
  <c r="Y315" i="54"/>
  <c r="AH315" i="54"/>
  <c r="AQ315" i="54"/>
  <c r="AZ315" i="54"/>
  <c r="BI315" i="54"/>
  <c r="BR315" i="54"/>
  <c r="CA315" i="54"/>
  <c r="CM315" i="54"/>
  <c r="H315" i="54"/>
  <c r="Q315" i="54"/>
  <c r="Z315" i="54"/>
  <c r="AI315" i="54"/>
  <c r="AR315" i="54"/>
  <c r="BA315" i="54"/>
  <c r="BJ315" i="54"/>
  <c r="BS315" i="54"/>
  <c r="CB315" i="54"/>
  <c r="CN315" i="54"/>
  <c r="I315" i="54"/>
  <c r="R315" i="54"/>
  <c r="AA315" i="54"/>
  <c r="AJ315" i="54"/>
  <c r="AS315" i="54"/>
  <c r="BB315" i="54"/>
  <c r="BK315" i="54"/>
  <c r="BT315" i="54"/>
  <c r="CC315" i="54"/>
  <c r="CO315" i="54"/>
  <c r="J315" i="54"/>
  <c r="S315" i="54"/>
  <c r="AB315" i="54"/>
  <c r="AK315" i="54"/>
  <c r="AT315" i="54"/>
  <c r="BC315" i="54"/>
  <c r="BL315" i="54"/>
  <c r="BU315" i="54"/>
  <c r="CD315" i="54"/>
  <c r="CP315" i="54"/>
  <c r="K315" i="54"/>
  <c r="T315" i="54"/>
  <c r="AC315" i="54"/>
  <c r="AL315" i="54"/>
  <c r="AU315" i="54"/>
  <c r="BD315" i="54"/>
  <c r="BM315" i="54"/>
  <c r="BV315" i="54"/>
  <c r="CE315" i="54"/>
  <c r="CQ315" i="54"/>
  <c r="B177" i="2"/>
  <c r="M316" i="54"/>
  <c r="V316" i="54"/>
  <c r="AE316" i="54"/>
  <c r="AN316" i="54"/>
  <c r="AW316" i="54"/>
  <c r="BF316" i="54"/>
  <c r="BO316" i="54"/>
  <c r="BX316" i="54"/>
  <c r="CJ316" i="54"/>
  <c r="BY316" i="54"/>
  <c r="W316" i="54"/>
  <c r="AF316" i="54"/>
  <c r="AO316" i="54"/>
  <c r="AX316" i="54"/>
  <c r="BG316" i="54"/>
  <c r="BP316" i="54"/>
  <c r="CK316" i="54"/>
  <c r="F316" i="54"/>
  <c r="O316" i="54"/>
  <c r="X316" i="54"/>
  <c r="AG316" i="54"/>
  <c r="AP316" i="54"/>
  <c r="AY316" i="54"/>
  <c r="BH316" i="54"/>
  <c r="BQ316" i="54"/>
  <c r="BZ316" i="54"/>
  <c r="CL316" i="54"/>
  <c r="G316" i="54"/>
  <c r="P316" i="54"/>
  <c r="Y316" i="54"/>
  <c r="AH316" i="54"/>
  <c r="AQ316" i="54"/>
  <c r="AZ316" i="54"/>
  <c r="BI316" i="54"/>
  <c r="BR316" i="54"/>
  <c r="CA316" i="54"/>
  <c r="CM316" i="54"/>
  <c r="H316" i="54"/>
  <c r="Q316" i="54"/>
  <c r="Z316" i="54"/>
  <c r="AI316" i="54"/>
  <c r="AR316" i="54"/>
  <c r="BA316" i="54"/>
  <c r="BJ316" i="54"/>
  <c r="BS316" i="54"/>
  <c r="CB316" i="54"/>
  <c r="CN316" i="54"/>
  <c r="I316" i="54"/>
  <c r="R316" i="54"/>
  <c r="AA316" i="54"/>
  <c r="AJ316" i="54"/>
  <c r="AS316" i="54"/>
  <c r="BB316" i="54"/>
  <c r="BK316" i="54"/>
  <c r="BT316" i="54"/>
  <c r="CC316" i="54"/>
  <c r="CO316" i="54"/>
  <c r="J316" i="54"/>
  <c r="S316" i="54"/>
  <c r="AB316" i="54"/>
  <c r="AK316" i="54"/>
  <c r="AT316" i="54"/>
  <c r="BC316" i="54"/>
  <c r="BL316" i="54"/>
  <c r="BU316" i="54"/>
  <c r="CD316" i="54"/>
  <c r="CP316" i="54"/>
  <c r="K316" i="54"/>
  <c r="T316" i="54"/>
  <c r="AC316" i="54"/>
  <c r="AL316" i="54"/>
  <c r="AU316" i="54"/>
  <c r="BD316" i="54"/>
  <c r="BM316" i="54"/>
  <c r="BV316" i="54"/>
  <c r="CE316" i="54"/>
  <c r="CQ316" i="54"/>
  <c r="B178" i="2"/>
  <c r="M317" i="54"/>
  <c r="V317" i="54"/>
  <c r="AE317" i="54"/>
  <c r="AN317" i="54"/>
  <c r="AW317" i="54"/>
  <c r="BF317" i="54"/>
  <c r="BO317" i="54"/>
  <c r="BX317" i="54"/>
  <c r="CJ317" i="54"/>
  <c r="BY317" i="54"/>
  <c r="W317" i="54"/>
  <c r="AF317" i="54"/>
  <c r="AO317" i="54"/>
  <c r="AX317" i="54"/>
  <c r="BG317" i="54"/>
  <c r="BP317" i="54"/>
  <c r="CK317" i="54"/>
  <c r="F317" i="54"/>
  <c r="O317" i="54"/>
  <c r="X317" i="54"/>
  <c r="AG317" i="54"/>
  <c r="AP317" i="54"/>
  <c r="AY317" i="54"/>
  <c r="BH317" i="54"/>
  <c r="BQ317" i="54"/>
  <c r="BZ317" i="54"/>
  <c r="CL317" i="54"/>
  <c r="G317" i="54"/>
  <c r="P317" i="54"/>
  <c r="Y317" i="54"/>
  <c r="AH317" i="54"/>
  <c r="AQ317" i="54"/>
  <c r="AZ317" i="54"/>
  <c r="BI317" i="54"/>
  <c r="BR317" i="54"/>
  <c r="CA317" i="54"/>
  <c r="CM317" i="54"/>
  <c r="H317" i="54"/>
  <c r="Q317" i="54"/>
  <c r="Z317" i="54"/>
  <c r="AI317" i="54"/>
  <c r="AR317" i="54"/>
  <c r="BA317" i="54"/>
  <c r="BJ317" i="54"/>
  <c r="BS317" i="54"/>
  <c r="CB317" i="54"/>
  <c r="CN317" i="54"/>
  <c r="I317" i="54"/>
  <c r="R317" i="54"/>
  <c r="AA317" i="54"/>
  <c r="AJ317" i="54"/>
  <c r="AS317" i="54"/>
  <c r="BB317" i="54"/>
  <c r="BK317" i="54"/>
  <c r="BT317" i="54"/>
  <c r="CC317" i="54"/>
  <c r="CO317" i="54"/>
  <c r="J317" i="54"/>
  <c r="S317" i="54"/>
  <c r="AB317" i="54"/>
  <c r="AK317" i="54"/>
  <c r="AT317" i="54"/>
  <c r="BC317" i="54"/>
  <c r="BL317" i="54"/>
  <c r="BU317" i="54"/>
  <c r="CD317" i="54"/>
  <c r="CP317" i="54"/>
  <c r="K317" i="54"/>
  <c r="T317" i="54"/>
  <c r="AC317" i="54"/>
  <c r="AL317" i="54"/>
  <c r="AU317" i="54"/>
  <c r="BD317" i="54"/>
  <c r="BM317" i="54"/>
  <c r="BV317" i="54"/>
  <c r="CE317" i="54"/>
  <c r="CQ317" i="54"/>
  <c r="B179" i="2"/>
  <c r="M318" i="54"/>
  <c r="V318" i="54"/>
  <c r="AE318" i="54"/>
  <c r="AN318" i="54"/>
  <c r="AW318" i="54"/>
  <c r="BF318" i="54"/>
  <c r="BO318" i="54"/>
  <c r="BX318" i="54"/>
  <c r="CJ318" i="54"/>
  <c r="F318" i="54"/>
  <c r="O318" i="54"/>
  <c r="X318" i="54"/>
  <c r="AG318" i="54"/>
  <c r="AP318" i="54"/>
  <c r="AY318" i="54"/>
  <c r="BH318" i="54"/>
  <c r="BQ318" i="54"/>
  <c r="BZ318" i="54"/>
  <c r="CL318" i="54"/>
  <c r="G318" i="54"/>
  <c r="P318" i="54"/>
  <c r="Y318" i="54"/>
  <c r="AH318" i="54"/>
  <c r="AQ318" i="54"/>
  <c r="AZ318" i="54"/>
  <c r="BI318" i="54"/>
  <c r="BR318" i="54"/>
  <c r="CA318" i="54"/>
  <c r="CM318" i="54"/>
  <c r="H318" i="54"/>
  <c r="Q318" i="54"/>
  <c r="Z318" i="54"/>
  <c r="AI318" i="54"/>
  <c r="AR318" i="54"/>
  <c r="BA318" i="54"/>
  <c r="BJ318" i="54"/>
  <c r="BS318" i="54"/>
  <c r="CB318" i="54"/>
  <c r="CN318" i="54"/>
  <c r="I318" i="54"/>
  <c r="R318" i="54"/>
  <c r="AA318" i="54"/>
  <c r="AJ318" i="54"/>
  <c r="AS318" i="54"/>
  <c r="BB318" i="54"/>
  <c r="BK318" i="54"/>
  <c r="BT318" i="54"/>
  <c r="CC318" i="54"/>
  <c r="CO318" i="54"/>
  <c r="J318" i="54"/>
  <c r="S318" i="54"/>
  <c r="AB318" i="54"/>
  <c r="AK318" i="54"/>
  <c r="AT318" i="54"/>
  <c r="BC318" i="54"/>
  <c r="BL318" i="54"/>
  <c r="BU318" i="54"/>
  <c r="CD318" i="54"/>
  <c r="CP318" i="54"/>
  <c r="K318" i="54"/>
  <c r="T318" i="54"/>
  <c r="AC318" i="54"/>
  <c r="AL318" i="54"/>
  <c r="AU318" i="54"/>
  <c r="BD318" i="54"/>
  <c r="BM318" i="54"/>
  <c r="BV318" i="54"/>
  <c r="CE318" i="54"/>
  <c r="CQ318" i="54"/>
  <c r="W318" i="54"/>
  <c r="AF318" i="54"/>
  <c r="AO318" i="54"/>
  <c r="AX318" i="54"/>
  <c r="BG318" i="54"/>
  <c r="BP318" i="54"/>
  <c r="CK318" i="54"/>
  <c r="B26" i="54"/>
  <c r="B199" i="54"/>
  <c r="C199" i="54"/>
  <c r="B200" i="54"/>
  <c r="C200" i="54"/>
  <c r="B201" i="54"/>
  <c r="C201" i="54"/>
  <c r="B202" i="54"/>
  <c r="C202" i="54"/>
  <c r="B203" i="54"/>
  <c r="C203" i="54"/>
  <c r="B204" i="54"/>
  <c r="C204" i="54"/>
  <c r="B205" i="54"/>
  <c r="C205" i="54"/>
  <c r="B206" i="54"/>
  <c r="C206" i="54"/>
  <c r="B207" i="54"/>
  <c r="C207" i="54"/>
  <c r="B208" i="54"/>
  <c r="C208" i="54"/>
  <c r="B209" i="54"/>
  <c r="C209" i="54"/>
  <c r="B210" i="54"/>
  <c r="C210" i="54"/>
  <c r="B211" i="54"/>
  <c r="C211" i="54"/>
  <c r="B212" i="54"/>
  <c r="C212" i="54"/>
  <c r="B213" i="54"/>
  <c r="C213" i="54"/>
  <c r="B214" i="54"/>
  <c r="C214" i="54"/>
  <c r="B215" i="54"/>
  <c r="C215" i="54"/>
  <c r="B216" i="54"/>
  <c r="C216" i="54"/>
  <c r="B217" i="54"/>
  <c r="C217" i="54"/>
  <c r="B218" i="54"/>
  <c r="C218" i="54"/>
  <c r="B219" i="54"/>
  <c r="C219" i="54"/>
  <c r="B220" i="54"/>
  <c r="C220" i="54"/>
  <c r="B221" i="54"/>
  <c r="C221" i="54"/>
  <c r="B222" i="54"/>
  <c r="C222" i="54"/>
  <c r="B223" i="54"/>
  <c r="C223" i="54"/>
  <c r="B224" i="54"/>
  <c r="C224" i="54"/>
  <c r="B225" i="54"/>
  <c r="C225" i="54"/>
  <c r="B226" i="54"/>
  <c r="C226" i="54"/>
  <c r="B227" i="54"/>
  <c r="C227" i="54"/>
  <c r="B228" i="54"/>
  <c r="C228" i="54"/>
  <c r="B229" i="54"/>
  <c r="C229" i="54"/>
  <c r="B230" i="54"/>
  <c r="C230" i="54"/>
  <c r="B231" i="54"/>
  <c r="C231" i="54"/>
  <c r="B232" i="54"/>
  <c r="C232" i="54"/>
  <c r="B233" i="54"/>
  <c r="C233" i="54"/>
  <c r="B234" i="54"/>
  <c r="C234" i="54"/>
  <c r="B235" i="54"/>
  <c r="C235" i="54"/>
  <c r="B236" i="54"/>
  <c r="C236" i="54"/>
  <c r="B237" i="54"/>
  <c r="C237" i="54"/>
  <c r="B238" i="54"/>
  <c r="C238" i="54"/>
  <c r="B239" i="54"/>
  <c r="C239" i="54"/>
  <c r="B240" i="54"/>
  <c r="C240" i="54"/>
  <c r="B241" i="54"/>
  <c r="C241" i="54"/>
  <c r="B242" i="54"/>
  <c r="C242" i="54"/>
  <c r="B243" i="54"/>
  <c r="C243" i="54"/>
  <c r="B244" i="54"/>
  <c r="C244" i="54"/>
  <c r="B245" i="54"/>
  <c r="C245" i="54"/>
  <c r="B246" i="54"/>
  <c r="C246" i="54"/>
  <c r="B247" i="54"/>
  <c r="C247" i="54"/>
  <c r="B248" i="54"/>
  <c r="C248" i="54"/>
  <c r="B249" i="54"/>
  <c r="C249" i="54"/>
  <c r="B250" i="54"/>
  <c r="C250" i="54"/>
  <c r="B251" i="54"/>
  <c r="C251" i="54"/>
  <c r="B252" i="54"/>
  <c r="C252" i="54"/>
  <c r="B253" i="54"/>
  <c r="C253" i="54"/>
  <c r="B254" i="54"/>
  <c r="C254" i="54"/>
  <c r="B255" i="54"/>
  <c r="C255" i="54"/>
  <c r="B256" i="54"/>
  <c r="C256" i="54"/>
  <c r="B257" i="54"/>
  <c r="C257" i="54"/>
  <c r="B258" i="54"/>
  <c r="C258" i="54"/>
  <c r="B259" i="54"/>
  <c r="C259" i="54"/>
  <c r="B260" i="54"/>
  <c r="C260" i="54"/>
  <c r="B261" i="54"/>
  <c r="C261" i="54"/>
  <c r="B262" i="54"/>
  <c r="C262" i="54"/>
  <c r="B263" i="54"/>
  <c r="C263" i="54"/>
  <c r="B264" i="54"/>
  <c r="C264" i="54"/>
  <c r="B265" i="54"/>
  <c r="C265" i="54"/>
  <c r="B266" i="54"/>
  <c r="C266" i="54"/>
  <c r="B267" i="54"/>
  <c r="C267" i="54"/>
  <c r="B268" i="54"/>
  <c r="C268" i="54"/>
  <c r="B269" i="54"/>
  <c r="C269" i="54"/>
  <c r="B270" i="54"/>
  <c r="C270" i="54"/>
  <c r="B271" i="54"/>
  <c r="C271" i="54"/>
  <c r="B272" i="54"/>
  <c r="C272" i="54"/>
  <c r="B273" i="54"/>
  <c r="C273" i="54"/>
  <c r="B274" i="54"/>
  <c r="C274" i="54"/>
  <c r="B275" i="54"/>
  <c r="C275" i="54"/>
  <c r="B276" i="54"/>
  <c r="C276" i="54"/>
  <c r="B277" i="54"/>
  <c r="C277" i="54"/>
  <c r="B278" i="54"/>
  <c r="C278" i="54"/>
  <c r="B279" i="54"/>
  <c r="C279" i="54"/>
  <c r="B280" i="54"/>
  <c r="C280" i="54"/>
  <c r="B281" i="54"/>
  <c r="C281" i="54"/>
  <c r="B282" i="54"/>
  <c r="C282" i="54"/>
  <c r="B283" i="54"/>
  <c r="C283" i="54"/>
  <c r="B284" i="54"/>
  <c r="C284" i="54"/>
  <c r="B285" i="54"/>
  <c r="C285" i="54"/>
  <c r="B286" i="54"/>
  <c r="C286" i="54"/>
  <c r="B287" i="54"/>
  <c r="C287" i="54"/>
  <c r="B288" i="54"/>
  <c r="C288" i="54"/>
  <c r="B289" i="54"/>
  <c r="C289" i="54"/>
  <c r="B290" i="54"/>
  <c r="C290" i="54"/>
  <c r="B291" i="54"/>
  <c r="C291" i="54"/>
  <c r="B292" i="54"/>
  <c r="C292" i="54"/>
  <c r="B293" i="54"/>
  <c r="C293" i="54"/>
  <c r="B294" i="54"/>
  <c r="C294" i="54"/>
  <c r="B295" i="54"/>
  <c r="C295" i="54"/>
  <c r="B296" i="54"/>
  <c r="C296" i="54"/>
  <c r="B297" i="54"/>
  <c r="C297" i="54"/>
  <c r="B298" i="54"/>
  <c r="C298" i="54"/>
  <c r="B299" i="54"/>
  <c r="C299" i="54"/>
  <c r="B300" i="54"/>
  <c r="C300" i="54"/>
  <c r="B301" i="54"/>
  <c r="C301" i="54"/>
  <c r="B302" i="54"/>
  <c r="C302" i="54"/>
  <c r="B303" i="54"/>
  <c r="C303" i="54"/>
  <c r="B304" i="54"/>
  <c r="C304" i="54"/>
  <c r="B305" i="54"/>
  <c r="C305" i="54"/>
  <c r="B306" i="54"/>
  <c r="C306" i="54"/>
  <c r="B307" i="54"/>
  <c r="C307" i="54"/>
  <c r="B308" i="54"/>
  <c r="C308" i="54"/>
  <c r="B309" i="54"/>
  <c r="C309" i="54"/>
  <c r="B310" i="54"/>
  <c r="C310" i="54"/>
  <c r="B311" i="54"/>
  <c r="C311" i="54"/>
  <c r="B312" i="54"/>
  <c r="C312" i="54"/>
  <c r="B313" i="54"/>
  <c r="C313" i="54"/>
  <c r="B314" i="54"/>
  <c r="C314" i="54"/>
  <c r="B315" i="54"/>
  <c r="C315" i="54"/>
  <c r="B316" i="54"/>
  <c r="C316" i="54"/>
  <c r="B317" i="54"/>
  <c r="C317" i="54"/>
  <c r="B318" i="54"/>
  <c r="C318" i="54"/>
  <c r="B21" i="54"/>
  <c r="D26" i="54"/>
  <c r="B20" i="54"/>
  <c r="D25" i="54"/>
  <c r="E26" i="54"/>
  <c r="C24" i="54"/>
  <c r="C19" i="54"/>
  <c r="D24" i="54"/>
  <c r="E24" i="54"/>
  <c r="C159" i="35"/>
  <c r="C160" i="35"/>
  <c r="C161" i="35"/>
  <c r="C162" i="35"/>
  <c r="C163" i="35"/>
  <c r="C164" i="35"/>
  <c r="C165" i="35"/>
  <c r="C166" i="35"/>
  <c r="C167" i="35"/>
  <c r="C168" i="35"/>
  <c r="C169" i="35"/>
  <c r="C170" i="35"/>
  <c r="C171" i="35"/>
  <c r="C172" i="35"/>
  <c r="C173" i="35"/>
  <c r="C174" i="35"/>
  <c r="C175" i="35"/>
  <c r="C176" i="35"/>
  <c r="C177" i="35"/>
  <c r="C178" i="35"/>
  <c r="B179" i="35"/>
  <c r="C179" i="35"/>
  <c r="B180" i="35"/>
  <c r="C180" i="35"/>
  <c r="B181" i="35"/>
  <c r="C181" i="35"/>
  <c r="B182" i="35"/>
  <c r="C182" i="35"/>
  <c r="B183" i="35"/>
  <c r="C183" i="35"/>
  <c r="B184" i="35"/>
  <c r="C184" i="35"/>
  <c r="B185" i="35"/>
  <c r="C185" i="35"/>
  <c r="B186" i="35"/>
  <c r="C186" i="35"/>
  <c r="B187" i="35"/>
  <c r="C187" i="35"/>
  <c r="B188" i="35"/>
  <c r="C188" i="35"/>
  <c r="B189" i="35"/>
  <c r="C189" i="35"/>
  <c r="B190" i="35"/>
  <c r="C190" i="35"/>
  <c r="B191" i="35"/>
  <c r="C191" i="35"/>
  <c r="B192" i="35"/>
  <c r="C192" i="35"/>
  <c r="B193" i="35"/>
  <c r="C193" i="35"/>
  <c r="B194" i="35"/>
  <c r="C194" i="35"/>
  <c r="B195" i="35"/>
  <c r="C195" i="35"/>
  <c r="B196" i="35"/>
  <c r="C196" i="35"/>
  <c r="B197" i="35"/>
  <c r="C197" i="35"/>
  <c r="B198" i="35"/>
  <c r="C198" i="35"/>
  <c r="B199" i="35"/>
  <c r="C199" i="35"/>
  <c r="B200" i="35"/>
  <c r="C200" i="35"/>
  <c r="B201" i="35"/>
  <c r="C201" i="35"/>
  <c r="B202" i="35"/>
  <c r="C202" i="35"/>
  <c r="B203" i="35"/>
  <c r="C203" i="35"/>
  <c r="B204" i="35"/>
  <c r="C204" i="35"/>
  <c r="B205" i="35"/>
  <c r="C205" i="35"/>
  <c r="B206" i="35"/>
  <c r="C206" i="35"/>
  <c r="B207" i="35"/>
  <c r="C207" i="35"/>
  <c r="B208" i="35"/>
  <c r="C208" i="35"/>
  <c r="B209" i="35"/>
  <c r="C209" i="35"/>
  <c r="B210" i="35"/>
  <c r="C210" i="35"/>
  <c r="B211" i="35"/>
  <c r="C211" i="35"/>
  <c r="B212" i="35"/>
  <c r="C212" i="35"/>
  <c r="B213" i="35"/>
  <c r="C213" i="35"/>
  <c r="B214" i="35"/>
  <c r="C214" i="35"/>
  <c r="B215" i="35"/>
  <c r="C215" i="35"/>
  <c r="B216" i="35"/>
  <c r="C216" i="35"/>
  <c r="B217" i="35"/>
  <c r="C217" i="35"/>
  <c r="B218" i="35"/>
  <c r="C218" i="35"/>
  <c r="B219" i="35"/>
  <c r="C219" i="35"/>
  <c r="B220" i="35"/>
  <c r="C220" i="35"/>
  <c r="B221" i="35"/>
  <c r="C221" i="35"/>
  <c r="B222" i="35"/>
  <c r="C222" i="35"/>
  <c r="B223" i="35"/>
  <c r="C223" i="35"/>
  <c r="B224" i="35"/>
  <c r="C224" i="35"/>
  <c r="B225" i="35"/>
  <c r="C225" i="35"/>
  <c r="B226" i="35"/>
  <c r="C226" i="35"/>
  <c r="B227" i="35"/>
  <c r="C227" i="35"/>
  <c r="B228" i="35"/>
  <c r="C228" i="35"/>
  <c r="B229" i="35"/>
  <c r="C229" i="35"/>
  <c r="B230" i="35"/>
  <c r="C230" i="35"/>
  <c r="B231" i="35"/>
  <c r="C231" i="35"/>
  <c r="B232" i="35"/>
  <c r="C232" i="35"/>
  <c r="B233" i="35"/>
  <c r="C233" i="35"/>
  <c r="B234" i="35"/>
  <c r="C234" i="35"/>
  <c r="B235" i="35"/>
  <c r="C235" i="35"/>
  <c r="B236" i="35"/>
  <c r="C236" i="35"/>
  <c r="B237" i="35"/>
  <c r="C237" i="35"/>
  <c r="B238" i="35"/>
  <c r="C238" i="35"/>
  <c r="B20" i="35"/>
  <c r="D25" i="35"/>
  <c r="X78" i="35"/>
  <c r="X79" i="35"/>
  <c r="X80" i="35"/>
  <c r="X81" i="35"/>
  <c r="X82" i="35"/>
  <c r="X83" i="35"/>
  <c r="X84" i="35"/>
  <c r="X85" i="35"/>
  <c r="X86" i="35"/>
  <c r="X87" i="35"/>
  <c r="X88" i="35"/>
  <c r="X89" i="35"/>
  <c r="X90" i="35"/>
  <c r="X91" i="35"/>
  <c r="X92" i="35"/>
  <c r="X93" i="35"/>
  <c r="X94" i="35"/>
  <c r="X95" i="35"/>
  <c r="X96" i="35"/>
  <c r="X97" i="35"/>
  <c r="X98" i="35"/>
  <c r="X99" i="35"/>
  <c r="X100" i="35"/>
  <c r="X101" i="35"/>
  <c r="X102" i="35"/>
  <c r="X103" i="35"/>
  <c r="X104" i="35"/>
  <c r="X105" i="35"/>
  <c r="X106" i="35"/>
  <c r="X107" i="35"/>
  <c r="X108" i="35"/>
  <c r="X109" i="35"/>
  <c r="X110" i="35"/>
  <c r="X111" i="35"/>
  <c r="X112" i="35"/>
  <c r="X113" i="35"/>
  <c r="X114" i="35"/>
  <c r="X115" i="35"/>
  <c r="X116" i="35"/>
  <c r="X117" i="35"/>
  <c r="X118" i="35"/>
  <c r="X119" i="35"/>
  <c r="X120" i="35"/>
  <c r="X121" i="35"/>
  <c r="X122" i="35"/>
  <c r="X123" i="35"/>
  <c r="X124" i="35"/>
  <c r="X125" i="35"/>
  <c r="X126" i="35"/>
  <c r="X127" i="35"/>
  <c r="X128" i="35"/>
  <c r="X129" i="35"/>
  <c r="X130" i="35"/>
  <c r="X131" i="35"/>
  <c r="X132" i="35"/>
  <c r="X133" i="35"/>
  <c r="X134" i="35"/>
  <c r="X135" i="35"/>
  <c r="X136" i="35"/>
  <c r="X137" i="35"/>
  <c r="X138" i="35"/>
  <c r="X139" i="35"/>
  <c r="X140" i="35"/>
  <c r="X141" i="35"/>
  <c r="X142" i="35"/>
  <c r="X143" i="35"/>
  <c r="X144" i="35"/>
  <c r="X145" i="35"/>
  <c r="X146" i="35"/>
  <c r="X147" i="35"/>
  <c r="X148" i="35"/>
  <c r="X149" i="35"/>
  <c r="X150" i="35"/>
  <c r="X151" i="35"/>
  <c r="X152" i="35"/>
  <c r="X153" i="35"/>
  <c r="X154" i="35"/>
  <c r="X155" i="35"/>
  <c r="X156" i="35"/>
  <c r="X157" i="35"/>
  <c r="X158" i="35"/>
  <c r="D239" i="35"/>
  <c r="M41" i="35"/>
  <c r="M239" i="35"/>
  <c r="Y239" i="35"/>
  <c r="N239" i="35"/>
  <c r="Z239" i="35"/>
  <c r="F239" i="35"/>
  <c r="O41" i="35"/>
  <c r="O239" i="35"/>
  <c r="AA239" i="35"/>
  <c r="G239" i="35"/>
  <c r="P42" i="35"/>
  <c r="P239" i="35"/>
  <c r="AB239" i="35"/>
  <c r="H239" i="35"/>
  <c r="Q42" i="35"/>
  <c r="Q239" i="35"/>
  <c r="AC239" i="35"/>
  <c r="I239" i="35"/>
  <c r="R239" i="35"/>
  <c r="AD239" i="35"/>
  <c r="J239" i="35"/>
  <c r="S239" i="35"/>
  <c r="AE239" i="35"/>
  <c r="K239" i="35"/>
  <c r="T43" i="35"/>
  <c r="T239" i="35"/>
  <c r="AF239" i="35"/>
  <c r="D240" i="35"/>
  <c r="M240" i="35"/>
  <c r="Y240" i="35"/>
  <c r="N240" i="35"/>
  <c r="Z240" i="35"/>
  <c r="F240" i="35"/>
  <c r="O240" i="35"/>
  <c r="AA240" i="35"/>
  <c r="G240" i="35"/>
  <c r="P240" i="35"/>
  <c r="AB240" i="35"/>
  <c r="H240" i="35"/>
  <c r="Q240" i="35"/>
  <c r="AC240" i="35"/>
  <c r="I240" i="35"/>
  <c r="R240" i="35"/>
  <c r="AD240" i="35"/>
  <c r="J240" i="35"/>
  <c r="S240" i="35"/>
  <c r="AE240" i="35"/>
  <c r="K240" i="35"/>
  <c r="T240" i="35"/>
  <c r="AF240" i="35"/>
  <c r="D241" i="35"/>
  <c r="M241" i="35"/>
  <c r="Y241" i="35"/>
  <c r="N241" i="35"/>
  <c r="Z241" i="35"/>
  <c r="F241" i="35"/>
  <c r="O241" i="35"/>
  <c r="AA241" i="35"/>
  <c r="G241" i="35"/>
  <c r="P241" i="35"/>
  <c r="AB241" i="35"/>
  <c r="H241" i="35"/>
  <c r="Q241" i="35"/>
  <c r="AC241" i="35"/>
  <c r="I241" i="35"/>
  <c r="R241" i="35"/>
  <c r="AD241" i="35"/>
  <c r="J241" i="35"/>
  <c r="S241" i="35"/>
  <c r="AE241" i="35"/>
  <c r="K241" i="35"/>
  <c r="T241" i="35"/>
  <c r="AF241" i="35"/>
  <c r="D242" i="35"/>
  <c r="M242" i="35"/>
  <c r="Y242" i="35"/>
  <c r="N242" i="35"/>
  <c r="Z242" i="35"/>
  <c r="F242" i="35"/>
  <c r="O242" i="35"/>
  <c r="AA242" i="35"/>
  <c r="G242" i="35"/>
  <c r="P242" i="35"/>
  <c r="AB242" i="35"/>
  <c r="H242" i="35"/>
  <c r="Q242" i="35"/>
  <c r="AC242" i="35"/>
  <c r="I242" i="35"/>
  <c r="R242" i="35"/>
  <c r="AD242" i="35"/>
  <c r="J242" i="35"/>
  <c r="S242" i="35"/>
  <c r="AE242" i="35"/>
  <c r="K242" i="35"/>
  <c r="T242" i="35"/>
  <c r="AF242" i="35"/>
  <c r="D243" i="35"/>
  <c r="M243" i="35"/>
  <c r="Y243" i="35"/>
  <c r="N243" i="35"/>
  <c r="Z243" i="35"/>
  <c r="F243" i="35"/>
  <c r="O243" i="35"/>
  <c r="AA243" i="35"/>
  <c r="G243" i="35"/>
  <c r="P243" i="35"/>
  <c r="AB243" i="35"/>
  <c r="H243" i="35"/>
  <c r="Q243" i="35"/>
  <c r="AC243" i="35"/>
  <c r="I243" i="35"/>
  <c r="R243" i="35"/>
  <c r="AD243" i="35"/>
  <c r="J243" i="35"/>
  <c r="S243" i="35"/>
  <c r="AE243" i="35"/>
  <c r="K243" i="35"/>
  <c r="T243" i="35"/>
  <c r="AF243" i="35"/>
  <c r="D244" i="35"/>
  <c r="M244" i="35"/>
  <c r="Y244" i="35"/>
  <c r="N244" i="35"/>
  <c r="Z244" i="35"/>
  <c r="F244" i="35"/>
  <c r="O244" i="35"/>
  <c r="AA244" i="35"/>
  <c r="G244" i="35"/>
  <c r="P244" i="35"/>
  <c r="AB244" i="35"/>
  <c r="H244" i="35"/>
  <c r="Q244" i="35"/>
  <c r="AC244" i="35"/>
  <c r="I244" i="35"/>
  <c r="R244" i="35"/>
  <c r="AD244" i="35"/>
  <c r="J244" i="35"/>
  <c r="S244" i="35"/>
  <c r="AE244" i="35"/>
  <c r="K244" i="35"/>
  <c r="T244" i="35"/>
  <c r="AF244" i="35"/>
  <c r="D245" i="35"/>
  <c r="M245" i="35"/>
  <c r="Y245" i="35"/>
  <c r="N245" i="35"/>
  <c r="Z245" i="35"/>
  <c r="F245" i="35"/>
  <c r="O245" i="35"/>
  <c r="AA245" i="35"/>
  <c r="G245" i="35"/>
  <c r="P245" i="35"/>
  <c r="AB245" i="35"/>
  <c r="H245" i="35"/>
  <c r="Q245" i="35"/>
  <c r="AC245" i="35"/>
  <c r="I245" i="35"/>
  <c r="R245" i="35"/>
  <c r="AD245" i="35"/>
  <c r="J245" i="35"/>
  <c r="S245" i="35"/>
  <c r="AE245" i="35"/>
  <c r="K245" i="35"/>
  <c r="T245" i="35"/>
  <c r="AF245" i="35"/>
  <c r="D246" i="35"/>
  <c r="M246" i="35"/>
  <c r="Y246" i="35"/>
  <c r="N246" i="35"/>
  <c r="Z246" i="35"/>
  <c r="F246" i="35"/>
  <c r="O246" i="35"/>
  <c r="AA246" i="35"/>
  <c r="G246" i="35"/>
  <c r="P246" i="35"/>
  <c r="AB246" i="35"/>
  <c r="H246" i="35"/>
  <c r="Q246" i="35"/>
  <c r="AC246" i="35"/>
  <c r="I246" i="35"/>
  <c r="R246" i="35"/>
  <c r="AD246" i="35"/>
  <c r="J246" i="35"/>
  <c r="S246" i="35"/>
  <c r="AE246" i="35"/>
  <c r="K246" i="35"/>
  <c r="T246" i="35"/>
  <c r="AF246" i="35"/>
  <c r="D247" i="35"/>
  <c r="M247" i="35"/>
  <c r="Y247" i="35"/>
  <c r="N247" i="35"/>
  <c r="Z247" i="35"/>
  <c r="F247" i="35"/>
  <c r="O247" i="35"/>
  <c r="AA247" i="35"/>
  <c r="G247" i="35"/>
  <c r="P247" i="35"/>
  <c r="AB247" i="35"/>
  <c r="H247" i="35"/>
  <c r="Q247" i="35"/>
  <c r="AC247" i="35"/>
  <c r="I247" i="35"/>
  <c r="R247" i="35"/>
  <c r="AD247" i="35"/>
  <c r="J247" i="35"/>
  <c r="S247" i="35"/>
  <c r="AE247" i="35"/>
  <c r="K247" i="35"/>
  <c r="T247" i="35"/>
  <c r="AF247" i="35"/>
  <c r="D248" i="35"/>
  <c r="M248" i="35"/>
  <c r="Y248" i="35"/>
  <c r="N248" i="35"/>
  <c r="Z248" i="35"/>
  <c r="F248" i="35"/>
  <c r="O248" i="35"/>
  <c r="AA248" i="35"/>
  <c r="G248" i="35"/>
  <c r="P248" i="35"/>
  <c r="AB248" i="35"/>
  <c r="H248" i="35"/>
  <c r="Q248" i="35"/>
  <c r="AC248" i="35"/>
  <c r="I248" i="35"/>
  <c r="R248" i="35"/>
  <c r="AD248" i="35"/>
  <c r="J248" i="35"/>
  <c r="S248" i="35"/>
  <c r="AE248" i="35"/>
  <c r="K248" i="35"/>
  <c r="T248" i="35"/>
  <c r="AF248" i="35"/>
  <c r="D249" i="35"/>
  <c r="M249" i="35"/>
  <c r="Y249" i="35"/>
  <c r="N249" i="35"/>
  <c r="Z249" i="35"/>
  <c r="F249" i="35"/>
  <c r="O249" i="35"/>
  <c r="AA249" i="35"/>
  <c r="G249" i="35"/>
  <c r="P249" i="35"/>
  <c r="AB249" i="35"/>
  <c r="H249" i="35"/>
  <c r="Q249" i="35"/>
  <c r="AC249" i="35"/>
  <c r="I249" i="35"/>
  <c r="R249" i="35"/>
  <c r="AD249" i="35"/>
  <c r="J249" i="35"/>
  <c r="S249" i="35"/>
  <c r="AE249" i="35"/>
  <c r="K249" i="35"/>
  <c r="T249" i="35"/>
  <c r="AF249" i="35"/>
  <c r="D250" i="35"/>
  <c r="M250" i="35"/>
  <c r="Y250" i="35"/>
  <c r="N250" i="35"/>
  <c r="Z250" i="35"/>
  <c r="F250" i="35"/>
  <c r="O250" i="35"/>
  <c r="AA250" i="35"/>
  <c r="G250" i="35"/>
  <c r="P250" i="35"/>
  <c r="AB250" i="35"/>
  <c r="H250" i="35"/>
  <c r="Q250" i="35"/>
  <c r="AC250" i="35"/>
  <c r="I250" i="35"/>
  <c r="R250" i="35"/>
  <c r="AD250" i="35"/>
  <c r="J250" i="35"/>
  <c r="S250" i="35"/>
  <c r="AE250" i="35"/>
  <c r="K250" i="35"/>
  <c r="T250" i="35"/>
  <c r="AF250" i="35"/>
  <c r="D251" i="35"/>
  <c r="M251" i="35"/>
  <c r="Y251" i="35"/>
  <c r="N251" i="35"/>
  <c r="Z251" i="35"/>
  <c r="F251" i="35"/>
  <c r="O251" i="35"/>
  <c r="AA251" i="35"/>
  <c r="G251" i="35"/>
  <c r="P251" i="35"/>
  <c r="AB251" i="35"/>
  <c r="H251" i="35"/>
  <c r="Q251" i="35"/>
  <c r="AC251" i="35"/>
  <c r="I251" i="35"/>
  <c r="R251" i="35"/>
  <c r="AD251" i="35"/>
  <c r="J251" i="35"/>
  <c r="S251" i="35"/>
  <c r="AE251" i="35"/>
  <c r="K251" i="35"/>
  <c r="T251" i="35"/>
  <c r="AF251" i="35"/>
  <c r="D252" i="35"/>
  <c r="M252" i="35"/>
  <c r="Y252" i="35"/>
  <c r="N252" i="35"/>
  <c r="Z252" i="35"/>
  <c r="F252" i="35"/>
  <c r="O252" i="35"/>
  <c r="AA252" i="35"/>
  <c r="G252" i="35"/>
  <c r="P252" i="35"/>
  <c r="AB252" i="35"/>
  <c r="H252" i="35"/>
  <c r="Q252" i="35"/>
  <c r="AC252" i="35"/>
  <c r="I252" i="35"/>
  <c r="R252" i="35"/>
  <c r="AD252" i="35"/>
  <c r="J252" i="35"/>
  <c r="S252" i="35"/>
  <c r="AE252" i="35"/>
  <c r="K252" i="35"/>
  <c r="T252" i="35"/>
  <c r="AF252" i="35"/>
  <c r="D253" i="35"/>
  <c r="M253" i="35"/>
  <c r="Y253" i="35"/>
  <c r="N253" i="35"/>
  <c r="Z253" i="35"/>
  <c r="F253" i="35"/>
  <c r="O253" i="35"/>
  <c r="AA253" i="35"/>
  <c r="G253" i="35"/>
  <c r="P253" i="35"/>
  <c r="AB253" i="35"/>
  <c r="H253" i="35"/>
  <c r="Q253" i="35"/>
  <c r="AC253" i="35"/>
  <c r="I253" i="35"/>
  <c r="R253" i="35"/>
  <c r="AD253" i="35"/>
  <c r="J253" i="35"/>
  <c r="S253" i="35"/>
  <c r="AE253" i="35"/>
  <c r="K253" i="35"/>
  <c r="T253" i="35"/>
  <c r="AF253" i="35"/>
  <c r="D254" i="35"/>
  <c r="M254" i="35"/>
  <c r="Y254" i="35"/>
  <c r="N254" i="35"/>
  <c r="Z254" i="35"/>
  <c r="F254" i="35"/>
  <c r="O254" i="35"/>
  <c r="AA254" i="35"/>
  <c r="G254" i="35"/>
  <c r="P254" i="35"/>
  <c r="AB254" i="35"/>
  <c r="H254" i="35"/>
  <c r="Q254" i="35"/>
  <c r="AC254" i="35"/>
  <c r="I254" i="35"/>
  <c r="R254" i="35"/>
  <c r="AD254" i="35"/>
  <c r="J254" i="35"/>
  <c r="S254" i="35"/>
  <c r="AE254" i="35"/>
  <c r="K254" i="35"/>
  <c r="T254" i="35"/>
  <c r="AF254" i="35"/>
  <c r="D255" i="35"/>
  <c r="M255" i="35"/>
  <c r="Y255" i="35"/>
  <c r="N255" i="35"/>
  <c r="Z255" i="35"/>
  <c r="F255" i="35"/>
  <c r="O255" i="35"/>
  <c r="AA255" i="35"/>
  <c r="G255" i="35"/>
  <c r="P255" i="35"/>
  <c r="AB255" i="35"/>
  <c r="H255" i="35"/>
  <c r="Q255" i="35"/>
  <c r="AC255" i="35"/>
  <c r="I255" i="35"/>
  <c r="R255" i="35"/>
  <c r="AD255" i="35"/>
  <c r="J255" i="35"/>
  <c r="S255" i="35"/>
  <c r="AE255" i="35"/>
  <c r="K255" i="35"/>
  <c r="T255" i="35"/>
  <c r="AF255" i="35"/>
  <c r="D256" i="35"/>
  <c r="M256" i="35"/>
  <c r="Y256" i="35"/>
  <c r="N256" i="35"/>
  <c r="Z256" i="35"/>
  <c r="F256" i="35"/>
  <c r="O256" i="35"/>
  <c r="AA256" i="35"/>
  <c r="G256" i="35"/>
  <c r="P256" i="35"/>
  <c r="AB256" i="35"/>
  <c r="H256" i="35"/>
  <c r="Q256" i="35"/>
  <c r="AC256" i="35"/>
  <c r="I256" i="35"/>
  <c r="R256" i="35"/>
  <c r="AD256" i="35"/>
  <c r="J256" i="35"/>
  <c r="S256" i="35"/>
  <c r="AE256" i="35"/>
  <c r="K256" i="35"/>
  <c r="T256" i="35"/>
  <c r="AF256" i="35"/>
  <c r="D257" i="35"/>
  <c r="M257" i="35"/>
  <c r="Y257" i="35"/>
  <c r="N257" i="35"/>
  <c r="Z257" i="35"/>
  <c r="F257" i="35"/>
  <c r="O257" i="35"/>
  <c r="AA257" i="35"/>
  <c r="G257" i="35"/>
  <c r="P257" i="35"/>
  <c r="AB257" i="35"/>
  <c r="H257" i="35"/>
  <c r="Q257" i="35"/>
  <c r="AC257" i="35"/>
  <c r="I257" i="35"/>
  <c r="R257" i="35"/>
  <c r="AD257" i="35"/>
  <c r="J257" i="35"/>
  <c r="S257" i="35"/>
  <c r="AE257" i="35"/>
  <c r="K257" i="35"/>
  <c r="T257" i="35"/>
  <c r="AF257" i="35"/>
  <c r="D258" i="35"/>
  <c r="M258" i="35"/>
  <c r="Y258" i="35"/>
  <c r="N258" i="35"/>
  <c r="Z258" i="35"/>
  <c r="F258" i="35"/>
  <c r="O258" i="35"/>
  <c r="AA258" i="35"/>
  <c r="G258" i="35"/>
  <c r="P258" i="35"/>
  <c r="AB258" i="35"/>
  <c r="H258" i="35"/>
  <c r="Q258" i="35"/>
  <c r="AC258" i="35"/>
  <c r="I258" i="35"/>
  <c r="R258" i="35"/>
  <c r="AD258" i="35"/>
  <c r="J258" i="35"/>
  <c r="S258" i="35"/>
  <c r="AE258" i="35"/>
  <c r="K258" i="35"/>
  <c r="T258" i="35"/>
  <c r="AF258" i="35"/>
  <c r="D259" i="35"/>
  <c r="M259" i="35"/>
  <c r="Y259" i="35"/>
  <c r="N259" i="35"/>
  <c r="Z259" i="35"/>
  <c r="F259" i="35"/>
  <c r="O259" i="35"/>
  <c r="AA259" i="35"/>
  <c r="G259" i="35"/>
  <c r="P259" i="35"/>
  <c r="AB259" i="35"/>
  <c r="H259" i="35"/>
  <c r="Q259" i="35"/>
  <c r="AC259" i="35"/>
  <c r="I259" i="35"/>
  <c r="R259" i="35"/>
  <c r="AD259" i="35"/>
  <c r="J259" i="35"/>
  <c r="S259" i="35"/>
  <c r="AE259" i="35"/>
  <c r="K259" i="35"/>
  <c r="T259" i="35"/>
  <c r="AF259" i="35"/>
  <c r="D260" i="35"/>
  <c r="M260" i="35"/>
  <c r="Y260" i="35"/>
  <c r="N260" i="35"/>
  <c r="Z260" i="35"/>
  <c r="F260" i="35"/>
  <c r="O260" i="35"/>
  <c r="AA260" i="35"/>
  <c r="G260" i="35"/>
  <c r="P260" i="35"/>
  <c r="AB260" i="35"/>
  <c r="H260" i="35"/>
  <c r="Q260" i="35"/>
  <c r="AC260" i="35"/>
  <c r="I260" i="35"/>
  <c r="R260" i="35"/>
  <c r="AD260" i="35"/>
  <c r="J260" i="35"/>
  <c r="S260" i="35"/>
  <c r="AE260" i="35"/>
  <c r="K260" i="35"/>
  <c r="T260" i="35"/>
  <c r="AF260" i="35"/>
  <c r="D261" i="35"/>
  <c r="M261" i="35"/>
  <c r="Y261" i="35"/>
  <c r="N261" i="35"/>
  <c r="Z261" i="35"/>
  <c r="F261" i="35"/>
  <c r="O261" i="35"/>
  <c r="AA261" i="35"/>
  <c r="G261" i="35"/>
  <c r="P261" i="35"/>
  <c r="AB261" i="35"/>
  <c r="H261" i="35"/>
  <c r="Q261" i="35"/>
  <c r="AC261" i="35"/>
  <c r="I261" i="35"/>
  <c r="R261" i="35"/>
  <c r="AD261" i="35"/>
  <c r="J261" i="35"/>
  <c r="S261" i="35"/>
  <c r="AE261" i="35"/>
  <c r="K261" i="35"/>
  <c r="T261" i="35"/>
  <c r="AF261" i="35"/>
  <c r="D262" i="35"/>
  <c r="M262" i="35"/>
  <c r="Y262" i="35"/>
  <c r="N262" i="35"/>
  <c r="Z262" i="35"/>
  <c r="F262" i="35"/>
  <c r="O262" i="35"/>
  <c r="AA262" i="35"/>
  <c r="G262" i="35"/>
  <c r="P262" i="35"/>
  <c r="AB262" i="35"/>
  <c r="H262" i="35"/>
  <c r="Q262" i="35"/>
  <c r="AC262" i="35"/>
  <c r="I262" i="35"/>
  <c r="R262" i="35"/>
  <c r="AD262" i="35"/>
  <c r="J262" i="35"/>
  <c r="S262" i="35"/>
  <c r="AE262" i="35"/>
  <c r="K262" i="35"/>
  <c r="T262" i="35"/>
  <c r="AF262" i="35"/>
  <c r="D263" i="35"/>
  <c r="M263" i="35"/>
  <c r="Y263" i="35"/>
  <c r="N263" i="35"/>
  <c r="Z263" i="35"/>
  <c r="F263" i="35"/>
  <c r="O263" i="35"/>
  <c r="AA263" i="35"/>
  <c r="G263" i="35"/>
  <c r="P263" i="35"/>
  <c r="AB263" i="35"/>
  <c r="H263" i="35"/>
  <c r="Q263" i="35"/>
  <c r="AC263" i="35"/>
  <c r="I263" i="35"/>
  <c r="R263" i="35"/>
  <c r="AD263" i="35"/>
  <c r="J263" i="35"/>
  <c r="S263" i="35"/>
  <c r="AE263" i="35"/>
  <c r="K263" i="35"/>
  <c r="T263" i="35"/>
  <c r="AF263" i="35"/>
  <c r="D264" i="35"/>
  <c r="M264" i="35"/>
  <c r="Y264" i="35"/>
  <c r="N264" i="35"/>
  <c r="Z264" i="35"/>
  <c r="F264" i="35"/>
  <c r="O264" i="35"/>
  <c r="AA264" i="35"/>
  <c r="G264" i="35"/>
  <c r="P264" i="35"/>
  <c r="AB264" i="35"/>
  <c r="H264" i="35"/>
  <c r="Q264" i="35"/>
  <c r="AC264" i="35"/>
  <c r="I264" i="35"/>
  <c r="R264" i="35"/>
  <c r="AD264" i="35"/>
  <c r="J264" i="35"/>
  <c r="S264" i="35"/>
  <c r="AE264" i="35"/>
  <c r="K264" i="35"/>
  <c r="T264" i="35"/>
  <c r="AF264" i="35"/>
  <c r="D265" i="35"/>
  <c r="M265" i="35"/>
  <c r="Y265" i="35"/>
  <c r="N265" i="35"/>
  <c r="Z265" i="35"/>
  <c r="F265" i="35"/>
  <c r="O265" i="35"/>
  <c r="AA265" i="35"/>
  <c r="G265" i="35"/>
  <c r="P265" i="35"/>
  <c r="AB265" i="35"/>
  <c r="H265" i="35"/>
  <c r="Q265" i="35"/>
  <c r="AC265" i="35"/>
  <c r="I265" i="35"/>
  <c r="R265" i="35"/>
  <c r="AD265" i="35"/>
  <c r="J265" i="35"/>
  <c r="S265" i="35"/>
  <c r="AE265" i="35"/>
  <c r="K265" i="35"/>
  <c r="T265" i="35"/>
  <c r="AF265" i="35"/>
  <c r="D266" i="35"/>
  <c r="M266" i="35"/>
  <c r="Y266" i="35"/>
  <c r="N266" i="35"/>
  <c r="Z266" i="35"/>
  <c r="F266" i="35"/>
  <c r="O266" i="35"/>
  <c r="AA266" i="35"/>
  <c r="G266" i="35"/>
  <c r="P266" i="35"/>
  <c r="AB266" i="35"/>
  <c r="H266" i="35"/>
  <c r="Q266" i="35"/>
  <c r="AC266" i="35"/>
  <c r="I266" i="35"/>
  <c r="R266" i="35"/>
  <c r="AD266" i="35"/>
  <c r="J266" i="35"/>
  <c r="S266" i="35"/>
  <c r="AE266" i="35"/>
  <c r="K266" i="35"/>
  <c r="T266" i="35"/>
  <c r="AF266" i="35"/>
  <c r="D267" i="35"/>
  <c r="M267" i="35"/>
  <c r="Y267" i="35"/>
  <c r="N267" i="35"/>
  <c r="Z267" i="35"/>
  <c r="F267" i="35"/>
  <c r="O267" i="35"/>
  <c r="AA267" i="35"/>
  <c r="G267" i="35"/>
  <c r="P267" i="35"/>
  <c r="AB267" i="35"/>
  <c r="H267" i="35"/>
  <c r="Q267" i="35"/>
  <c r="AC267" i="35"/>
  <c r="I267" i="35"/>
  <c r="R267" i="35"/>
  <c r="AD267" i="35"/>
  <c r="J267" i="35"/>
  <c r="S267" i="35"/>
  <c r="AE267" i="35"/>
  <c r="K267" i="35"/>
  <c r="T267" i="35"/>
  <c r="AF267" i="35"/>
  <c r="D268" i="35"/>
  <c r="M268" i="35"/>
  <c r="Y268" i="35"/>
  <c r="N268" i="35"/>
  <c r="Z268" i="35"/>
  <c r="F268" i="35"/>
  <c r="O268" i="35"/>
  <c r="AA268" i="35"/>
  <c r="G268" i="35"/>
  <c r="P268" i="35"/>
  <c r="AB268" i="35"/>
  <c r="H268" i="35"/>
  <c r="Q268" i="35"/>
  <c r="AC268" i="35"/>
  <c r="I268" i="35"/>
  <c r="R268" i="35"/>
  <c r="AD268" i="35"/>
  <c r="J268" i="35"/>
  <c r="S268" i="35"/>
  <c r="AE268" i="35"/>
  <c r="K268" i="35"/>
  <c r="T268" i="35"/>
  <c r="AF268" i="35"/>
  <c r="D269" i="35"/>
  <c r="M269" i="35"/>
  <c r="Y269" i="35"/>
  <c r="N269" i="35"/>
  <c r="Z269" i="35"/>
  <c r="F269" i="35"/>
  <c r="O269" i="35"/>
  <c r="AA269" i="35"/>
  <c r="G269" i="35"/>
  <c r="P269" i="35"/>
  <c r="AB269" i="35"/>
  <c r="H269" i="35"/>
  <c r="Q269" i="35"/>
  <c r="AC269" i="35"/>
  <c r="I269" i="35"/>
  <c r="R269" i="35"/>
  <c r="AD269" i="35"/>
  <c r="J269" i="35"/>
  <c r="S269" i="35"/>
  <c r="AE269" i="35"/>
  <c r="K269" i="35"/>
  <c r="T269" i="35"/>
  <c r="AF269" i="35"/>
  <c r="D270" i="35"/>
  <c r="M270" i="35"/>
  <c r="Y270" i="35"/>
  <c r="N270" i="35"/>
  <c r="Z270" i="35"/>
  <c r="F270" i="35"/>
  <c r="O270" i="35"/>
  <c r="AA270" i="35"/>
  <c r="G270" i="35"/>
  <c r="P270" i="35"/>
  <c r="AB270" i="35"/>
  <c r="H270" i="35"/>
  <c r="Q270" i="35"/>
  <c r="AC270" i="35"/>
  <c r="I270" i="35"/>
  <c r="R270" i="35"/>
  <c r="AD270" i="35"/>
  <c r="J270" i="35"/>
  <c r="S270" i="35"/>
  <c r="AE270" i="35"/>
  <c r="K270" i="35"/>
  <c r="T270" i="35"/>
  <c r="AF270" i="35"/>
  <c r="D271" i="35"/>
  <c r="M271" i="35"/>
  <c r="Y271" i="35"/>
  <c r="N271" i="35"/>
  <c r="Z271" i="35"/>
  <c r="F271" i="35"/>
  <c r="O271" i="35"/>
  <c r="AA271" i="35"/>
  <c r="G271" i="35"/>
  <c r="P271" i="35"/>
  <c r="AB271" i="35"/>
  <c r="H271" i="35"/>
  <c r="Q271" i="35"/>
  <c r="AC271" i="35"/>
  <c r="I271" i="35"/>
  <c r="R271" i="35"/>
  <c r="AD271" i="35"/>
  <c r="J271" i="35"/>
  <c r="S271" i="35"/>
  <c r="AE271" i="35"/>
  <c r="K271" i="35"/>
  <c r="T271" i="35"/>
  <c r="AF271" i="35"/>
  <c r="D272" i="35"/>
  <c r="M272" i="35"/>
  <c r="Y272" i="35"/>
  <c r="N272" i="35"/>
  <c r="Z272" i="35"/>
  <c r="F272" i="35"/>
  <c r="O272" i="35"/>
  <c r="AA272" i="35"/>
  <c r="G272" i="35"/>
  <c r="P272" i="35"/>
  <c r="AB272" i="35"/>
  <c r="H272" i="35"/>
  <c r="Q272" i="35"/>
  <c r="AC272" i="35"/>
  <c r="I272" i="35"/>
  <c r="R272" i="35"/>
  <c r="AD272" i="35"/>
  <c r="J272" i="35"/>
  <c r="S272" i="35"/>
  <c r="AE272" i="35"/>
  <c r="K272" i="35"/>
  <c r="T272" i="35"/>
  <c r="AF272" i="35"/>
  <c r="D273" i="35"/>
  <c r="M273" i="35"/>
  <c r="Y273" i="35"/>
  <c r="N273" i="35"/>
  <c r="Z273" i="35"/>
  <c r="F273" i="35"/>
  <c r="O273" i="35"/>
  <c r="AA273" i="35"/>
  <c r="G273" i="35"/>
  <c r="P273" i="35"/>
  <c r="AB273" i="35"/>
  <c r="H273" i="35"/>
  <c r="Q273" i="35"/>
  <c r="AC273" i="35"/>
  <c r="I273" i="35"/>
  <c r="R273" i="35"/>
  <c r="AD273" i="35"/>
  <c r="J273" i="35"/>
  <c r="S273" i="35"/>
  <c r="AE273" i="35"/>
  <c r="K273" i="35"/>
  <c r="T273" i="35"/>
  <c r="AF273" i="35"/>
  <c r="D274" i="35"/>
  <c r="M274" i="35"/>
  <c r="Y274" i="35"/>
  <c r="N274" i="35"/>
  <c r="Z274" i="35"/>
  <c r="F274" i="35"/>
  <c r="O274" i="35"/>
  <c r="AA274" i="35"/>
  <c r="G274" i="35"/>
  <c r="P274" i="35"/>
  <c r="AB274" i="35"/>
  <c r="H274" i="35"/>
  <c r="Q274" i="35"/>
  <c r="AC274" i="35"/>
  <c r="I274" i="35"/>
  <c r="R274" i="35"/>
  <c r="AD274" i="35"/>
  <c r="J274" i="35"/>
  <c r="S274" i="35"/>
  <c r="AE274" i="35"/>
  <c r="K274" i="35"/>
  <c r="T274" i="35"/>
  <c r="AF274" i="35"/>
  <c r="D275" i="35"/>
  <c r="M275" i="35"/>
  <c r="Y275" i="35"/>
  <c r="N275" i="35"/>
  <c r="Z275" i="35"/>
  <c r="F275" i="35"/>
  <c r="O275" i="35"/>
  <c r="AA275" i="35"/>
  <c r="G275" i="35"/>
  <c r="P275" i="35"/>
  <c r="AB275" i="35"/>
  <c r="H275" i="35"/>
  <c r="Q275" i="35"/>
  <c r="AC275" i="35"/>
  <c r="I275" i="35"/>
  <c r="R275" i="35"/>
  <c r="AD275" i="35"/>
  <c r="J275" i="35"/>
  <c r="S275" i="35"/>
  <c r="AE275" i="35"/>
  <c r="K275" i="35"/>
  <c r="T275" i="35"/>
  <c r="AF275" i="35"/>
  <c r="D276" i="35"/>
  <c r="M276" i="35"/>
  <c r="Y276" i="35"/>
  <c r="N276" i="35"/>
  <c r="Z276" i="35"/>
  <c r="F276" i="35"/>
  <c r="O276" i="35"/>
  <c r="AA276" i="35"/>
  <c r="G276" i="35"/>
  <c r="P276" i="35"/>
  <c r="AB276" i="35"/>
  <c r="H276" i="35"/>
  <c r="Q276" i="35"/>
  <c r="AC276" i="35"/>
  <c r="I276" i="35"/>
  <c r="R276" i="35"/>
  <c r="AD276" i="35"/>
  <c r="J276" i="35"/>
  <c r="S276" i="35"/>
  <c r="AE276" i="35"/>
  <c r="K276" i="35"/>
  <c r="T276" i="35"/>
  <c r="AF276" i="35"/>
  <c r="D277" i="35"/>
  <c r="M277" i="35"/>
  <c r="Y277" i="35"/>
  <c r="N277" i="35"/>
  <c r="Z277" i="35"/>
  <c r="F277" i="35"/>
  <c r="O277" i="35"/>
  <c r="AA277" i="35"/>
  <c r="G277" i="35"/>
  <c r="P277" i="35"/>
  <c r="AB277" i="35"/>
  <c r="H277" i="35"/>
  <c r="Q277" i="35"/>
  <c r="AC277" i="35"/>
  <c r="I277" i="35"/>
  <c r="R277" i="35"/>
  <c r="AD277" i="35"/>
  <c r="J277" i="35"/>
  <c r="S277" i="35"/>
  <c r="AE277" i="35"/>
  <c r="K277" i="35"/>
  <c r="T277" i="35"/>
  <c r="AF277" i="35"/>
  <c r="D278" i="35"/>
  <c r="M278" i="35"/>
  <c r="Y278" i="35"/>
  <c r="N278" i="35"/>
  <c r="Z278" i="35"/>
  <c r="F278" i="35"/>
  <c r="O278" i="35"/>
  <c r="AA278" i="35"/>
  <c r="G278" i="35"/>
  <c r="P278" i="35"/>
  <c r="AB278" i="35"/>
  <c r="H278" i="35"/>
  <c r="Q278" i="35"/>
  <c r="AC278" i="35"/>
  <c r="I278" i="35"/>
  <c r="R278" i="35"/>
  <c r="AD278" i="35"/>
  <c r="J278" i="35"/>
  <c r="S278" i="35"/>
  <c r="AE278" i="35"/>
  <c r="K278" i="35"/>
  <c r="T278" i="35"/>
  <c r="AF278" i="35"/>
  <c r="D279" i="35"/>
  <c r="M279" i="35"/>
  <c r="Y279" i="35"/>
  <c r="N279" i="35"/>
  <c r="Z279" i="35"/>
  <c r="F279" i="35"/>
  <c r="O279" i="35"/>
  <c r="AA279" i="35"/>
  <c r="G279" i="35"/>
  <c r="P279" i="35"/>
  <c r="AB279" i="35"/>
  <c r="H279" i="35"/>
  <c r="Q279" i="35"/>
  <c r="AC279" i="35"/>
  <c r="I279" i="35"/>
  <c r="R279" i="35"/>
  <c r="AD279" i="35"/>
  <c r="J279" i="35"/>
  <c r="S279" i="35"/>
  <c r="AE279" i="35"/>
  <c r="K279" i="35"/>
  <c r="T279" i="35"/>
  <c r="AF279" i="35"/>
  <c r="D280" i="35"/>
  <c r="M280" i="35"/>
  <c r="Y280" i="35"/>
  <c r="N280" i="35"/>
  <c r="Z280" i="35"/>
  <c r="F280" i="35"/>
  <c r="O280" i="35"/>
  <c r="AA280" i="35"/>
  <c r="G280" i="35"/>
  <c r="P280" i="35"/>
  <c r="AB280" i="35"/>
  <c r="H280" i="35"/>
  <c r="Q280" i="35"/>
  <c r="AC280" i="35"/>
  <c r="I280" i="35"/>
  <c r="R280" i="35"/>
  <c r="AD280" i="35"/>
  <c r="J280" i="35"/>
  <c r="S280" i="35"/>
  <c r="AE280" i="35"/>
  <c r="K280" i="35"/>
  <c r="T280" i="35"/>
  <c r="AF280" i="35"/>
  <c r="D281" i="35"/>
  <c r="M281" i="35"/>
  <c r="Y281" i="35"/>
  <c r="N281" i="35"/>
  <c r="Z281" i="35"/>
  <c r="F281" i="35"/>
  <c r="O281" i="35"/>
  <c r="AA281" i="35"/>
  <c r="G281" i="35"/>
  <c r="P281" i="35"/>
  <c r="AB281" i="35"/>
  <c r="H281" i="35"/>
  <c r="Q281" i="35"/>
  <c r="AC281" i="35"/>
  <c r="I281" i="35"/>
  <c r="R281" i="35"/>
  <c r="AD281" i="35"/>
  <c r="J281" i="35"/>
  <c r="S281" i="35"/>
  <c r="AE281" i="35"/>
  <c r="K281" i="35"/>
  <c r="T281" i="35"/>
  <c r="AF281" i="35"/>
  <c r="D282" i="35"/>
  <c r="M282" i="35"/>
  <c r="Y282" i="35"/>
  <c r="N282" i="35"/>
  <c r="Z282" i="35"/>
  <c r="F282" i="35"/>
  <c r="O282" i="35"/>
  <c r="AA282" i="35"/>
  <c r="G282" i="35"/>
  <c r="P282" i="35"/>
  <c r="AB282" i="35"/>
  <c r="H282" i="35"/>
  <c r="Q282" i="35"/>
  <c r="AC282" i="35"/>
  <c r="I282" i="35"/>
  <c r="R282" i="35"/>
  <c r="AD282" i="35"/>
  <c r="J282" i="35"/>
  <c r="S282" i="35"/>
  <c r="AE282" i="35"/>
  <c r="K282" i="35"/>
  <c r="T282" i="35"/>
  <c r="AF282" i="35"/>
  <c r="D283" i="35"/>
  <c r="M283" i="35"/>
  <c r="Y283" i="35"/>
  <c r="N283" i="35"/>
  <c r="Z283" i="35"/>
  <c r="F283" i="35"/>
  <c r="O283" i="35"/>
  <c r="AA283" i="35"/>
  <c r="G283" i="35"/>
  <c r="P283" i="35"/>
  <c r="AB283" i="35"/>
  <c r="H283" i="35"/>
  <c r="Q283" i="35"/>
  <c r="AC283" i="35"/>
  <c r="I283" i="35"/>
  <c r="R283" i="35"/>
  <c r="AD283" i="35"/>
  <c r="J283" i="35"/>
  <c r="S283" i="35"/>
  <c r="AE283" i="35"/>
  <c r="K283" i="35"/>
  <c r="T283" i="35"/>
  <c r="AF283" i="35"/>
  <c r="D284" i="35"/>
  <c r="M284" i="35"/>
  <c r="Y284" i="35"/>
  <c r="N284" i="35"/>
  <c r="Z284" i="35"/>
  <c r="F284" i="35"/>
  <c r="O284" i="35"/>
  <c r="AA284" i="35"/>
  <c r="G284" i="35"/>
  <c r="P284" i="35"/>
  <c r="AB284" i="35"/>
  <c r="H284" i="35"/>
  <c r="Q284" i="35"/>
  <c r="AC284" i="35"/>
  <c r="I284" i="35"/>
  <c r="R284" i="35"/>
  <c r="AD284" i="35"/>
  <c r="J284" i="35"/>
  <c r="S284" i="35"/>
  <c r="AE284" i="35"/>
  <c r="K284" i="35"/>
  <c r="T284" i="35"/>
  <c r="AF284" i="35"/>
  <c r="D285" i="35"/>
  <c r="M285" i="35"/>
  <c r="Y285" i="35"/>
  <c r="N285" i="35"/>
  <c r="Z285" i="35"/>
  <c r="F285" i="35"/>
  <c r="O285" i="35"/>
  <c r="AA285" i="35"/>
  <c r="G285" i="35"/>
  <c r="P285" i="35"/>
  <c r="AB285" i="35"/>
  <c r="H285" i="35"/>
  <c r="Q285" i="35"/>
  <c r="AC285" i="35"/>
  <c r="I285" i="35"/>
  <c r="R285" i="35"/>
  <c r="AD285" i="35"/>
  <c r="J285" i="35"/>
  <c r="S285" i="35"/>
  <c r="AE285" i="35"/>
  <c r="K285" i="35"/>
  <c r="T285" i="35"/>
  <c r="AF285" i="35"/>
  <c r="D286" i="35"/>
  <c r="M286" i="35"/>
  <c r="Y286" i="35"/>
  <c r="N286" i="35"/>
  <c r="Z286" i="35"/>
  <c r="F286" i="35"/>
  <c r="O286" i="35"/>
  <c r="AA286" i="35"/>
  <c r="G286" i="35"/>
  <c r="P286" i="35"/>
  <c r="AB286" i="35"/>
  <c r="H286" i="35"/>
  <c r="Q286" i="35"/>
  <c r="AC286" i="35"/>
  <c r="I286" i="35"/>
  <c r="R286" i="35"/>
  <c r="AD286" i="35"/>
  <c r="J286" i="35"/>
  <c r="S286" i="35"/>
  <c r="AE286" i="35"/>
  <c r="K286" i="35"/>
  <c r="T286" i="35"/>
  <c r="AF286" i="35"/>
  <c r="D287" i="35"/>
  <c r="M287" i="35"/>
  <c r="Y287" i="35"/>
  <c r="N287" i="35"/>
  <c r="Z287" i="35"/>
  <c r="F287" i="35"/>
  <c r="O287" i="35"/>
  <c r="AA287" i="35"/>
  <c r="G287" i="35"/>
  <c r="P287" i="35"/>
  <c r="AB287" i="35"/>
  <c r="H287" i="35"/>
  <c r="Q287" i="35"/>
  <c r="AC287" i="35"/>
  <c r="I287" i="35"/>
  <c r="R287" i="35"/>
  <c r="AD287" i="35"/>
  <c r="J287" i="35"/>
  <c r="S287" i="35"/>
  <c r="AE287" i="35"/>
  <c r="K287" i="35"/>
  <c r="T287" i="35"/>
  <c r="AF287" i="35"/>
  <c r="D288" i="35"/>
  <c r="M288" i="35"/>
  <c r="Y288" i="35"/>
  <c r="N288" i="35"/>
  <c r="Z288" i="35"/>
  <c r="F288" i="35"/>
  <c r="O288" i="35"/>
  <c r="AA288" i="35"/>
  <c r="G288" i="35"/>
  <c r="P288" i="35"/>
  <c r="AB288" i="35"/>
  <c r="H288" i="35"/>
  <c r="Q288" i="35"/>
  <c r="AC288" i="35"/>
  <c r="I288" i="35"/>
  <c r="R288" i="35"/>
  <c r="AD288" i="35"/>
  <c r="J288" i="35"/>
  <c r="S288" i="35"/>
  <c r="AE288" i="35"/>
  <c r="K288" i="35"/>
  <c r="T288" i="35"/>
  <c r="AF288" i="35"/>
  <c r="D289" i="35"/>
  <c r="M289" i="35"/>
  <c r="Y289" i="35"/>
  <c r="N289" i="35"/>
  <c r="Z289" i="35"/>
  <c r="F289" i="35"/>
  <c r="O289" i="35"/>
  <c r="AA289" i="35"/>
  <c r="G289" i="35"/>
  <c r="P289" i="35"/>
  <c r="AB289" i="35"/>
  <c r="H289" i="35"/>
  <c r="Q289" i="35"/>
  <c r="AC289" i="35"/>
  <c r="I289" i="35"/>
  <c r="R289" i="35"/>
  <c r="AD289" i="35"/>
  <c r="J289" i="35"/>
  <c r="S289" i="35"/>
  <c r="AE289" i="35"/>
  <c r="K289" i="35"/>
  <c r="T289" i="35"/>
  <c r="AF289" i="35"/>
  <c r="D290" i="35"/>
  <c r="M290" i="35"/>
  <c r="Y290" i="35"/>
  <c r="N290" i="35"/>
  <c r="Z290" i="35"/>
  <c r="F290" i="35"/>
  <c r="O290" i="35"/>
  <c r="AA290" i="35"/>
  <c r="G290" i="35"/>
  <c r="P290" i="35"/>
  <c r="AB290" i="35"/>
  <c r="H290" i="35"/>
  <c r="Q290" i="35"/>
  <c r="AC290" i="35"/>
  <c r="I290" i="35"/>
  <c r="R290" i="35"/>
  <c r="AD290" i="35"/>
  <c r="J290" i="35"/>
  <c r="S290" i="35"/>
  <c r="AE290" i="35"/>
  <c r="K290" i="35"/>
  <c r="T290" i="35"/>
  <c r="AF290" i="35"/>
  <c r="D291" i="35"/>
  <c r="M291" i="35"/>
  <c r="Y291" i="35"/>
  <c r="N291" i="35"/>
  <c r="Z291" i="35"/>
  <c r="F291" i="35"/>
  <c r="O291" i="35"/>
  <c r="AA291" i="35"/>
  <c r="G291" i="35"/>
  <c r="P291" i="35"/>
  <c r="AB291" i="35"/>
  <c r="H291" i="35"/>
  <c r="Q291" i="35"/>
  <c r="AC291" i="35"/>
  <c r="I291" i="35"/>
  <c r="R291" i="35"/>
  <c r="AD291" i="35"/>
  <c r="J291" i="35"/>
  <c r="S291" i="35"/>
  <c r="AE291" i="35"/>
  <c r="K291" i="35"/>
  <c r="T291" i="35"/>
  <c r="AF291" i="35"/>
  <c r="D292" i="35"/>
  <c r="M292" i="35"/>
  <c r="Y292" i="35"/>
  <c r="N292" i="35"/>
  <c r="Z292" i="35"/>
  <c r="F292" i="35"/>
  <c r="O292" i="35"/>
  <c r="AA292" i="35"/>
  <c r="G292" i="35"/>
  <c r="P292" i="35"/>
  <c r="AB292" i="35"/>
  <c r="H292" i="35"/>
  <c r="Q292" i="35"/>
  <c r="AC292" i="35"/>
  <c r="I292" i="35"/>
  <c r="R292" i="35"/>
  <c r="AD292" i="35"/>
  <c r="J292" i="35"/>
  <c r="S292" i="35"/>
  <c r="AE292" i="35"/>
  <c r="K292" i="35"/>
  <c r="T292" i="35"/>
  <c r="AF292" i="35"/>
  <c r="D293" i="35"/>
  <c r="M293" i="35"/>
  <c r="Y293" i="35"/>
  <c r="N293" i="35"/>
  <c r="Z293" i="35"/>
  <c r="F293" i="35"/>
  <c r="O293" i="35"/>
  <c r="AA293" i="35"/>
  <c r="G293" i="35"/>
  <c r="P293" i="35"/>
  <c r="AB293" i="35"/>
  <c r="H293" i="35"/>
  <c r="Q293" i="35"/>
  <c r="AC293" i="35"/>
  <c r="I293" i="35"/>
  <c r="R293" i="35"/>
  <c r="AD293" i="35"/>
  <c r="J293" i="35"/>
  <c r="S293" i="35"/>
  <c r="AE293" i="35"/>
  <c r="K293" i="35"/>
  <c r="T293" i="35"/>
  <c r="AF293" i="35"/>
  <c r="D294" i="35"/>
  <c r="M294" i="35"/>
  <c r="Y294" i="35"/>
  <c r="N294" i="35"/>
  <c r="Z294" i="35"/>
  <c r="F294" i="35"/>
  <c r="O294" i="35"/>
  <c r="AA294" i="35"/>
  <c r="G294" i="35"/>
  <c r="P294" i="35"/>
  <c r="AB294" i="35"/>
  <c r="H294" i="35"/>
  <c r="Q294" i="35"/>
  <c r="AC294" i="35"/>
  <c r="I294" i="35"/>
  <c r="R294" i="35"/>
  <c r="AD294" i="35"/>
  <c r="J294" i="35"/>
  <c r="S294" i="35"/>
  <c r="AE294" i="35"/>
  <c r="K294" i="35"/>
  <c r="T294" i="35"/>
  <c r="AF294" i="35"/>
  <c r="D295" i="35"/>
  <c r="M295" i="35"/>
  <c r="Y295" i="35"/>
  <c r="N295" i="35"/>
  <c r="Z295" i="35"/>
  <c r="F295" i="35"/>
  <c r="O295" i="35"/>
  <c r="AA295" i="35"/>
  <c r="G295" i="35"/>
  <c r="P295" i="35"/>
  <c r="AB295" i="35"/>
  <c r="H295" i="35"/>
  <c r="Q295" i="35"/>
  <c r="AC295" i="35"/>
  <c r="I295" i="35"/>
  <c r="R295" i="35"/>
  <c r="AD295" i="35"/>
  <c r="J295" i="35"/>
  <c r="S295" i="35"/>
  <c r="AE295" i="35"/>
  <c r="K295" i="35"/>
  <c r="T295" i="35"/>
  <c r="AF295" i="35"/>
  <c r="D296" i="35"/>
  <c r="M296" i="35"/>
  <c r="Y296" i="35"/>
  <c r="N296" i="35"/>
  <c r="Z296" i="35"/>
  <c r="F296" i="35"/>
  <c r="O296" i="35"/>
  <c r="AA296" i="35"/>
  <c r="G296" i="35"/>
  <c r="P296" i="35"/>
  <c r="AB296" i="35"/>
  <c r="H296" i="35"/>
  <c r="Q296" i="35"/>
  <c r="AC296" i="35"/>
  <c r="I296" i="35"/>
  <c r="R296" i="35"/>
  <c r="AD296" i="35"/>
  <c r="J296" i="35"/>
  <c r="S296" i="35"/>
  <c r="AE296" i="35"/>
  <c r="K296" i="35"/>
  <c r="T296" i="35"/>
  <c r="AF296" i="35"/>
  <c r="D297" i="35"/>
  <c r="M297" i="35"/>
  <c r="Y297" i="35"/>
  <c r="N297" i="35"/>
  <c r="Z297" i="35"/>
  <c r="F297" i="35"/>
  <c r="O297" i="35"/>
  <c r="AA297" i="35"/>
  <c r="G297" i="35"/>
  <c r="P297" i="35"/>
  <c r="AB297" i="35"/>
  <c r="H297" i="35"/>
  <c r="Q297" i="35"/>
  <c r="AC297" i="35"/>
  <c r="I297" i="35"/>
  <c r="R297" i="35"/>
  <c r="AD297" i="35"/>
  <c r="J297" i="35"/>
  <c r="S297" i="35"/>
  <c r="AE297" i="35"/>
  <c r="K297" i="35"/>
  <c r="T297" i="35"/>
  <c r="AF297" i="35"/>
  <c r="D298" i="35"/>
  <c r="M298" i="35"/>
  <c r="Y298" i="35"/>
  <c r="N298" i="35"/>
  <c r="Z298" i="35"/>
  <c r="F298" i="35"/>
  <c r="O298" i="35"/>
  <c r="AA298" i="35"/>
  <c r="G298" i="35"/>
  <c r="P298" i="35"/>
  <c r="AB298" i="35"/>
  <c r="H298" i="35"/>
  <c r="Q298" i="35"/>
  <c r="AC298" i="35"/>
  <c r="I298" i="35"/>
  <c r="R298" i="35"/>
  <c r="AD298" i="35"/>
  <c r="J298" i="35"/>
  <c r="S298" i="35"/>
  <c r="AE298" i="35"/>
  <c r="K298" i="35"/>
  <c r="T298" i="35"/>
  <c r="AF298" i="35"/>
  <c r="D299" i="35"/>
  <c r="M299" i="35"/>
  <c r="Y299" i="35"/>
  <c r="N299" i="35"/>
  <c r="Z299" i="35"/>
  <c r="F299" i="35"/>
  <c r="O299" i="35"/>
  <c r="AA299" i="35"/>
  <c r="G299" i="35"/>
  <c r="P299" i="35"/>
  <c r="AB299" i="35"/>
  <c r="H299" i="35"/>
  <c r="Q299" i="35"/>
  <c r="AC299" i="35"/>
  <c r="I299" i="35"/>
  <c r="R299" i="35"/>
  <c r="AD299" i="35"/>
  <c r="J299" i="35"/>
  <c r="S299" i="35"/>
  <c r="AE299" i="35"/>
  <c r="K299" i="35"/>
  <c r="T299" i="35"/>
  <c r="AF299" i="35"/>
  <c r="D300" i="35"/>
  <c r="M300" i="35"/>
  <c r="Y300" i="35"/>
  <c r="N300" i="35"/>
  <c r="Z300" i="35"/>
  <c r="F300" i="35"/>
  <c r="O300" i="35"/>
  <c r="AA300" i="35"/>
  <c r="G300" i="35"/>
  <c r="P300" i="35"/>
  <c r="AB300" i="35"/>
  <c r="H300" i="35"/>
  <c r="Q300" i="35"/>
  <c r="AC300" i="35"/>
  <c r="I300" i="35"/>
  <c r="R300" i="35"/>
  <c r="AD300" i="35"/>
  <c r="J300" i="35"/>
  <c r="S300" i="35"/>
  <c r="AE300" i="35"/>
  <c r="K300" i="35"/>
  <c r="T300" i="35"/>
  <c r="AF300" i="35"/>
  <c r="D301" i="35"/>
  <c r="M301" i="35"/>
  <c r="Y301" i="35"/>
  <c r="N301" i="35"/>
  <c r="Z301" i="35"/>
  <c r="F301" i="35"/>
  <c r="O301" i="35"/>
  <c r="AA301" i="35"/>
  <c r="G301" i="35"/>
  <c r="P301" i="35"/>
  <c r="AB301" i="35"/>
  <c r="H301" i="35"/>
  <c r="Q301" i="35"/>
  <c r="AC301" i="35"/>
  <c r="I301" i="35"/>
  <c r="R301" i="35"/>
  <c r="AD301" i="35"/>
  <c r="J301" i="35"/>
  <c r="S301" i="35"/>
  <c r="AE301" i="35"/>
  <c r="K301" i="35"/>
  <c r="T301" i="35"/>
  <c r="AF301" i="35"/>
  <c r="D302" i="35"/>
  <c r="M302" i="35"/>
  <c r="Y302" i="35"/>
  <c r="N302" i="35"/>
  <c r="Z302" i="35"/>
  <c r="F302" i="35"/>
  <c r="O302" i="35"/>
  <c r="AA302" i="35"/>
  <c r="G302" i="35"/>
  <c r="P302" i="35"/>
  <c r="AB302" i="35"/>
  <c r="H302" i="35"/>
  <c r="Q302" i="35"/>
  <c r="AC302" i="35"/>
  <c r="I302" i="35"/>
  <c r="R302" i="35"/>
  <c r="AD302" i="35"/>
  <c r="J302" i="35"/>
  <c r="S302" i="35"/>
  <c r="AE302" i="35"/>
  <c r="K302" i="35"/>
  <c r="T302" i="35"/>
  <c r="AF302" i="35"/>
  <c r="D303" i="35"/>
  <c r="M303" i="35"/>
  <c r="Y303" i="35"/>
  <c r="N303" i="35"/>
  <c r="Z303" i="35"/>
  <c r="F303" i="35"/>
  <c r="O303" i="35"/>
  <c r="AA303" i="35"/>
  <c r="G303" i="35"/>
  <c r="P303" i="35"/>
  <c r="AB303" i="35"/>
  <c r="H303" i="35"/>
  <c r="Q303" i="35"/>
  <c r="AC303" i="35"/>
  <c r="I303" i="35"/>
  <c r="R303" i="35"/>
  <c r="AD303" i="35"/>
  <c r="J303" i="35"/>
  <c r="S303" i="35"/>
  <c r="AE303" i="35"/>
  <c r="K303" i="35"/>
  <c r="T303" i="35"/>
  <c r="AF303" i="35"/>
  <c r="D304" i="35"/>
  <c r="M304" i="35"/>
  <c r="Y304" i="35"/>
  <c r="N304" i="35"/>
  <c r="Z304" i="35"/>
  <c r="F304" i="35"/>
  <c r="O304" i="35"/>
  <c r="AA304" i="35"/>
  <c r="G304" i="35"/>
  <c r="P304" i="35"/>
  <c r="AB304" i="35"/>
  <c r="H304" i="35"/>
  <c r="Q304" i="35"/>
  <c r="AC304" i="35"/>
  <c r="I304" i="35"/>
  <c r="R304" i="35"/>
  <c r="AD304" i="35"/>
  <c r="J304" i="35"/>
  <c r="S304" i="35"/>
  <c r="AE304" i="35"/>
  <c r="K304" i="35"/>
  <c r="T304" i="35"/>
  <c r="AF304" i="35"/>
  <c r="D305" i="35"/>
  <c r="M305" i="35"/>
  <c r="Y305" i="35"/>
  <c r="N305" i="35"/>
  <c r="Z305" i="35"/>
  <c r="F305" i="35"/>
  <c r="O305" i="35"/>
  <c r="AA305" i="35"/>
  <c r="G305" i="35"/>
  <c r="P305" i="35"/>
  <c r="AB305" i="35"/>
  <c r="H305" i="35"/>
  <c r="Q305" i="35"/>
  <c r="AC305" i="35"/>
  <c r="I305" i="35"/>
  <c r="R305" i="35"/>
  <c r="AD305" i="35"/>
  <c r="J305" i="35"/>
  <c r="S305" i="35"/>
  <c r="AE305" i="35"/>
  <c r="K305" i="35"/>
  <c r="T305" i="35"/>
  <c r="AF305" i="35"/>
  <c r="D306" i="35"/>
  <c r="M306" i="35"/>
  <c r="Y306" i="35"/>
  <c r="N306" i="35"/>
  <c r="Z306" i="35"/>
  <c r="F306" i="35"/>
  <c r="O306" i="35"/>
  <c r="AA306" i="35"/>
  <c r="G306" i="35"/>
  <c r="P306" i="35"/>
  <c r="AB306" i="35"/>
  <c r="H306" i="35"/>
  <c r="Q306" i="35"/>
  <c r="AC306" i="35"/>
  <c r="I306" i="35"/>
  <c r="R306" i="35"/>
  <c r="AD306" i="35"/>
  <c r="J306" i="35"/>
  <c r="S306" i="35"/>
  <c r="AE306" i="35"/>
  <c r="K306" i="35"/>
  <c r="T306" i="35"/>
  <c r="AF306" i="35"/>
  <c r="D307" i="35"/>
  <c r="M307" i="35"/>
  <c r="Y307" i="35"/>
  <c r="N307" i="35"/>
  <c r="Z307" i="35"/>
  <c r="F307" i="35"/>
  <c r="O307" i="35"/>
  <c r="AA307" i="35"/>
  <c r="G307" i="35"/>
  <c r="P307" i="35"/>
  <c r="AB307" i="35"/>
  <c r="H307" i="35"/>
  <c r="Q307" i="35"/>
  <c r="AC307" i="35"/>
  <c r="I307" i="35"/>
  <c r="R307" i="35"/>
  <c r="AD307" i="35"/>
  <c r="J307" i="35"/>
  <c r="S307" i="35"/>
  <c r="AE307" i="35"/>
  <c r="K307" i="35"/>
  <c r="T307" i="35"/>
  <c r="AF307" i="35"/>
  <c r="D308" i="35"/>
  <c r="M308" i="35"/>
  <c r="Y308" i="35"/>
  <c r="N308" i="35"/>
  <c r="Z308" i="35"/>
  <c r="F308" i="35"/>
  <c r="O308" i="35"/>
  <c r="AA308" i="35"/>
  <c r="G308" i="35"/>
  <c r="P308" i="35"/>
  <c r="AB308" i="35"/>
  <c r="H308" i="35"/>
  <c r="Q308" i="35"/>
  <c r="AC308" i="35"/>
  <c r="I308" i="35"/>
  <c r="R308" i="35"/>
  <c r="AD308" i="35"/>
  <c r="J308" i="35"/>
  <c r="S308" i="35"/>
  <c r="AE308" i="35"/>
  <c r="K308" i="35"/>
  <c r="T308" i="35"/>
  <c r="AF308" i="35"/>
  <c r="D309" i="35"/>
  <c r="M309" i="35"/>
  <c r="Y309" i="35"/>
  <c r="N309" i="35"/>
  <c r="Z309" i="35"/>
  <c r="F309" i="35"/>
  <c r="O309" i="35"/>
  <c r="AA309" i="35"/>
  <c r="G309" i="35"/>
  <c r="P309" i="35"/>
  <c r="AB309" i="35"/>
  <c r="H309" i="35"/>
  <c r="Q309" i="35"/>
  <c r="AC309" i="35"/>
  <c r="I309" i="35"/>
  <c r="R309" i="35"/>
  <c r="AD309" i="35"/>
  <c r="J309" i="35"/>
  <c r="S309" i="35"/>
  <c r="AE309" i="35"/>
  <c r="K309" i="35"/>
  <c r="T309" i="35"/>
  <c r="AF309" i="35"/>
  <c r="D310" i="35"/>
  <c r="M310" i="35"/>
  <c r="Y310" i="35"/>
  <c r="N310" i="35"/>
  <c r="Z310" i="35"/>
  <c r="F310" i="35"/>
  <c r="O310" i="35"/>
  <c r="AA310" i="35"/>
  <c r="G310" i="35"/>
  <c r="P310" i="35"/>
  <c r="AB310" i="35"/>
  <c r="H310" i="35"/>
  <c r="Q310" i="35"/>
  <c r="AC310" i="35"/>
  <c r="I310" i="35"/>
  <c r="R310" i="35"/>
  <c r="AD310" i="35"/>
  <c r="J310" i="35"/>
  <c r="S310" i="35"/>
  <c r="AE310" i="35"/>
  <c r="K310" i="35"/>
  <c r="T310" i="35"/>
  <c r="AF310" i="35"/>
  <c r="D311" i="35"/>
  <c r="M311" i="35"/>
  <c r="Y311" i="35"/>
  <c r="N311" i="35"/>
  <c r="Z311" i="35"/>
  <c r="F311" i="35"/>
  <c r="O311" i="35"/>
  <c r="AA311" i="35"/>
  <c r="G311" i="35"/>
  <c r="P311" i="35"/>
  <c r="AB311" i="35"/>
  <c r="H311" i="35"/>
  <c r="Q311" i="35"/>
  <c r="AC311" i="35"/>
  <c r="I311" i="35"/>
  <c r="R311" i="35"/>
  <c r="AD311" i="35"/>
  <c r="J311" i="35"/>
  <c r="S311" i="35"/>
  <c r="AE311" i="35"/>
  <c r="K311" i="35"/>
  <c r="T311" i="35"/>
  <c r="AF311" i="35"/>
  <c r="D312" i="35"/>
  <c r="M312" i="35"/>
  <c r="Y312" i="35"/>
  <c r="N312" i="35"/>
  <c r="Z312" i="35"/>
  <c r="F312" i="35"/>
  <c r="O312" i="35"/>
  <c r="AA312" i="35"/>
  <c r="G312" i="35"/>
  <c r="P312" i="35"/>
  <c r="AB312" i="35"/>
  <c r="H312" i="35"/>
  <c r="Q312" i="35"/>
  <c r="AC312" i="35"/>
  <c r="I312" i="35"/>
  <c r="R312" i="35"/>
  <c r="AD312" i="35"/>
  <c r="J312" i="35"/>
  <c r="S312" i="35"/>
  <c r="AE312" i="35"/>
  <c r="K312" i="35"/>
  <c r="T312" i="35"/>
  <c r="AF312" i="35"/>
  <c r="D313" i="35"/>
  <c r="M313" i="35"/>
  <c r="Y313" i="35"/>
  <c r="N313" i="35"/>
  <c r="Z313" i="35"/>
  <c r="F313" i="35"/>
  <c r="O313" i="35"/>
  <c r="AA313" i="35"/>
  <c r="G313" i="35"/>
  <c r="P313" i="35"/>
  <c r="AB313" i="35"/>
  <c r="H313" i="35"/>
  <c r="Q313" i="35"/>
  <c r="AC313" i="35"/>
  <c r="I313" i="35"/>
  <c r="R313" i="35"/>
  <c r="AD313" i="35"/>
  <c r="J313" i="35"/>
  <c r="S313" i="35"/>
  <c r="AE313" i="35"/>
  <c r="K313" i="35"/>
  <c r="T313" i="35"/>
  <c r="AF313" i="35"/>
  <c r="D314" i="35"/>
  <c r="M314" i="35"/>
  <c r="Y314" i="35"/>
  <c r="N314" i="35"/>
  <c r="Z314" i="35"/>
  <c r="F314" i="35"/>
  <c r="O314" i="35"/>
  <c r="AA314" i="35"/>
  <c r="G314" i="35"/>
  <c r="P314" i="35"/>
  <c r="AB314" i="35"/>
  <c r="H314" i="35"/>
  <c r="Q314" i="35"/>
  <c r="AC314" i="35"/>
  <c r="I314" i="35"/>
  <c r="R314" i="35"/>
  <c r="AD314" i="35"/>
  <c r="J314" i="35"/>
  <c r="S314" i="35"/>
  <c r="AE314" i="35"/>
  <c r="K314" i="35"/>
  <c r="T314" i="35"/>
  <c r="AF314" i="35"/>
  <c r="D315" i="35"/>
  <c r="M315" i="35"/>
  <c r="Y315" i="35"/>
  <c r="N315" i="35"/>
  <c r="Z315" i="35"/>
  <c r="F315" i="35"/>
  <c r="O315" i="35"/>
  <c r="AA315" i="35"/>
  <c r="G315" i="35"/>
  <c r="P315" i="35"/>
  <c r="AB315" i="35"/>
  <c r="H315" i="35"/>
  <c r="Q315" i="35"/>
  <c r="AC315" i="35"/>
  <c r="I315" i="35"/>
  <c r="R315" i="35"/>
  <c r="AD315" i="35"/>
  <c r="J315" i="35"/>
  <c r="S315" i="35"/>
  <c r="AE315" i="35"/>
  <c r="K315" i="35"/>
  <c r="T315" i="35"/>
  <c r="AF315" i="35"/>
  <c r="D316" i="35"/>
  <c r="M316" i="35"/>
  <c r="Y316" i="35"/>
  <c r="N316" i="35"/>
  <c r="Z316" i="35"/>
  <c r="F316" i="35"/>
  <c r="O316" i="35"/>
  <c r="AA316" i="35"/>
  <c r="G316" i="35"/>
  <c r="P316" i="35"/>
  <c r="AB316" i="35"/>
  <c r="H316" i="35"/>
  <c r="Q316" i="35"/>
  <c r="AC316" i="35"/>
  <c r="I316" i="35"/>
  <c r="R316" i="35"/>
  <c r="AD316" i="35"/>
  <c r="J316" i="35"/>
  <c r="S316" i="35"/>
  <c r="AE316" i="35"/>
  <c r="K316" i="35"/>
  <c r="T316" i="35"/>
  <c r="AF316" i="35"/>
  <c r="D317" i="35"/>
  <c r="M317" i="35"/>
  <c r="Y317" i="35"/>
  <c r="N317" i="35"/>
  <c r="Z317" i="35"/>
  <c r="F317" i="35"/>
  <c r="O317" i="35"/>
  <c r="AA317" i="35"/>
  <c r="G317" i="35"/>
  <c r="P317" i="35"/>
  <c r="AB317" i="35"/>
  <c r="H317" i="35"/>
  <c r="Q317" i="35"/>
  <c r="AC317" i="35"/>
  <c r="I317" i="35"/>
  <c r="R317" i="35"/>
  <c r="AD317" i="35"/>
  <c r="J317" i="35"/>
  <c r="S317" i="35"/>
  <c r="AE317" i="35"/>
  <c r="K317" i="35"/>
  <c r="T317" i="35"/>
  <c r="AF317" i="35"/>
  <c r="D318" i="35"/>
  <c r="M318" i="35"/>
  <c r="Y318" i="35"/>
  <c r="N318" i="35"/>
  <c r="Z318" i="35"/>
  <c r="F318" i="35"/>
  <c r="O318" i="35"/>
  <c r="AA318" i="35"/>
  <c r="G318" i="35"/>
  <c r="P318" i="35"/>
  <c r="AB318" i="35"/>
  <c r="H318" i="35"/>
  <c r="Q318" i="35"/>
  <c r="AC318" i="35"/>
  <c r="I318" i="35"/>
  <c r="R318" i="35"/>
  <c r="AD318" i="35"/>
  <c r="J318" i="35"/>
  <c r="S318" i="35"/>
  <c r="AE318" i="35"/>
  <c r="K318" i="35"/>
  <c r="T318" i="35"/>
  <c r="AF318" i="35"/>
  <c r="B26" i="35"/>
  <c r="B239" i="35"/>
  <c r="C239" i="35"/>
  <c r="B240" i="35"/>
  <c r="C240" i="35"/>
  <c r="B241" i="35"/>
  <c r="C241" i="35"/>
  <c r="B242" i="35"/>
  <c r="C242" i="35"/>
  <c r="B243" i="35"/>
  <c r="C243" i="35"/>
  <c r="B244" i="35"/>
  <c r="C244" i="35"/>
  <c r="B245" i="35"/>
  <c r="C245" i="35"/>
  <c r="B246" i="35"/>
  <c r="C246" i="35"/>
  <c r="B247" i="35"/>
  <c r="C247" i="35"/>
  <c r="B248" i="35"/>
  <c r="C248" i="35"/>
  <c r="B249" i="35"/>
  <c r="C249" i="35"/>
  <c r="B250" i="35"/>
  <c r="C250" i="35"/>
  <c r="B251" i="35"/>
  <c r="C251" i="35"/>
  <c r="B252" i="35"/>
  <c r="C252" i="35"/>
  <c r="B253" i="35"/>
  <c r="C253" i="35"/>
  <c r="B254" i="35"/>
  <c r="C254" i="35"/>
  <c r="B255" i="35"/>
  <c r="C255" i="35"/>
  <c r="B256" i="35"/>
  <c r="C256" i="35"/>
  <c r="B257" i="35"/>
  <c r="C257" i="35"/>
  <c r="B258" i="35"/>
  <c r="C258" i="35"/>
  <c r="B259" i="35"/>
  <c r="C259" i="35"/>
  <c r="B260" i="35"/>
  <c r="C260" i="35"/>
  <c r="B261" i="35"/>
  <c r="C261" i="35"/>
  <c r="B262" i="35"/>
  <c r="C262" i="35"/>
  <c r="B263" i="35"/>
  <c r="C263" i="35"/>
  <c r="B264" i="35"/>
  <c r="C264" i="35"/>
  <c r="B265" i="35"/>
  <c r="C265" i="35"/>
  <c r="B266" i="35"/>
  <c r="C266" i="35"/>
  <c r="B267" i="35"/>
  <c r="C267" i="35"/>
  <c r="B268" i="35"/>
  <c r="C268" i="35"/>
  <c r="B269" i="35"/>
  <c r="C269" i="35"/>
  <c r="B270" i="35"/>
  <c r="C270" i="35"/>
  <c r="B271" i="35"/>
  <c r="C271" i="35"/>
  <c r="B272" i="35"/>
  <c r="C272" i="35"/>
  <c r="B273" i="35"/>
  <c r="C273" i="35"/>
  <c r="B274" i="35"/>
  <c r="C274" i="35"/>
  <c r="B275" i="35"/>
  <c r="C275" i="35"/>
  <c r="B276" i="35"/>
  <c r="C276" i="35"/>
  <c r="B277" i="35"/>
  <c r="C277" i="35"/>
  <c r="B278" i="35"/>
  <c r="C278" i="35"/>
  <c r="B279" i="35"/>
  <c r="C279" i="35"/>
  <c r="B280" i="35"/>
  <c r="C280" i="35"/>
  <c r="B281" i="35"/>
  <c r="C281" i="35"/>
  <c r="B282" i="35"/>
  <c r="C282" i="35"/>
  <c r="B283" i="35"/>
  <c r="C283" i="35"/>
  <c r="B284" i="35"/>
  <c r="C284" i="35"/>
  <c r="B285" i="35"/>
  <c r="C285" i="35"/>
  <c r="B286" i="35"/>
  <c r="C286" i="35"/>
  <c r="B287" i="35"/>
  <c r="C287" i="35"/>
  <c r="B288" i="35"/>
  <c r="C288" i="35"/>
  <c r="B289" i="35"/>
  <c r="C289" i="35"/>
  <c r="B290" i="35"/>
  <c r="C290" i="35"/>
  <c r="B291" i="35"/>
  <c r="C291" i="35"/>
  <c r="B292" i="35"/>
  <c r="C292" i="35"/>
  <c r="B293" i="35"/>
  <c r="C293" i="35"/>
  <c r="B294" i="35"/>
  <c r="C294" i="35"/>
  <c r="B295" i="35"/>
  <c r="C295" i="35"/>
  <c r="B296" i="35"/>
  <c r="C296" i="35"/>
  <c r="B297" i="35"/>
  <c r="C297" i="35"/>
  <c r="B298" i="35"/>
  <c r="C298" i="35"/>
  <c r="B299" i="35"/>
  <c r="C299" i="35"/>
  <c r="B300" i="35"/>
  <c r="C300" i="35"/>
  <c r="B301" i="35"/>
  <c r="C301" i="35"/>
  <c r="B302" i="35"/>
  <c r="C302" i="35"/>
  <c r="B303" i="35"/>
  <c r="C303" i="35"/>
  <c r="B304" i="35"/>
  <c r="C304" i="35"/>
  <c r="B305" i="35"/>
  <c r="C305" i="35"/>
  <c r="B306" i="35"/>
  <c r="C306" i="35"/>
  <c r="B307" i="35"/>
  <c r="C307" i="35"/>
  <c r="B308" i="35"/>
  <c r="C308" i="35"/>
  <c r="B309" i="35"/>
  <c r="C309" i="35"/>
  <c r="B310" i="35"/>
  <c r="C310" i="35"/>
  <c r="B311" i="35"/>
  <c r="C311" i="35"/>
  <c r="B312" i="35"/>
  <c r="C312" i="35"/>
  <c r="B313" i="35"/>
  <c r="C313" i="35"/>
  <c r="B314" i="35"/>
  <c r="C314" i="35"/>
  <c r="B315" i="35"/>
  <c r="C315" i="35"/>
  <c r="B316" i="35"/>
  <c r="C316" i="35"/>
  <c r="B317" i="35"/>
  <c r="C317" i="35"/>
  <c r="B318" i="35"/>
  <c r="C318" i="35"/>
  <c r="B21" i="35"/>
  <c r="D26" i="35"/>
  <c r="E26" i="35"/>
  <c r="B24" i="35"/>
  <c r="C24" i="35"/>
  <c r="B19" i="35"/>
  <c r="C19" i="35"/>
  <c r="E24" i="35"/>
  <c r="C78" i="53"/>
  <c r="AG78" i="53"/>
  <c r="C79" i="53"/>
  <c r="AG79" i="53"/>
  <c r="C80" i="53"/>
  <c r="AG80" i="53"/>
  <c r="C81" i="53"/>
  <c r="AG81" i="53"/>
  <c r="C82" i="53"/>
  <c r="AG82" i="53"/>
  <c r="C83" i="53"/>
  <c r="AG83" i="53"/>
  <c r="C84" i="53"/>
  <c r="AG84" i="53"/>
  <c r="C85" i="53"/>
  <c r="AG85" i="53"/>
  <c r="C86" i="53"/>
  <c r="AG86" i="53"/>
  <c r="C87" i="53"/>
  <c r="AG87" i="53"/>
  <c r="C88" i="53"/>
  <c r="AG88" i="53"/>
  <c r="C89" i="53"/>
  <c r="AG89" i="53"/>
  <c r="C90" i="53"/>
  <c r="AG90" i="53"/>
  <c r="C91" i="53"/>
  <c r="AG91" i="53"/>
  <c r="C92" i="53"/>
  <c r="AG92" i="53"/>
  <c r="C93" i="53"/>
  <c r="AG93" i="53"/>
  <c r="C94" i="53"/>
  <c r="AG94" i="53"/>
  <c r="C95" i="53"/>
  <c r="AG95" i="53"/>
  <c r="C96" i="53"/>
  <c r="AG96" i="53"/>
  <c r="C97" i="53"/>
  <c r="AG97" i="53"/>
  <c r="C98" i="53"/>
  <c r="AG98" i="53"/>
  <c r="C99" i="53"/>
  <c r="AG99" i="53"/>
  <c r="C100" i="53"/>
  <c r="AG100" i="53"/>
  <c r="C101" i="53"/>
  <c r="AG101" i="53"/>
  <c r="C102" i="53"/>
  <c r="AG102" i="53"/>
  <c r="C103" i="53"/>
  <c r="AG103" i="53"/>
  <c r="C104" i="53"/>
  <c r="AG104" i="53"/>
  <c r="C105" i="53"/>
  <c r="AG105" i="53"/>
  <c r="C106" i="53"/>
  <c r="AG106" i="53"/>
  <c r="C107" i="53"/>
  <c r="AG107" i="53"/>
  <c r="C108" i="53"/>
  <c r="AG108" i="53"/>
  <c r="C109" i="53"/>
  <c r="AG109" i="53"/>
  <c r="C110" i="53"/>
  <c r="AG110" i="53"/>
  <c r="C111" i="53"/>
  <c r="AG111" i="53"/>
  <c r="C112" i="53"/>
  <c r="AG112" i="53"/>
  <c r="C113" i="53"/>
  <c r="AG113" i="53"/>
  <c r="C114" i="53"/>
  <c r="AG114" i="53"/>
  <c r="C115" i="53"/>
  <c r="AG115" i="53"/>
  <c r="C116" i="53"/>
  <c r="AG116" i="53"/>
  <c r="C117" i="53"/>
  <c r="AG117" i="53"/>
  <c r="C118" i="53"/>
  <c r="AG118" i="53"/>
  <c r="C119" i="53"/>
  <c r="AG119" i="53"/>
  <c r="C158" i="53"/>
  <c r="C120" i="53"/>
  <c r="AG120" i="53"/>
  <c r="C121" i="53"/>
  <c r="AG121" i="53"/>
  <c r="C122" i="53"/>
  <c r="AG122" i="53"/>
  <c r="C123" i="53"/>
  <c r="AG123" i="53"/>
  <c r="C124" i="53"/>
  <c r="AG124" i="53"/>
  <c r="C125" i="53"/>
  <c r="AG125" i="53"/>
  <c r="C126" i="53"/>
  <c r="AG126" i="53"/>
  <c r="C127" i="53"/>
  <c r="AG127" i="53"/>
  <c r="C128" i="53"/>
  <c r="AG128" i="53"/>
  <c r="C129" i="53"/>
  <c r="AG129" i="53"/>
  <c r="C130" i="53"/>
  <c r="AG130" i="53"/>
  <c r="C131" i="53"/>
  <c r="AG131" i="53"/>
  <c r="C132" i="53"/>
  <c r="AG132" i="53"/>
  <c r="C133" i="53"/>
  <c r="AG133" i="53"/>
  <c r="C134" i="53"/>
  <c r="AG134" i="53"/>
  <c r="C135" i="53"/>
  <c r="AG135" i="53"/>
  <c r="C136" i="53"/>
  <c r="AG136" i="53"/>
  <c r="C137" i="53"/>
  <c r="AG137" i="53"/>
  <c r="C138" i="53"/>
  <c r="AG138" i="53"/>
  <c r="C139" i="53"/>
  <c r="AG139" i="53"/>
  <c r="C140" i="53"/>
  <c r="AG140" i="53"/>
  <c r="C141" i="53"/>
  <c r="AG141" i="53"/>
  <c r="C142" i="53"/>
  <c r="AG142" i="53"/>
  <c r="C143" i="53"/>
  <c r="AG143" i="53"/>
  <c r="C144" i="53"/>
  <c r="AG144" i="53"/>
  <c r="C145" i="53"/>
  <c r="AG145" i="53"/>
  <c r="C146" i="53"/>
  <c r="AG146" i="53"/>
  <c r="C147" i="53"/>
  <c r="AG147" i="53"/>
  <c r="C148" i="53"/>
  <c r="AG148" i="53"/>
  <c r="C149" i="53"/>
  <c r="AG149" i="53"/>
  <c r="C150" i="53"/>
  <c r="AG150" i="53"/>
  <c r="C151" i="53"/>
  <c r="AG151" i="53"/>
  <c r="C152" i="53"/>
  <c r="AG152" i="53"/>
  <c r="C153" i="53"/>
  <c r="AG153" i="53"/>
  <c r="C154" i="53"/>
  <c r="AG154" i="53"/>
  <c r="C155" i="53"/>
  <c r="AG155" i="53"/>
  <c r="C156" i="53"/>
  <c r="AG156" i="53"/>
  <c r="C157" i="53"/>
  <c r="AG157" i="53"/>
  <c r="AG158" i="53"/>
  <c r="D40" i="53"/>
  <c r="D118" i="53"/>
  <c r="AH118" i="53"/>
  <c r="AI118" i="53"/>
  <c r="F40" i="53"/>
  <c r="F118" i="53"/>
  <c r="AJ118" i="53"/>
  <c r="G41" i="53"/>
  <c r="G118" i="53"/>
  <c r="AK118" i="53"/>
  <c r="H41" i="53"/>
  <c r="H118" i="53"/>
  <c r="AL118" i="53"/>
  <c r="I118" i="53"/>
  <c r="AM118" i="53"/>
  <c r="J118" i="53"/>
  <c r="AN118" i="53"/>
  <c r="K42" i="53"/>
  <c r="K118" i="53"/>
  <c r="AO118" i="53"/>
  <c r="D119" i="53"/>
  <c r="AH119" i="53"/>
  <c r="AI119" i="53"/>
  <c r="F119" i="53"/>
  <c r="AJ119" i="53"/>
  <c r="G119" i="53"/>
  <c r="AK119" i="53"/>
  <c r="H119" i="53"/>
  <c r="AL119" i="53"/>
  <c r="I119" i="53"/>
  <c r="AM119" i="53"/>
  <c r="J119" i="53"/>
  <c r="AN119" i="53"/>
  <c r="K119" i="53"/>
  <c r="AO119" i="53"/>
  <c r="D120" i="53"/>
  <c r="AH120" i="53"/>
  <c r="AI120" i="53"/>
  <c r="F120" i="53"/>
  <c r="AJ120" i="53"/>
  <c r="G120" i="53"/>
  <c r="AK120" i="53"/>
  <c r="H120" i="53"/>
  <c r="AL120" i="53"/>
  <c r="I120" i="53"/>
  <c r="AM120" i="53"/>
  <c r="J120" i="53"/>
  <c r="AN120" i="53"/>
  <c r="K120" i="53"/>
  <c r="AO120" i="53"/>
  <c r="D121" i="53"/>
  <c r="AH121" i="53"/>
  <c r="AI121" i="53"/>
  <c r="F121" i="53"/>
  <c r="AJ121" i="53"/>
  <c r="G121" i="53"/>
  <c r="AK121" i="53"/>
  <c r="H121" i="53"/>
  <c r="AL121" i="53"/>
  <c r="I121" i="53"/>
  <c r="AM121" i="53"/>
  <c r="J121" i="53"/>
  <c r="AN121" i="53"/>
  <c r="K121" i="53"/>
  <c r="AO121" i="53"/>
  <c r="D122" i="53"/>
  <c r="AH122" i="53"/>
  <c r="AI122" i="53"/>
  <c r="F122" i="53"/>
  <c r="AJ122" i="53"/>
  <c r="G122" i="53"/>
  <c r="AK122" i="53"/>
  <c r="H122" i="53"/>
  <c r="AL122" i="53"/>
  <c r="I122" i="53"/>
  <c r="AM122" i="53"/>
  <c r="J122" i="53"/>
  <c r="AN122" i="53"/>
  <c r="K122" i="53"/>
  <c r="AO122" i="53"/>
  <c r="D123" i="53"/>
  <c r="AH123" i="53"/>
  <c r="AI123" i="53"/>
  <c r="F123" i="53"/>
  <c r="AJ123" i="53"/>
  <c r="G123" i="53"/>
  <c r="AK123" i="53"/>
  <c r="H123" i="53"/>
  <c r="AL123" i="53"/>
  <c r="I123" i="53"/>
  <c r="AM123" i="53"/>
  <c r="J123" i="53"/>
  <c r="AN123" i="53"/>
  <c r="K123" i="53"/>
  <c r="AO123" i="53"/>
  <c r="D124" i="53"/>
  <c r="AH124" i="53"/>
  <c r="AI124" i="53"/>
  <c r="F124" i="53"/>
  <c r="AJ124" i="53"/>
  <c r="G124" i="53"/>
  <c r="AK124" i="53"/>
  <c r="H124" i="53"/>
  <c r="AL124" i="53"/>
  <c r="I124" i="53"/>
  <c r="AM124" i="53"/>
  <c r="J124" i="53"/>
  <c r="AN124" i="53"/>
  <c r="K124" i="53"/>
  <c r="AO124" i="53"/>
  <c r="D125" i="53"/>
  <c r="AH125" i="53"/>
  <c r="AI125" i="53"/>
  <c r="F125" i="53"/>
  <c r="AJ125" i="53"/>
  <c r="G125" i="53"/>
  <c r="AK125" i="53"/>
  <c r="H125" i="53"/>
  <c r="AL125" i="53"/>
  <c r="I125" i="53"/>
  <c r="AM125" i="53"/>
  <c r="J125" i="53"/>
  <c r="AN125" i="53"/>
  <c r="K125" i="53"/>
  <c r="AO125" i="53"/>
  <c r="D126" i="53"/>
  <c r="AH126" i="53"/>
  <c r="AI126" i="53"/>
  <c r="F126" i="53"/>
  <c r="AJ126" i="53"/>
  <c r="G126" i="53"/>
  <c r="AK126" i="53"/>
  <c r="H126" i="53"/>
  <c r="AL126" i="53"/>
  <c r="I126" i="53"/>
  <c r="AM126" i="53"/>
  <c r="J126" i="53"/>
  <c r="AN126" i="53"/>
  <c r="K126" i="53"/>
  <c r="AO126" i="53"/>
  <c r="D127" i="53"/>
  <c r="AH127" i="53"/>
  <c r="AI127" i="53"/>
  <c r="F127" i="53"/>
  <c r="AJ127" i="53"/>
  <c r="G127" i="53"/>
  <c r="AK127" i="53"/>
  <c r="H127" i="53"/>
  <c r="AL127" i="53"/>
  <c r="I127" i="53"/>
  <c r="AM127" i="53"/>
  <c r="J127" i="53"/>
  <c r="AN127" i="53"/>
  <c r="K127" i="53"/>
  <c r="AO127" i="53"/>
  <c r="D128" i="53"/>
  <c r="AH128" i="53"/>
  <c r="AI128" i="53"/>
  <c r="F128" i="53"/>
  <c r="AJ128" i="53"/>
  <c r="G128" i="53"/>
  <c r="AK128" i="53"/>
  <c r="H128" i="53"/>
  <c r="AL128" i="53"/>
  <c r="I128" i="53"/>
  <c r="AM128" i="53"/>
  <c r="J128" i="53"/>
  <c r="AN128" i="53"/>
  <c r="K128" i="53"/>
  <c r="AO128" i="53"/>
  <c r="D129" i="53"/>
  <c r="AH129" i="53"/>
  <c r="AI129" i="53"/>
  <c r="F129" i="53"/>
  <c r="AJ129" i="53"/>
  <c r="G129" i="53"/>
  <c r="AK129" i="53"/>
  <c r="H129" i="53"/>
  <c r="AL129" i="53"/>
  <c r="I129" i="53"/>
  <c r="AM129" i="53"/>
  <c r="J129" i="53"/>
  <c r="AN129" i="53"/>
  <c r="K129" i="53"/>
  <c r="AO129" i="53"/>
  <c r="D130" i="53"/>
  <c r="AH130" i="53"/>
  <c r="AI130" i="53"/>
  <c r="F130" i="53"/>
  <c r="AJ130" i="53"/>
  <c r="G130" i="53"/>
  <c r="AK130" i="53"/>
  <c r="H130" i="53"/>
  <c r="AL130" i="53"/>
  <c r="I130" i="53"/>
  <c r="AM130" i="53"/>
  <c r="J130" i="53"/>
  <c r="AN130" i="53"/>
  <c r="K130" i="53"/>
  <c r="AO130" i="53"/>
  <c r="D131" i="53"/>
  <c r="AH131" i="53"/>
  <c r="AI131" i="53"/>
  <c r="F131" i="53"/>
  <c r="AJ131" i="53"/>
  <c r="G131" i="53"/>
  <c r="AK131" i="53"/>
  <c r="H131" i="53"/>
  <c r="AL131" i="53"/>
  <c r="I131" i="53"/>
  <c r="AM131" i="53"/>
  <c r="J131" i="53"/>
  <c r="AN131" i="53"/>
  <c r="K131" i="53"/>
  <c r="AO131" i="53"/>
  <c r="D132" i="53"/>
  <c r="AH132" i="53"/>
  <c r="AI132" i="53"/>
  <c r="F132" i="53"/>
  <c r="AJ132" i="53"/>
  <c r="G132" i="53"/>
  <c r="AK132" i="53"/>
  <c r="H132" i="53"/>
  <c r="AL132" i="53"/>
  <c r="I132" i="53"/>
  <c r="AM132" i="53"/>
  <c r="J132" i="53"/>
  <c r="AN132" i="53"/>
  <c r="K132" i="53"/>
  <c r="AO132" i="53"/>
  <c r="D133" i="53"/>
  <c r="AH133" i="53"/>
  <c r="AI133" i="53"/>
  <c r="F133" i="53"/>
  <c r="AJ133" i="53"/>
  <c r="G133" i="53"/>
  <c r="AK133" i="53"/>
  <c r="H133" i="53"/>
  <c r="AL133" i="53"/>
  <c r="I133" i="53"/>
  <c r="AM133" i="53"/>
  <c r="J133" i="53"/>
  <c r="AN133" i="53"/>
  <c r="K133" i="53"/>
  <c r="AO133" i="53"/>
  <c r="D134" i="53"/>
  <c r="AH134" i="53"/>
  <c r="AI134" i="53"/>
  <c r="F134" i="53"/>
  <c r="AJ134" i="53"/>
  <c r="G134" i="53"/>
  <c r="AK134" i="53"/>
  <c r="H134" i="53"/>
  <c r="AL134" i="53"/>
  <c r="I134" i="53"/>
  <c r="AM134" i="53"/>
  <c r="J134" i="53"/>
  <c r="AN134" i="53"/>
  <c r="K134" i="53"/>
  <c r="AO134" i="53"/>
  <c r="D135" i="53"/>
  <c r="AH135" i="53"/>
  <c r="AI135" i="53"/>
  <c r="F135" i="53"/>
  <c r="AJ135" i="53"/>
  <c r="G135" i="53"/>
  <c r="AK135" i="53"/>
  <c r="H135" i="53"/>
  <c r="AL135" i="53"/>
  <c r="I135" i="53"/>
  <c r="AM135" i="53"/>
  <c r="J135" i="53"/>
  <c r="AN135" i="53"/>
  <c r="K135" i="53"/>
  <c r="AO135" i="53"/>
  <c r="D136" i="53"/>
  <c r="AH136" i="53"/>
  <c r="AI136" i="53"/>
  <c r="F136" i="53"/>
  <c r="AJ136" i="53"/>
  <c r="G136" i="53"/>
  <c r="AK136" i="53"/>
  <c r="H136" i="53"/>
  <c r="AL136" i="53"/>
  <c r="I136" i="53"/>
  <c r="AM136" i="53"/>
  <c r="J136" i="53"/>
  <c r="AN136" i="53"/>
  <c r="K136" i="53"/>
  <c r="AO136" i="53"/>
  <c r="D137" i="53"/>
  <c r="AH137" i="53"/>
  <c r="AI137" i="53"/>
  <c r="F137" i="53"/>
  <c r="AJ137" i="53"/>
  <c r="G137" i="53"/>
  <c r="AK137" i="53"/>
  <c r="H137" i="53"/>
  <c r="AL137" i="53"/>
  <c r="I137" i="53"/>
  <c r="AM137" i="53"/>
  <c r="J137" i="53"/>
  <c r="AN137" i="53"/>
  <c r="K137" i="53"/>
  <c r="AO137" i="53"/>
  <c r="D138" i="53"/>
  <c r="AH138" i="53"/>
  <c r="AI138" i="53"/>
  <c r="F138" i="53"/>
  <c r="AJ138" i="53"/>
  <c r="G138" i="53"/>
  <c r="AK138" i="53"/>
  <c r="H138" i="53"/>
  <c r="AL138" i="53"/>
  <c r="I138" i="53"/>
  <c r="AM138" i="53"/>
  <c r="J138" i="53"/>
  <c r="AN138" i="53"/>
  <c r="K138" i="53"/>
  <c r="AO138" i="53"/>
  <c r="D139" i="53"/>
  <c r="AH139" i="53"/>
  <c r="AI139" i="53"/>
  <c r="F139" i="53"/>
  <c r="AJ139" i="53"/>
  <c r="G139" i="53"/>
  <c r="AK139" i="53"/>
  <c r="H139" i="53"/>
  <c r="AL139" i="53"/>
  <c r="I139" i="53"/>
  <c r="AM139" i="53"/>
  <c r="J139" i="53"/>
  <c r="AN139" i="53"/>
  <c r="K139" i="53"/>
  <c r="AO139" i="53"/>
  <c r="D140" i="53"/>
  <c r="AH140" i="53"/>
  <c r="AI140" i="53"/>
  <c r="F140" i="53"/>
  <c r="AJ140" i="53"/>
  <c r="G140" i="53"/>
  <c r="AK140" i="53"/>
  <c r="H140" i="53"/>
  <c r="AL140" i="53"/>
  <c r="I140" i="53"/>
  <c r="AM140" i="53"/>
  <c r="J140" i="53"/>
  <c r="AN140" i="53"/>
  <c r="K140" i="53"/>
  <c r="AO140" i="53"/>
  <c r="D141" i="53"/>
  <c r="AH141" i="53"/>
  <c r="AI141" i="53"/>
  <c r="F141" i="53"/>
  <c r="AJ141" i="53"/>
  <c r="G141" i="53"/>
  <c r="AK141" i="53"/>
  <c r="H141" i="53"/>
  <c r="AL141" i="53"/>
  <c r="I141" i="53"/>
  <c r="AM141" i="53"/>
  <c r="J141" i="53"/>
  <c r="AN141" i="53"/>
  <c r="K141" i="53"/>
  <c r="AO141" i="53"/>
  <c r="D142" i="53"/>
  <c r="AH142" i="53"/>
  <c r="AI142" i="53"/>
  <c r="F142" i="53"/>
  <c r="AJ142" i="53"/>
  <c r="G142" i="53"/>
  <c r="AK142" i="53"/>
  <c r="H142" i="53"/>
  <c r="AL142" i="53"/>
  <c r="I142" i="53"/>
  <c r="AM142" i="53"/>
  <c r="J142" i="53"/>
  <c r="AN142" i="53"/>
  <c r="K142" i="53"/>
  <c r="AO142" i="53"/>
  <c r="D143" i="53"/>
  <c r="AH143" i="53"/>
  <c r="AI143" i="53"/>
  <c r="F143" i="53"/>
  <c r="AJ143" i="53"/>
  <c r="G143" i="53"/>
  <c r="AK143" i="53"/>
  <c r="H143" i="53"/>
  <c r="AL143" i="53"/>
  <c r="I143" i="53"/>
  <c r="AM143" i="53"/>
  <c r="J143" i="53"/>
  <c r="AN143" i="53"/>
  <c r="K143" i="53"/>
  <c r="AO143" i="53"/>
  <c r="D144" i="53"/>
  <c r="AH144" i="53"/>
  <c r="AI144" i="53"/>
  <c r="F144" i="53"/>
  <c r="AJ144" i="53"/>
  <c r="G144" i="53"/>
  <c r="AK144" i="53"/>
  <c r="H144" i="53"/>
  <c r="AL144" i="53"/>
  <c r="I144" i="53"/>
  <c r="AM144" i="53"/>
  <c r="J144" i="53"/>
  <c r="AN144" i="53"/>
  <c r="K144" i="53"/>
  <c r="AO144" i="53"/>
  <c r="D145" i="53"/>
  <c r="AH145" i="53"/>
  <c r="AI145" i="53"/>
  <c r="F145" i="53"/>
  <c r="AJ145" i="53"/>
  <c r="G145" i="53"/>
  <c r="AK145" i="53"/>
  <c r="H145" i="53"/>
  <c r="AL145" i="53"/>
  <c r="I145" i="53"/>
  <c r="AM145" i="53"/>
  <c r="J145" i="53"/>
  <c r="AN145" i="53"/>
  <c r="K145" i="53"/>
  <c r="AO145" i="53"/>
  <c r="D146" i="53"/>
  <c r="AH146" i="53"/>
  <c r="AI146" i="53"/>
  <c r="F146" i="53"/>
  <c r="AJ146" i="53"/>
  <c r="G146" i="53"/>
  <c r="AK146" i="53"/>
  <c r="H146" i="53"/>
  <c r="AL146" i="53"/>
  <c r="I146" i="53"/>
  <c r="AM146" i="53"/>
  <c r="J146" i="53"/>
  <c r="AN146" i="53"/>
  <c r="K146" i="53"/>
  <c r="AO146" i="53"/>
  <c r="D147" i="53"/>
  <c r="AH147" i="53"/>
  <c r="AI147" i="53"/>
  <c r="F147" i="53"/>
  <c r="AJ147" i="53"/>
  <c r="G147" i="53"/>
  <c r="AK147" i="53"/>
  <c r="H147" i="53"/>
  <c r="AL147" i="53"/>
  <c r="I147" i="53"/>
  <c r="AM147" i="53"/>
  <c r="J147" i="53"/>
  <c r="AN147" i="53"/>
  <c r="K147" i="53"/>
  <c r="AO147" i="53"/>
  <c r="D148" i="53"/>
  <c r="AH148" i="53"/>
  <c r="AI148" i="53"/>
  <c r="F148" i="53"/>
  <c r="AJ148" i="53"/>
  <c r="G148" i="53"/>
  <c r="AK148" i="53"/>
  <c r="H148" i="53"/>
  <c r="AL148" i="53"/>
  <c r="I148" i="53"/>
  <c r="AM148" i="53"/>
  <c r="J148" i="53"/>
  <c r="AN148" i="53"/>
  <c r="K148" i="53"/>
  <c r="AO148" i="53"/>
  <c r="D149" i="53"/>
  <c r="AH149" i="53"/>
  <c r="AI149" i="53"/>
  <c r="F149" i="53"/>
  <c r="AJ149" i="53"/>
  <c r="G149" i="53"/>
  <c r="AK149" i="53"/>
  <c r="H149" i="53"/>
  <c r="AL149" i="53"/>
  <c r="I149" i="53"/>
  <c r="AM149" i="53"/>
  <c r="J149" i="53"/>
  <c r="AN149" i="53"/>
  <c r="K149" i="53"/>
  <c r="AO149" i="53"/>
  <c r="D150" i="53"/>
  <c r="AH150" i="53"/>
  <c r="AI150" i="53"/>
  <c r="F150" i="53"/>
  <c r="AJ150" i="53"/>
  <c r="G150" i="53"/>
  <c r="AK150" i="53"/>
  <c r="H150" i="53"/>
  <c r="AL150" i="53"/>
  <c r="I150" i="53"/>
  <c r="AM150" i="53"/>
  <c r="J150" i="53"/>
  <c r="AN150" i="53"/>
  <c r="K150" i="53"/>
  <c r="AO150" i="53"/>
  <c r="D151" i="53"/>
  <c r="AH151" i="53"/>
  <c r="AI151" i="53"/>
  <c r="F151" i="53"/>
  <c r="AJ151" i="53"/>
  <c r="G151" i="53"/>
  <c r="AK151" i="53"/>
  <c r="H151" i="53"/>
  <c r="AL151" i="53"/>
  <c r="I151" i="53"/>
  <c r="AM151" i="53"/>
  <c r="J151" i="53"/>
  <c r="AN151" i="53"/>
  <c r="K151" i="53"/>
  <c r="AO151" i="53"/>
  <c r="D152" i="53"/>
  <c r="AH152" i="53"/>
  <c r="AI152" i="53"/>
  <c r="F152" i="53"/>
  <c r="AJ152" i="53"/>
  <c r="G152" i="53"/>
  <c r="AK152" i="53"/>
  <c r="H152" i="53"/>
  <c r="AL152" i="53"/>
  <c r="I152" i="53"/>
  <c r="AM152" i="53"/>
  <c r="J152" i="53"/>
  <c r="AN152" i="53"/>
  <c r="K152" i="53"/>
  <c r="AO152" i="53"/>
  <c r="D153" i="53"/>
  <c r="AH153" i="53"/>
  <c r="AI153" i="53"/>
  <c r="F153" i="53"/>
  <c r="AJ153" i="53"/>
  <c r="G153" i="53"/>
  <c r="AK153" i="53"/>
  <c r="H153" i="53"/>
  <c r="AL153" i="53"/>
  <c r="I153" i="53"/>
  <c r="AM153" i="53"/>
  <c r="J153" i="53"/>
  <c r="AN153" i="53"/>
  <c r="K153" i="53"/>
  <c r="AO153" i="53"/>
  <c r="D154" i="53"/>
  <c r="AH154" i="53"/>
  <c r="AI154" i="53"/>
  <c r="F154" i="53"/>
  <c r="AJ154" i="53"/>
  <c r="G154" i="53"/>
  <c r="AK154" i="53"/>
  <c r="H154" i="53"/>
  <c r="AL154" i="53"/>
  <c r="I154" i="53"/>
  <c r="AM154" i="53"/>
  <c r="J154" i="53"/>
  <c r="AN154" i="53"/>
  <c r="K154" i="53"/>
  <c r="AO154" i="53"/>
  <c r="D155" i="53"/>
  <c r="AH155" i="53"/>
  <c r="AI155" i="53"/>
  <c r="F155" i="53"/>
  <c r="AJ155" i="53"/>
  <c r="G155" i="53"/>
  <c r="AK155" i="53"/>
  <c r="H155" i="53"/>
  <c r="AL155" i="53"/>
  <c r="I155" i="53"/>
  <c r="AM155" i="53"/>
  <c r="J155" i="53"/>
  <c r="AN155" i="53"/>
  <c r="K155" i="53"/>
  <c r="AO155" i="53"/>
  <c r="D156" i="53"/>
  <c r="AH156" i="53"/>
  <c r="AI156" i="53"/>
  <c r="F156" i="53"/>
  <c r="AJ156" i="53"/>
  <c r="G156" i="53"/>
  <c r="AK156" i="53"/>
  <c r="H156" i="53"/>
  <c r="AL156" i="53"/>
  <c r="I156" i="53"/>
  <c r="AM156" i="53"/>
  <c r="J156" i="53"/>
  <c r="AN156" i="53"/>
  <c r="K156" i="53"/>
  <c r="AO156" i="53"/>
  <c r="D157" i="53"/>
  <c r="AH157" i="53"/>
  <c r="AI157" i="53"/>
  <c r="F157" i="53"/>
  <c r="AJ157" i="53"/>
  <c r="G157" i="53"/>
  <c r="AK157" i="53"/>
  <c r="H157" i="53"/>
  <c r="AL157" i="53"/>
  <c r="I157" i="53"/>
  <c r="AM157" i="53"/>
  <c r="J157" i="53"/>
  <c r="AN157" i="53"/>
  <c r="K157" i="53"/>
  <c r="AO157" i="53"/>
  <c r="D158" i="53"/>
  <c r="M158" i="53"/>
  <c r="AH158" i="53"/>
  <c r="N158" i="53"/>
  <c r="AI158" i="53"/>
  <c r="F158" i="53"/>
  <c r="O158" i="53"/>
  <c r="AJ158" i="53"/>
  <c r="G158" i="53"/>
  <c r="P158" i="53"/>
  <c r="AK158" i="53"/>
  <c r="H158" i="53"/>
  <c r="Q158" i="53"/>
  <c r="AL158" i="53"/>
  <c r="I158" i="53"/>
  <c r="R158" i="53"/>
  <c r="AM158" i="53"/>
  <c r="J158" i="53"/>
  <c r="S158" i="53"/>
  <c r="AN158" i="53"/>
  <c r="K158" i="53"/>
  <c r="T42" i="53"/>
  <c r="T158" i="53"/>
  <c r="AO158" i="53"/>
  <c r="D159" i="53"/>
  <c r="M159" i="53"/>
  <c r="AH159" i="53"/>
  <c r="N159" i="53"/>
  <c r="AI159" i="53"/>
  <c r="F159" i="53"/>
  <c r="O159" i="53"/>
  <c r="AJ159" i="53"/>
  <c r="G159" i="53"/>
  <c r="P159" i="53"/>
  <c r="AK159" i="53"/>
  <c r="H159" i="53"/>
  <c r="Q159" i="53"/>
  <c r="AL159" i="53"/>
  <c r="I159" i="53"/>
  <c r="R159" i="53"/>
  <c r="AM159" i="53"/>
  <c r="J159" i="53"/>
  <c r="S159" i="53"/>
  <c r="AN159" i="53"/>
  <c r="K159" i="53"/>
  <c r="T159" i="53"/>
  <c r="AO159" i="53"/>
  <c r="D160" i="53"/>
  <c r="M160" i="53"/>
  <c r="AH160" i="53"/>
  <c r="N160" i="53"/>
  <c r="AI160" i="53"/>
  <c r="F160" i="53"/>
  <c r="O160" i="53"/>
  <c r="AJ160" i="53"/>
  <c r="G160" i="53"/>
  <c r="P160" i="53"/>
  <c r="AK160" i="53"/>
  <c r="H160" i="53"/>
  <c r="Q160" i="53"/>
  <c r="AL160" i="53"/>
  <c r="I160" i="53"/>
  <c r="R160" i="53"/>
  <c r="AM160" i="53"/>
  <c r="J160" i="53"/>
  <c r="S160" i="53"/>
  <c r="AN160" i="53"/>
  <c r="K160" i="53"/>
  <c r="T160" i="53"/>
  <c r="AO160" i="53"/>
  <c r="D161" i="53"/>
  <c r="M161" i="53"/>
  <c r="AH161" i="53"/>
  <c r="N161" i="53"/>
  <c r="AI161" i="53"/>
  <c r="F161" i="53"/>
  <c r="O161" i="53"/>
  <c r="AJ161" i="53"/>
  <c r="G161" i="53"/>
  <c r="P161" i="53"/>
  <c r="AK161" i="53"/>
  <c r="H161" i="53"/>
  <c r="Q161" i="53"/>
  <c r="AL161" i="53"/>
  <c r="I161" i="53"/>
  <c r="R161" i="53"/>
  <c r="AM161" i="53"/>
  <c r="J161" i="53"/>
  <c r="S161" i="53"/>
  <c r="AN161" i="53"/>
  <c r="K161" i="53"/>
  <c r="T161" i="53"/>
  <c r="AO161" i="53"/>
  <c r="D162" i="53"/>
  <c r="M162" i="53"/>
  <c r="AH162" i="53"/>
  <c r="N162" i="53"/>
  <c r="AI162" i="53"/>
  <c r="F162" i="53"/>
  <c r="O162" i="53"/>
  <c r="AJ162" i="53"/>
  <c r="G162" i="53"/>
  <c r="P162" i="53"/>
  <c r="AK162" i="53"/>
  <c r="H162" i="53"/>
  <c r="Q162" i="53"/>
  <c r="AL162" i="53"/>
  <c r="I162" i="53"/>
  <c r="R162" i="53"/>
  <c r="AM162" i="53"/>
  <c r="J162" i="53"/>
  <c r="S162" i="53"/>
  <c r="AN162" i="53"/>
  <c r="K162" i="53"/>
  <c r="T162" i="53"/>
  <c r="AO162" i="53"/>
  <c r="D163" i="53"/>
  <c r="M163" i="53"/>
  <c r="AH163" i="53"/>
  <c r="N163" i="53"/>
  <c r="AI163" i="53"/>
  <c r="F163" i="53"/>
  <c r="O163" i="53"/>
  <c r="AJ163" i="53"/>
  <c r="G163" i="53"/>
  <c r="P163" i="53"/>
  <c r="AK163" i="53"/>
  <c r="H163" i="53"/>
  <c r="Q163" i="53"/>
  <c r="AL163" i="53"/>
  <c r="I163" i="53"/>
  <c r="R163" i="53"/>
  <c r="AM163" i="53"/>
  <c r="J163" i="53"/>
  <c r="S163" i="53"/>
  <c r="AN163" i="53"/>
  <c r="K163" i="53"/>
  <c r="T163" i="53"/>
  <c r="AO163" i="53"/>
  <c r="D164" i="53"/>
  <c r="M164" i="53"/>
  <c r="AH164" i="53"/>
  <c r="N164" i="53"/>
  <c r="AI164" i="53"/>
  <c r="F164" i="53"/>
  <c r="O164" i="53"/>
  <c r="AJ164" i="53"/>
  <c r="G164" i="53"/>
  <c r="P164" i="53"/>
  <c r="AK164" i="53"/>
  <c r="H164" i="53"/>
  <c r="Q164" i="53"/>
  <c r="AL164" i="53"/>
  <c r="I164" i="53"/>
  <c r="R164" i="53"/>
  <c r="AM164" i="53"/>
  <c r="J164" i="53"/>
  <c r="S164" i="53"/>
  <c r="AN164" i="53"/>
  <c r="K164" i="53"/>
  <c r="T164" i="53"/>
  <c r="AO164" i="53"/>
  <c r="D165" i="53"/>
  <c r="M165" i="53"/>
  <c r="AH165" i="53"/>
  <c r="N165" i="53"/>
  <c r="AI165" i="53"/>
  <c r="F165" i="53"/>
  <c r="O165" i="53"/>
  <c r="AJ165" i="53"/>
  <c r="G165" i="53"/>
  <c r="P165" i="53"/>
  <c r="AK165" i="53"/>
  <c r="H165" i="53"/>
  <c r="Q165" i="53"/>
  <c r="AL165" i="53"/>
  <c r="I165" i="53"/>
  <c r="R165" i="53"/>
  <c r="AM165" i="53"/>
  <c r="J165" i="53"/>
  <c r="S165" i="53"/>
  <c r="AN165" i="53"/>
  <c r="K165" i="53"/>
  <c r="T165" i="53"/>
  <c r="AO165" i="53"/>
  <c r="D166" i="53"/>
  <c r="M166" i="53"/>
  <c r="AH166" i="53"/>
  <c r="N166" i="53"/>
  <c r="AI166" i="53"/>
  <c r="F166" i="53"/>
  <c r="O166" i="53"/>
  <c r="AJ166" i="53"/>
  <c r="G166" i="53"/>
  <c r="P166" i="53"/>
  <c r="AK166" i="53"/>
  <c r="H166" i="53"/>
  <c r="Q166" i="53"/>
  <c r="AL166" i="53"/>
  <c r="I166" i="53"/>
  <c r="R166" i="53"/>
  <c r="AM166" i="53"/>
  <c r="J166" i="53"/>
  <c r="S166" i="53"/>
  <c r="AN166" i="53"/>
  <c r="K166" i="53"/>
  <c r="T166" i="53"/>
  <c r="AO166" i="53"/>
  <c r="D167" i="53"/>
  <c r="M167" i="53"/>
  <c r="AH167" i="53"/>
  <c r="N167" i="53"/>
  <c r="AI167" i="53"/>
  <c r="F167" i="53"/>
  <c r="O167" i="53"/>
  <c r="AJ167" i="53"/>
  <c r="G167" i="53"/>
  <c r="P167" i="53"/>
  <c r="AK167" i="53"/>
  <c r="H167" i="53"/>
  <c r="Q167" i="53"/>
  <c r="AL167" i="53"/>
  <c r="I167" i="53"/>
  <c r="R167" i="53"/>
  <c r="AM167" i="53"/>
  <c r="J167" i="53"/>
  <c r="S167" i="53"/>
  <c r="AN167" i="53"/>
  <c r="K167" i="53"/>
  <c r="T167" i="53"/>
  <c r="AO167" i="53"/>
  <c r="D168" i="53"/>
  <c r="M168" i="53"/>
  <c r="AH168" i="53"/>
  <c r="N168" i="53"/>
  <c r="AI168" i="53"/>
  <c r="F168" i="53"/>
  <c r="O168" i="53"/>
  <c r="AJ168" i="53"/>
  <c r="G168" i="53"/>
  <c r="P168" i="53"/>
  <c r="AK168" i="53"/>
  <c r="H168" i="53"/>
  <c r="Q168" i="53"/>
  <c r="AL168" i="53"/>
  <c r="I168" i="53"/>
  <c r="R168" i="53"/>
  <c r="AM168" i="53"/>
  <c r="J168" i="53"/>
  <c r="S168" i="53"/>
  <c r="AN168" i="53"/>
  <c r="K168" i="53"/>
  <c r="T168" i="53"/>
  <c r="AO168" i="53"/>
  <c r="D169" i="53"/>
  <c r="M169" i="53"/>
  <c r="AH169" i="53"/>
  <c r="N169" i="53"/>
  <c r="AI169" i="53"/>
  <c r="F169" i="53"/>
  <c r="O169" i="53"/>
  <c r="AJ169" i="53"/>
  <c r="G169" i="53"/>
  <c r="P169" i="53"/>
  <c r="AK169" i="53"/>
  <c r="H169" i="53"/>
  <c r="Q169" i="53"/>
  <c r="AL169" i="53"/>
  <c r="I169" i="53"/>
  <c r="R169" i="53"/>
  <c r="AM169" i="53"/>
  <c r="J169" i="53"/>
  <c r="S169" i="53"/>
  <c r="AN169" i="53"/>
  <c r="K169" i="53"/>
  <c r="T169" i="53"/>
  <c r="AO169" i="53"/>
  <c r="D170" i="53"/>
  <c r="M170" i="53"/>
  <c r="AH170" i="53"/>
  <c r="N170" i="53"/>
  <c r="AI170" i="53"/>
  <c r="F170" i="53"/>
  <c r="O170" i="53"/>
  <c r="AJ170" i="53"/>
  <c r="G170" i="53"/>
  <c r="P170" i="53"/>
  <c r="AK170" i="53"/>
  <c r="H170" i="53"/>
  <c r="Q170" i="53"/>
  <c r="AL170" i="53"/>
  <c r="I170" i="53"/>
  <c r="R170" i="53"/>
  <c r="AM170" i="53"/>
  <c r="J170" i="53"/>
  <c r="S170" i="53"/>
  <c r="AN170" i="53"/>
  <c r="K170" i="53"/>
  <c r="T170" i="53"/>
  <c r="AO170" i="53"/>
  <c r="D171" i="53"/>
  <c r="M171" i="53"/>
  <c r="AH171" i="53"/>
  <c r="N171" i="53"/>
  <c r="AI171" i="53"/>
  <c r="F171" i="53"/>
  <c r="O171" i="53"/>
  <c r="AJ171" i="53"/>
  <c r="G171" i="53"/>
  <c r="P171" i="53"/>
  <c r="AK171" i="53"/>
  <c r="H171" i="53"/>
  <c r="Q171" i="53"/>
  <c r="AL171" i="53"/>
  <c r="I171" i="53"/>
  <c r="R171" i="53"/>
  <c r="AM171" i="53"/>
  <c r="J171" i="53"/>
  <c r="S171" i="53"/>
  <c r="AN171" i="53"/>
  <c r="K171" i="53"/>
  <c r="T171" i="53"/>
  <c r="AO171" i="53"/>
  <c r="D172" i="53"/>
  <c r="M172" i="53"/>
  <c r="AH172" i="53"/>
  <c r="N172" i="53"/>
  <c r="AI172" i="53"/>
  <c r="F172" i="53"/>
  <c r="O172" i="53"/>
  <c r="AJ172" i="53"/>
  <c r="G172" i="53"/>
  <c r="P172" i="53"/>
  <c r="AK172" i="53"/>
  <c r="H172" i="53"/>
  <c r="Q172" i="53"/>
  <c r="AL172" i="53"/>
  <c r="I172" i="53"/>
  <c r="R172" i="53"/>
  <c r="AM172" i="53"/>
  <c r="J172" i="53"/>
  <c r="S172" i="53"/>
  <c r="AN172" i="53"/>
  <c r="K172" i="53"/>
  <c r="T172" i="53"/>
  <c r="AO172" i="53"/>
  <c r="D173" i="53"/>
  <c r="M173" i="53"/>
  <c r="AH173" i="53"/>
  <c r="N173" i="53"/>
  <c r="AI173" i="53"/>
  <c r="F173" i="53"/>
  <c r="O173" i="53"/>
  <c r="AJ173" i="53"/>
  <c r="G173" i="53"/>
  <c r="P173" i="53"/>
  <c r="AK173" i="53"/>
  <c r="H173" i="53"/>
  <c r="Q173" i="53"/>
  <c r="AL173" i="53"/>
  <c r="I173" i="53"/>
  <c r="R173" i="53"/>
  <c r="AM173" i="53"/>
  <c r="J173" i="53"/>
  <c r="S173" i="53"/>
  <c r="AN173" i="53"/>
  <c r="K173" i="53"/>
  <c r="T173" i="53"/>
  <c r="AO173" i="53"/>
  <c r="D174" i="53"/>
  <c r="M174" i="53"/>
  <c r="AH174" i="53"/>
  <c r="N174" i="53"/>
  <c r="AI174" i="53"/>
  <c r="F174" i="53"/>
  <c r="O174" i="53"/>
  <c r="AJ174" i="53"/>
  <c r="G174" i="53"/>
  <c r="P174" i="53"/>
  <c r="AK174" i="53"/>
  <c r="H174" i="53"/>
  <c r="Q174" i="53"/>
  <c r="AL174" i="53"/>
  <c r="I174" i="53"/>
  <c r="R174" i="53"/>
  <c r="AM174" i="53"/>
  <c r="J174" i="53"/>
  <c r="S174" i="53"/>
  <c r="AN174" i="53"/>
  <c r="K174" i="53"/>
  <c r="T174" i="53"/>
  <c r="AO174" i="53"/>
  <c r="D175" i="53"/>
  <c r="M175" i="53"/>
  <c r="AH175" i="53"/>
  <c r="N175" i="53"/>
  <c r="AI175" i="53"/>
  <c r="F175" i="53"/>
  <c r="O175" i="53"/>
  <c r="AJ175" i="53"/>
  <c r="G175" i="53"/>
  <c r="P175" i="53"/>
  <c r="AK175" i="53"/>
  <c r="H175" i="53"/>
  <c r="Q175" i="53"/>
  <c r="AL175" i="53"/>
  <c r="I175" i="53"/>
  <c r="R175" i="53"/>
  <c r="AM175" i="53"/>
  <c r="J175" i="53"/>
  <c r="S175" i="53"/>
  <c r="AN175" i="53"/>
  <c r="K175" i="53"/>
  <c r="T175" i="53"/>
  <c r="AO175" i="53"/>
  <c r="D176" i="53"/>
  <c r="M176" i="53"/>
  <c r="AH176" i="53"/>
  <c r="N176" i="53"/>
  <c r="AI176" i="53"/>
  <c r="F176" i="53"/>
  <c r="O176" i="53"/>
  <c r="AJ176" i="53"/>
  <c r="G176" i="53"/>
  <c r="P176" i="53"/>
  <c r="AK176" i="53"/>
  <c r="H176" i="53"/>
  <c r="Q176" i="53"/>
  <c r="AL176" i="53"/>
  <c r="I176" i="53"/>
  <c r="R176" i="53"/>
  <c r="AM176" i="53"/>
  <c r="J176" i="53"/>
  <c r="S176" i="53"/>
  <c r="AN176" i="53"/>
  <c r="K176" i="53"/>
  <c r="T176" i="53"/>
  <c r="AO176" i="53"/>
  <c r="D177" i="53"/>
  <c r="M177" i="53"/>
  <c r="AH177" i="53"/>
  <c r="N177" i="53"/>
  <c r="AI177" i="53"/>
  <c r="F177" i="53"/>
  <c r="O177" i="53"/>
  <c r="AJ177" i="53"/>
  <c r="G177" i="53"/>
  <c r="P177" i="53"/>
  <c r="AK177" i="53"/>
  <c r="H177" i="53"/>
  <c r="Q177" i="53"/>
  <c r="AL177" i="53"/>
  <c r="I177" i="53"/>
  <c r="R177" i="53"/>
  <c r="AM177" i="53"/>
  <c r="J177" i="53"/>
  <c r="S177" i="53"/>
  <c r="AN177" i="53"/>
  <c r="K177" i="53"/>
  <c r="T177" i="53"/>
  <c r="AO177" i="53"/>
  <c r="D178" i="53"/>
  <c r="M178" i="53"/>
  <c r="AH178" i="53"/>
  <c r="N178" i="53"/>
  <c r="AI178" i="53"/>
  <c r="F178" i="53"/>
  <c r="O178" i="53"/>
  <c r="AJ178" i="53"/>
  <c r="G178" i="53"/>
  <c r="P178" i="53"/>
  <c r="AK178" i="53"/>
  <c r="H178" i="53"/>
  <c r="Q178" i="53"/>
  <c r="AL178" i="53"/>
  <c r="I178" i="53"/>
  <c r="R178" i="53"/>
  <c r="AM178" i="53"/>
  <c r="J178" i="53"/>
  <c r="S178" i="53"/>
  <c r="AN178" i="53"/>
  <c r="K178" i="53"/>
  <c r="T178" i="53"/>
  <c r="AO178" i="53"/>
  <c r="D179" i="53"/>
  <c r="M179" i="53"/>
  <c r="AH179" i="53"/>
  <c r="N179" i="53"/>
  <c r="AI179" i="53"/>
  <c r="F179" i="53"/>
  <c r="O179" i="53"/>
  <c r="AJ179" i="53"/>
  <c r="G179" i="53"/>
  <c r="P179" i="53"/>
  <c r="AK179" i="53"/>
  <c r="H179" i="53"/>
  <c r="Q179" i="53"/>
  <c r="AL179" i="53"/>
  <c r="I179" i="53"/>
  <c r="R179" i="53"/>
  <c r="AM179" i="53"/>
  <c r="J179" i="53"/>
  <c r="S179" i="53"/>
  <c r="AN179" i="53"/>
  <c r="K179" i="53"/>
  <c r="T179" i="53"/>
  <c r="AO179" i="53"/>
  <c r="D180" i="53"/>
  <c r="M180" i="53"/>
  <c r="AH180" i="53"/>
  <c r="N180" i="53"/>
  <c r="AI180" i="53"/>
  <c r="F180" i="53"/>
  <c r="O180" i="53"/>
  <c r="AJ180" i="53"/>
  <c r="G180" i="53"/>
  <c r="P180" i="53"/>
  <c r="AK180" i="53"/>
  <c r="H180" i="53"/>
  <c r="Q180" i="53"/>
  <c r="AL180" i="53"/>
  <c r="I180" i="53"/>
  <c r="R180" i="53"/>
  <c r="AM180" i="53"/>
  <c r="J180" i="53"/>
  <c r="S180" i="53"/>
  <c r="AN180" i="53"/>
  <c r="K180" i="53"/>
  <c r="T180" i="53"/>
  <c r="AO180" i="53"/>
  <c r="D181" i="53"/>
  <c r="M181" i="53"/>
  <c r="AH181" i="53"/>
  <c r="N181" i="53"/>
  <c r="AI181" i="53"/>
  <c r="F181" i="53"/>
  <c r="O181" i="53"/>
  <c r="AJ181" i="53"/>
  <c r="G181" i="53"/>
  <c r="P181" i="53"/>
  <c r="AK181" i="53"/>
  <c r="H181" i="53"/>
  <c r="Q181" i="53"/>
  <c r="AL181" i="53"/>
  <c r="I181" i="53"/>
  <c r="R181" i="53"/>
  <c r="AM181" i="53"/>
  <c r="J181" i="53"/>
  <c r="S181" i="53"/>
  <c r="AN181" i="53"/>
  <c r="K181" i="53"/>
  <c r="T181" i="53"/>
  <c r="AO181" i="53"/>
  <c r="D182" i="53"/>
  <c r="M182" i="53"/>
  <c r="AH182" i="53"/>
  <c r="N182" i="53"/>
  <c r="AI182" i="53"/>
  <c r="F182" i="53"/>
  <c r="O182" i="53"/>
  <c r="AJ182" i="53"/>
  <c r="G182" i="53"/>
  <c r="P182" i="53"/>
  <c r="AK182" i="53"/>
  <c r="H182" i="53"/>
  <c r="Q182" i="53"/>
  <c r="AL182" i="53"/>
  <c r="I182" i="53"/>
  <c r="R182" i="53"/>
  <c r="AM182" i="53"/>
  <c r="J182" i="53"/>
  <c r="S182" i="53"/>
  <c r="AN182" i="53"/>
  <c r="K182" i="53"/>
  <c r="T182" i="53"/>
  <c r="AO182" i="53"/>
  <c r="D183" i="53"/>
  <c r="M183" i="53"/>
  <c r="AH183" i="53"/>
  <c r="N183" i="53"/>
  <c r="AI183" i="53"/>
  <c r="F183" i="53"/>
  <c r="O183" i="53"/>
  <c r="AJ183" i="53"/>
  <c r="G183" i="53"/>
  <c r="P183" i="53"/>
  <c r="AK183" i="53"/>
  <c r="H183" i="53"/>
  <c r="Q183" i="53"/>
  <c r="AL183" i="53"/>
  <c r="I183" i="53"/>
  <c r="R183" i="53"/>
  <c r="AM183" i="53"/>
  <c r="J183" i="53"/>
  <c r="S183" i="53"/>
  <c r="AN183" i="53"/>
  <c r="K183" i="53"/>
  <c r="T183" i="53"/>
  <c r="AO183" i="53"/>
  <c r="D184" i="53"/>
  <c r="M184" i="53"/>
  <c r="AH184" i="53"/>
  <c r="N184" i="53"/>
  <c r="AI184" i="53"/>
  <c r="F184" i="53"/>
  <c r="O184" i="53"/>
  <c r="AJ184" i="53"/>
  <c r="G184" i="53"/>
  <c r="P184" i="53"/>
  <c r="AK184" i="53"/>
  <c r="H184" i="53"/>
  <c r="Q184" i="53"/>
  <c r="AL184" i="53"/>
  <c r="I184" i="53"/>
  <c r="R184" i="53"/>
  <c r="AM184" i="53"/>
  <c r="J184" i="53"/>
  <c r="S184" i="53"/>
  <c r="AN184" i="53"/>
  <c r="K184" i="53"/>
  <c r="T184" i="53"/>
  <c r="AO184" i="53"/>
  <c r="D185" i="53"/>
  <c r="M185" i="53"/>
  <c r="AH185" i="53"/>
  <c r="N185" i="53"/>
  <c r="AI185" i="53"/>
  <c r="F185" i="53"/>
  <c r="O185" i="53"/>
  <c r="AJ185" i="53"/>
  <c r="G185" i="53"/>
  <c r="P185" i="53"/>
  <c r="AK185" i="53"/>
  <c r="H185" i="53"/>
  <c r="Q185" i="53"/>
  <c r="AL185" i="53"/>
  <c r="I185" i="53"/>
  <c r="R185" i="53"/>
  <c r="AM185" i="53"/>
  <c r="J185" i="53"/>
  <c r="S185" i="53"/>
  <c r="AN185" i="53"/>
  <c r="K185" i="53"/>
  <c r="T185" i="53"/>
  <c r="AO185" i="53"/>
  <c r="D186" i="53"/>
  <c r="M186" i="53"/>
  <c r="AH186" i="53"/>
  <c r="N186" i="53"/>
  <c r="AI186" i="53"/>
  <c r="F186" i="53"/>
  <c r="O186" i="53"/>
  <c r="AJ186" i="53"/>
  <c r="G186" i="53"/>
  <c r="P186" i="53"/>
  <c r="AK186" i="53"/>
  <c r="H186" i="53"/>
  <c r="Q186" i="53"/>
  <c r="AL186" i="53"/>
  <c r="I186" i="53"/>
  <c r="R186" i="53"/>
  <c r="AM186" i="53"/>
  <c r="J186" i="53"/>
  <c r="S186" i="53"/>
  <c r="AN186" i="53"/>
  <c r="K186" i="53"/>
  <c r="T186" i="53"/>
  <c r="AO186" i="53"/>
  <c r="D187" i="53"/>
  <c r="M187" i="53"/>
  <c r="AH187" i="53"/>
  <c r="N187" i="53"/>
  <c r="AI187" i="53"/>
  <c r="F187" i="53"/>
  <c r="O187" i="53"/>
  <c r="AJ187" i="53"/>
  <c r="G187" i="53"/>
  <c r="P187" i="53"/>
  <c r="AK187" i="53"/>
  <c r="H187" i="53"/>
  <c r="Q187" i="53"/>
  <c r="AL187" i="53"/>
  <c r="I187" i="53"/>
  <c r="R187" i="53"/>
  <c r="AM187" i="53"/>
  <c r="J187" i="53"/>
  <c r="S187" i="53"/>
  <c r="AN187" i="53"/>
  <c r="K187" i="53"/>
  <c r="T187" i="53"/>
  <c r="AO187" i="53"/>
  <c r="D188" i="53"/>
  <c r="M188" i="53"/>
  <c r="AH188" i="53"/>
  <c r="N188" i="53"/>
  <c r="AI188" i="53"/>
  <c r="F188" i="53"/>
  <c r="O188" i="53"/>
  <c r="AJ188" i="53"/>
  <c r="G188" i="53"/>
  <c r="P188" i="53"/>
  <c r="AK188" i="53"/>
  <c r="H188" i="53"/>
  <c r="Q188" i="53"/>
  <c r="AL188" i="53"/>
  <c r="I188" i="53"/>
  <c r="R188" i="53"/>
  <c r="AM188" i="53"/>
  <c r="J188" i="53"/>
  <c r="S188" i="53"/>
  <c r="AN188" i="53"/>
  <c r="K188" i="53"/>
  <c r="T188" i="53"/>
  <c r="AO188" i="53"/>
  <c r="D189" i="53"/>
  <c r="M189" i="53"/>
  <c r="AH189" i="53"/>
  <c r="N189" i="53"/>
  <c r="AI189" i="53"/>
  <c r="F189" i="53"/>
  <c r="O189" i="53"/>
  <c r="AJ189" i="53"/>
  <c r="G189" i="53"/>
  <c r="P189" i="53"/>
  <c r="AK189" i="53"/>
  <c r="H189" i="53"/>
  <c r="Q189" i="53"/>
  <c r="AL189" i="53"/>
  <c r="I189" i="53"/>
  <c r="R189" i="53"/>
  <c r="AM189" i="53"/>
  <c r="J189" i="53"/>
  <c r="S189" i="53"/>
  <c r="AN189" i="53"/>
  <c r="K189" i="53"/>
  <c r="T189" i="53"/>
  <c r="AO189" i="53"/>
  <c r="D190" i="53"/>
  <c r="M190" i="53"/>
  <c r="AH190" i="53"/>
  <c r="N190" i="53"/>
  <c r="AI190" i="53"/>
  <c r="F190" i="53"/>
  <c r="O190" i="53"/>
  <c r="AJ190" i="53"/>
  <c r="G190" i="53"/>
  <c r="P190" i="53"/>
  <c r="AK190" i="53"/>
  <c r="H190" i="53"/>
  <c r="Q190" i="53"/>
  <c r="AL190" i="53"/>
  <c r="I190" i="53"/>
  <c r="R190" i="53"/>
  <c r="AM190" i="53"/>
  <c r="J190" i="53"/>
  <c r="S190" i="53"/>
  <c r="AN190" i="53"/>
  <c r="K190" i="53"/>
  <c r="T190" i="53"/>
  <c r="AO190" i="53"/>
  <c r="D191" i="53"/>
  <c r="M191" i="53"/>
  <c r="AH191" i="53"/>
  <c r="N191" i="53"/>
  <c r="AI191" i="53"/>
  <c r="F191" i="53"/>
  <c r="O191" i="53"/>
  <c r="AJ191" i="53"/>
  <c r="G191" i="53"/>
  <c r="P191" i="53"/>
  <c r="AK191" i="53"/>
  <c r="H191" i="53"/>
  <c r="Q191" i="53"/>
  <c r="AL191" i="53"/>
  <c r="I191" i="53"/>
  <c r="R191" i="53"/>
  <c r="AM191" i="53"/>
  <c r="J191" i="53"/>
  <c r="S191" i="53"/>
  <c r="AN191" i="53"/>
  <c r="K191" i="53"/>
  <c r="T191" i="53"/>
  <c r="AO191" i="53"/>
  <c r="D192" i="53"/>
  <c r="M192" i="53"/>
  <c r="AH192" i="53"/>
  <c r="N192" i="53"/>
  <c r="AI192" i="53"/>
  <c r="F192" i="53"/>
  <c r="O192" i="53"/>
  <c r="AJ192" i="53"/>
  <c r="G192" i="53"/>
  <c r="P192" i="53"/>
  <c r="AK192" i="53"/>
  <c r="H192" i="53"/>
  <c r="Q192" i="53"/>
  <c r="AL192" i="53"/>
  <c r="I192" i="53"/>
  <c r="R192" i="53"/>
  <c r="AM192" i="53"/>
  <c r="J192" i="53"/>
  <c r="S192" i="53"/>
  <c r="AN192" i="53"/>
  <c r="K192" i="53"/>
  <c r="T192" i="53"/>
  <c r="AO192" i="53"/>
  <c r="D193" i="53"/>
  <c r="M193" i="53"/>
  <c r="AH193" i="53"/>
  <c r="N193" i="53"/>
  <c r="AI193" i="53"/>
  <c r="F193" i="53"/>
  <c r="O193" i="53"/>
  <c r="AJ193" i="53"/>
  <c r="G193" i="53"/>
  <c r="P193" i="53"/>
  <c r="AK193" i="53"/>
  <c r="H193" i="53"/>
  <c r="Q193" i="53"/>
  <c r="AL193" i="53"/>
  <c r="I193" i="53"/>
  <c r="R193" i="53"/>
  <c r="AM193" i="53"/>
  <c r="J193" i="53"/>
  <c r="S193" i="53"/>
  <c r="AN193" i="53"/>
  <c r="K193" i="53"/>
  <c r="T193" i="53"/>
  <c r="AO193" i="53"/>
  <c r="D194" i="53"/>
  <c r="M194" i="53"/>
  <c r="AH194" i="53"/>
  <c r="N194" i="53"/>
  <c r="AI194" i="53"/>
  <c r="F194" i="53"/>
  <c r="O194" i="53"/>
  <c r="AJ194" i="53"/>
  <c r="G194" i="53"/>
  <c r="P194" i="53"/>
  <c r="AK194" i="53"/>
  <c r="H194" i="53"/>
  <c r="Q194" i="53"/>
  <c r="AL194" i="53"/>
  <c r="I194" i="53"/>
  <c r="R194" i="53"/>
  <c r="AM194" i="53"/>
  <c r="J194" i="53"/>
  <c r="S194" i="53"/>
  <c r="AN194" i="53"/>
  <c r="K194" i="53"/>
  <c r="T194" i="53"/>
  <c r="AO194" i="53"/>
  <c r="D195" i="53"/>
  <c r="M195" i="53"/>
  <c r="AH195" i="53"/>
  <c r="N195" i="53"/>
  <c r="AI195" i="53"/>
  <c r="F195" i="53"/>
  <c r="O195" i="53"/>
  <c r="AJ195" i="53"/>
  <c r="G195" i="53"/>
  <c r="P195" i="53"/>
  <c r="AK195" i="53"/>
  <c r="H195" i="53"/>
  <c r="Q195" i="53"/>
  <c r="AL195" i="53"/>
  <c r="I195" i="53"/>
  <c r="R195" i="53"/>
  <c r="AM195" i="53"/>
  <c r="J195" i="53"/>
  <c r="S195" i="53"/>
  <c r="AN195" i="53"/>
  <c r="K195" i="53"/>
  <c r="T195" i="53"/>
  <c r="AO195" i="53"/>
  <c r="D196" i="53"/>
  <c r="M196" i="53"/>
  <c r="AH196" i="53"/>
  <c r="N196" i="53"/>
  <c r="AI196" i="53"/>
  <c r="F196" i="53"/>
  <c r="O196" i="53"/>
  <c r="AJ196" i="53"/>
  <c r="G196" i="53"/>
  <c r="P196" i="53"/>
  <c r="AK196" i="53"/>
  <c r="H196" i="53"/>
  <c r="Q196" i="53"/>
  <c r="AL196" i="53"/>
  <c r="I196" i="53"/>
  <c r="R196" i="53"/>
  <c r="AM196" i="53"/>
  <c r="J196" i="53"/>
  <c r="S196" i="53"/>
  <c r="AN196" i="53"/>
  <c r="K196" i="53"/>
  <c r="T196" i="53"/>
  <c r="AO196" i="53"/>
  <c r="D197" i="53"/>
  <c r="M197" i="53"/>
  <c r="AH197" i="53"/>
  <c r="N197" i="53"/>
  <c r="AI197" i="53"/>
  <c r="F197" i="53"/>
  <c r="O197" i="53"/>
  <c r="AJ197" i="53"/>
  <c r="G197" i="53"/>
  <c r="P197" i="53"/>
  <c r="AK197" i="53"/>
  <c r="H197" i="53"/>
  <c r="Q197" i="53"/>
  <c r="AL197" i="53"/>
  <c r="I197" i="53"/>
  <c r="R197" i="53"/>
  <c r="AM197" i="53"/>
  <c r="J197" i="53"/>
  <c r="S197" i="53"/>
  <c r="AN197" i="53"/>
  <c r="K197" i="53"/>
  <c r="T197" i="53"/>
  <c r="AO197" i="53"/>
  <c r="D198" i="53"/>
  <c r="M198" i="53"/>
  <c r="AH198" i="53"/>
  <c r="N198" i="53"/>
  <c r="AI198" i="53"/>
  <c r="F198" i="53"/>
  <c r="O198" i="53"/>
  <c r="AJ198" i="53"/>
  <c r="G198" i="53"/>
  <c r="P198" i="53"/>
  <c r="AK198" i="53"/>
  <c r="H198" i="53"/>
  <c r="Q198" i="53"/>
  <c r="AL198" i="53"/>
  <c r="I198" i="53"/>
  <c r="R198" i="53"/>
  <c r="AM198" i="53"/>
  <c r="J198" i="53"/>
  <c r="S198" i="53"/>
  <c r="AN198" i="53"/>
  <c r="K198" i="53"/>
  <c r="T198" i="53"/>
  <c r="AO198" i="53"/>
  <c r="D199" i="53"/>
  <c r="M199" i="53"/>
  <c r="AH199" i="53"/>
  <c r="N199" i="53"/>
  <c r="AI199" i="53"/>
  <c r="F199" i="53"/>
  <c r="O199" i="53"/>
  <c r="AJ199" i="53"/>
  <c r="G199" i="53"/>
  <c r="P199" i="53"/>
  <c r="AK199" i="53"/>
  <c r="H199" i="53"/>
  <c r="Q199" i="53"/>
  <c r="AL199" i="53"/>
  <c r="I199" i="53"/>
  <c r="R199" i="53"/>
  <c r="AM199" i="53"/>
  <c r="J199" i="53"/>
  <c r="S199" i="53"/>
  <c r="AN199" i="53"/>
  <c r="K199" i="53"/>
  <c r="T199" i="53"/>
  <c r="AO199" i="53"/>
  <c r="D200" i="53"/>
  <c r="M200" i="53"/>
  <c r="AH200" i="53"/>
  <c r="N200" i="53"/>
  <c r="AI200" i="53"/>
  <c r="F200" i="53"/>
  <c r="O200" i="53"/>
  <c r="AJ200" i="53"/>
  <c r="G200" i="53"/>
  <c r="P200" i="53"/>
  <c r="AK200" i="53"/>
  <c r="H200" i="53"/>
  <c r="Q200" i="53"/>
  <c r="AL200" i="53"/>
  <c r="I200" i="53"/>
  <c r="R200" i="53"/>
  <c r="AM200" i="53"/>
  <c r="J200" i="53"/>
  <c r="S200" i="53"/>
  <c r="AN200" i="53"/>
  <c r="K200" i="53"/>
  <c r="T200" i="53"/>
  <c r="AO200" i="53"/>
  <c r="D201" i="53"/>
  <c r="M201" i="53"/>
  <c r="AH201" i="53"/>
  <c r="N201" i="53"/>
  <c r="AI201" i="53"/>
  <c r="F201" i="53"/>
  <c r="O201" i="53"/>
  <c r="AJ201" i="53"/>
  <c r="G201" i="53"/>
  <c r="P201" i="53"/>
  <c r="AK201" i="53"/>
  <c r="H201" i="53"/>
  <c r="Q201" i="53"/>
  <c r="AL201" i="53"/>
  <c r="I201" i="53"/>
  <c r="R201" i="53"/>
  <c r="AM201" i="53"/>
  <c r="J201" i="53"/>
  <c r="S201" i="53"/>
  <c r="AN201" i="53"/>
  <c r="K201" i="53"/>
  <c r="T201" i="53"/>
  <c r="AO201" i="53"/>
  <c r="D202" i="53"/>
  <c r="M202" i="53"/>
  <c r="AH202" i="53"/>
  <c r="N202" i="53"/>
  <c r="AI202" i="53"/>
  <c r="F202" i="53"/>
  <c r="O202" i="53"/>
  <c r="AJ202" i="53"/>
  <c r="G202" i="53"/>
  <c r="P202" i="53"/>
  <c r="AK202" i="53"/>
  <c r="H202" i="53"/>
  <c r="Q202" i="53"/>
  <c r="AL202" i="53"/>
  <c r="I202" i="53"/>
  <c r="R202" i="53"/>
  <c r="AM202" i="53"/>
  <c r="J202" i="53"/>
  <c r="S202" i="53"/>
  <c r="AN202" i="53"/>
  <c r="K202" i="53"/>
  <c r="T202" i="53"/>
  <c r="AO202" i="53"/>
  <c r="D203" i="53"/>
  <c r="M203" i="53"/>
  <c r="AH203" i="53"/>
  <c r="N203" i="53"/>
  <c r="AI203" i="53"/>
  <c r="F203" i="53"/>
  <c r="O203" i="53"/>
  <c r="AJ203" i="53"/>
  <c r="G203" i="53"/>
  <c r="P203" i="53"/>
  <c r="AK203" i="53"/>
  <c r="H203" i="53"/>
  <c r="Q203" i="53"/>
  <c r="AL203" i="53"/>
  <c r="I203" i="53"/>
  <c r="R203" i="53"/>
  <c r="AM203" i="53"/>
  <c r="J203" i="53"/>
  <c r="S203" i="53"/>
  <c r="AN203" i="53"/>
  <c r="K203" i="53"/>
  <c r="T203" i="53"/>
  <c r="AO203" i="53"/>
  <c r="D204" i="53"/>
  <c r="M204" i="53"/>
  <c r="AH204" i="53"/>
  <c r="N204" i="53"/>
  <c r="AI204" i="53"/>
  <c r="F204" i="53"/>
  <c r="O204" i="53"/>
  <c r="AJ204" i="53"/>
  <c r="G204" i="53"/>
  <c r="P204" i="53"/>
  <c r="AK204" i="53"/>
  <c r="H204" i="53"/>
  <c r="Q204" i="53"/>
  <c r="AL204" i="53"/>
  <c r="I204" i="53"/>
  <c r="R204" i="53"/>
  <c r="AM204" i="53"/>
  <c r="J204" i="53"/>
  <c r="S204" i="53"/>
  <c r="AN204" i="53"/>
  <c r="K204" i="53"/>
  <c r="T204" i="53"/>
  <c r="AO204" i="53"/>
  <c r="D205" i="53"/>
  <c r="M205" i="53"/>
  <c r="AH205" i="53"/>
  <c r="N205" i="53"/>
  <c r="AI205" i="53"/>
  <c r="F205" i="53"/>
  <c r="O205" i="53"/>
  <c r="AJ205" i="53"/>
  <c r="G205" i="53"/>
  <c r="P205" i="53"/>
  <c r="AK205" i="53"/>
  <c r="H205" i="53"/>
  <c r="Q205" i="53"/>
  <c r="AL205" i="53"/>
  <c r="I205" i="53"/>
  <c r="R205" i="53"/>
  <c r="AM205" i="53"/>
  <c r="J205" i="53"/>
  <c r="S205" i="53"/>
  <c r="AN205" i="53"/>
  <c r="K205" i="53"/>
  <c r="T205" i="53"/>
  <c r="AO205" i="53"/>
  <c r="D206" i="53"/>
  <c r="M206" i="53"/>
  <c r="AH206" i="53"/>
  <c r="N206" i="53"/>
  <c r="AI206" i="53"/>
  <c r="F206" i="53"/>
  <c r="O206" i="53"/>
  <c r="AJ206" i="53"/>
  <c r="G206" i="53"/>
  <c r="P206" i="53"/>
  <c r="AK206" i="53"/>
  <c r="H206" i="53"/>
  <c r="Q206" i="53"/>
  <c r="AL206" i="53"/>
  <c r="I206" i="53"/>
  <c r="R206" i="53"/>
  <c r="AM206" i="53"/>
  <c r="J206" i="53"/>
  <c r="S206" i="53"/>
  <c r="AN206" i="53"/>
  <c r="K206" i="53"/>
  <c r="T206" i="53"/>
  <c r="AO206" i="53"/>
  <c r="D207" i="53"/>
  <c r="M207" i="53"/>
  <c r="AH207" i="53"/>
  <c r="N207" i="53"/>
  <c r="AI207" i="53"/>
  <c r="F207" i="53"/>
  <c r="O207" i="53"/>
  <c r="AJ207" i="53"/>
  <c r="G207" i="53"/>
  <c r="P207" i="53"/>
  <c r="AK207" i="53"/>
  <c r="H207" i="53"/>
  <c r="Q207" i="53"/>
  <c r="AL207" i="53"/>
  <c r="I207" i="53"/>
  <c r="R207" i="53"/>
  <c r="AM207" i="53"/>
  <c r="J207" i="53"/>
  <c r="S207" i="53"/>
  <c r="AN207" i="53"/>
  <c r="K207" i="53"/>
  <c r="T207" i="53"/>
  <c r="AO207" i="53"/>
  <c r="D208" i="53"/>
  <c r="M208" i="53"/>
  <c r="AH208" i="53"/>
  <c r="N208" i="53"/>
  <c r="AI208" i="53"/>
  <c r="F208" i="53"/>
  <c r="O208" i="53"/>
  <c r="AJ208" i="53"/>
  <c r="G208" i="53"/>
  <c r="P208" i="53"/>
  <c r="AK208" i="53"/>
  <c r="H208" i="53"/>
  <c r="Q208" i="53"/>
  <c r="AL208" i="53"/>
  <c r="I208" i="53"/>
  <c r="R208" i="53"/>
  <c r="AM208" i="53"/>
  <c r="J208" i="53"/>
  <c r="S208" i="53"/>
  <c r="AN208" i="53"/>
  <c r="K208" i="53"/>
  <c r="T208" i="53"/>
  <c r="AO208" i="53"/>
  <c r="D209" i="53"/>
  <c r="M209" i="53"/>
  <c r="AH209" i="53"/>
  <c r="N209" i="53"/>
  <c r="AI209" i="53"/>
  <c r="F209" i="53"/>
  <c r="O209" i="53"/>
  <c r="AJ209" i="53"/>
  <c r="G209" i="53"/>
  <c r="P209" i="53"/>
  <c r="AK209" i="53"/>
  <c r="H209" i="53"/>
  <c r="Q209" i="53"/>
  <c r="AL209" i="53"/>
  <c r="I209" i="53"/>
  <c r="R209" i="53"/>
  <c r="AM209" i="53"/>
  <c r="J209" i="53"/>
  <c r="S209" i="53"/>
  <c r="AN209" i="53"/>
  <c r="K209" i="53"/>
  <c r="T209" i="53"/>
  <c r="AO209" i="53"/>
  <c r="D210" i="53"/>
  <c r="M210" i="53"/>
  <c r="AH210" i="53"/>
  <c r="N210" i="53"/>
  <c r="AI210" i="53"/>
  <c r="F210" i="53"/>
  <c r="O210" i="53"/>
  <c r="AJ210" i="53"/>
  <c r="G210" i="53"/>
  <c r="P210" i="53"/>
  <c r="AK210" i="53"/>
  <c r="H210" i="53"/>
  <c r="Q210" i="53"/>
  <c r="AL210" i="53"/>
  <c r="I210" i="53"/>
  <c r="R210" i="53"/>
  <c r="AM210" i="53"/>
  <c r="J210" i="53"/>
  <c r="S210" i="53"/>
  <c r="AN210" i="53"/>
  <c r="K210" i="53"/>
  <c r="T210" i="53"/>
  <c r="AO210" i="53"/>
  <c r="D211" i="53"/>
  <c r="M211" i="53"/>
  <c r="AH211" i="53"/>
  <c r="N211" i="53"/>
  <c r="AI211" i="53"/>
  <c r="F211" i="53"/>
  <c r="O211" i="53"/>
  <c r="AJ211" i="53"/>
  <c r="G211" i="53"/>
  <c r="P211" i="53"/>
  <c r="AK211" i="53"/>
  <c r="H211" i="53"/>
  <c r="Q211" i="53"/>
  <c r="AL211" i="53"/>
  <c r="I211" i="53"/>
  <c r="R211" i="53"/>
  <c r="AM211" i="53"/>
  <c r="J211" i="53"/>
  <c r="S211" i="53"/>
  <c r="AN211" i="53"/>
  <c r="K211" i="53"/>
  <c r="T211" i="53"/>
  <c r="AO211" i="53"/>
  <c r="D212" i="53"/>
  <c r="M212" i="53"/>
  <c r="AH212" i="53"/>
  <c r="N212" i="53"/>
  <c r="AI212" i="53"/>
  <c r="F212" i="53"/>
  <c r="O212" i="53"/>
  <c r="AJ212" i="53"/>
  <c r="G212" i="53"/>
  <c r="P212" i="53"/>
  <c r="AK212" i="53"/>
  <c r="H212" i="53"/>
  <c r="Q212" i="53"/>
  <c r="AL212" i="53"/>
  <c r="I212" i="53"/>
  <c r="R212" i="53"/>
  <c r="AM212" i="53"/>
  <c r="J212" i="53"/>
  <c r="S212" i="53"/>
  <c r="AN212" i="53"/>
  <c r="K212" i="53"/>
  <c r="T212" i="53"/>
  <c r="AO212" i="53"/>
  <c r="D213" i="53"/>
  <c r="M213" i="53"/>
  <c r="AH213" i="53"/>
  <c r="N213" i="53"/>
  <c r="AI213" i="53"/>
  <c r="F213" i="53"/>
  <c r="O213" i="53"/>
  <c r="AJ213" i="53"/>
  <c r="G213" i="53"/>
  <c r="P213" i="53"/>
  <c r="AK213" i="53"/>
  <c r="H213" i="53"/>
  <c r="Q213" i="53"/>
  <c r="AL213" i="53"/>
  <c r="I213" i="53"/>
  <c r="R213" i="53"/>
  <c r="AM213" i="53"/>
  <c r="J213" i="53"/>
  <c r="S213" i="53"/>
  <c r="AN213" i="53"/>
  <c r="K213" i="53"/>
  <c r="T213" i="53"/>
  <c r="AO213" i="53"/>
  <c r="D214" i="53"/>
  <c r="M214" i="53"/>
  <c r="AH214" i="53"/>
  <c r="N214" i="53"/>
  <c r="AI214" i="53"/>
  <c r="F214" i="53"/>
  <c r="O214" i="53"/>
  <c r="AJ214" i="53"/>
  <c r="G214" i="53"/>
  <c r="P214" i="53"/>
  <c r="AK214" i="53"/>
  <c r="H214" i="53"/>
  <c r="Q214" i="53"/>
  <c r="AL214" i="53"/>
  <c r="I214" i="53"/>
  <c r="R214" i="53"/>
  <c r="AM214" i="53"/>
  <c r="J214" i="53"/>
  <c r="S214" i="53"/>
  <c r="AN214" i="53"/>
  <c r="K214" i="53"/>
  <c r="T214" i="53"/>
  <c r="AO214" i="53"/>
  <c r="D215" i="53"/>
  <c r="M215" i="53"/>
  <c r="AH215" i="53"/>
  <c r="N215" i="53"/>
  <c r="AI215" i="53"/>
  <c r="F215" i="53"/>
  <c r="O215" i="53"/>
  <c r="AJ215" i="53"/>
  <c r="G215" i="53"/>
  <c r="P215" i="53"/>
  <c r="AK215" i="53"/>
  <c r="H215" i="53"/>
  <c r="Q215" i="53"/>
  <c r="AL215" i="53"/>
  <c r="I215" i="53"/>
  <c r="R215" i="53"/>
  <c r="AM215" i="53"/>
  <c r="J215" i="53"/>
  <c r="S215" i="53"/>
  <c r="AN215" i="53"/>
  <c r="K215" i="53"/>
  <c r="T215" i="53"/>
  <c r="AO215" i="53"/>
  <c r="D216" i="53"/>
  <c r="M216" i="53"/>
  <c r="AH216" i="53"/>
  <c r="N216" i="53"/>
  <c r="AI216" i="53"/>
  <c r="F216" i="53"/>
  <c r="O216" i="53"/>
  <c r="AJ216" i="53"/>
  <c r="G216" i="53"/>
  <c r="P216" i="53"/>
  <c r="AK216" i="53"/>
  <c r="H216" i="53"/>
  <c r="Q216" i="53"/>
  <c r="AL216" i="53"/>
  <c r="I216" i="53"/>
  <c r="R216" i="53"/>
  <c r="AM216" i="53"/>
  <c r="J216" i="53"/>
  <c r="S216" i="53"/>
  <c r="AN216" i="53"/>
  <c r="K216" i="53"/>
  <c r="T216" i="53"/>
  <c r="AO216" i="53"/>
  <c r="D217" i="53"/>
  <c r="M217" i="53"/>
  <c r="AH217" i="53"/>
  <c r="N217" i="53"/>
  <c r="AI217" i="53"/>
  <c r="F217" i="53"/>
  <c r="O217" i="53"/>
  <c r="AJ217" i="53"/>
  <c r="G217" i="53"/>
  <c r="P217" i="53"/>
  <c r="AK217" i="53"/>
  <c r="H217" i="53"/>
  <c r="Q217" i="53"/>
  <c r="AL217" i="53"/>
  <c r="I217" i="53"/>
  <c r="R217" i="53"/>
  <c r="AM217" i="53"/>
  <c r="J217" i="53"/>
  <c r="S217" i="53"/>
  <c r="AN217" i="53"/>
  <c r="K217" i="53"/>
  <c r="T217" i="53"/>
  <c r="AO217" i="53"/>
  <c r="D218" i="53"/>
  <c r="M218" i="53"/>
  <c r="AH218" i="53"/>
  <c r="N218" i="53"/>
  <c r="AI218" i="53"/>
  <c r="F218" i="53"/>
  <c r="O218" i="53"/>
  <c r="AJ218" i="53"/>
  <c r="G218" i="53"/>
  <c r="P218" i="53"/>
  <c r="AK218" i="53"/>
  <c r="H218" i="53"/>
  <c r="Q218" i="53"/>
  <c r="AL218" i="53"/>
  <c r="I218" i="53"/>
  <c r="R218" i="53"/>
  <c r="AM218" i="53"/>
  <c r="J218" i="53"/>
  <c r="S218" i="53"/>
  <c r="AN218" i="53"/>
  <c r="K218" i="53"/>
  <c r="T218" i="53"/>
  <c r="AO218" i="53"/>
  <c r="D219" i="53"/>
  <c r="M219" i="53"/>
  <c r="AH219" i="53"/>
  <c r="N219" i="53"/>
  <c r="AI219" i="53"/>
  <c r="F219" i="53"/>
  <c r="O219" i="53"/>
  <c r="AJ219" i="53"/>
  <c r="G219" i="53"/>
  <c r="P219" i="53"/>
  <c r="AK219" i="53"/>
  <c r="H219" i="53"/>
  <c r="Q219" i="53"/>
  <c r="AL219" i="53"/>
  <c r="I219" i="53"/>
  <c r="R219" i="53"/>
  <c r="AM219" i="53"/>
  <c r="J219" i="53"/>
  <c r="S219" i="53"/>
  <c r="AN219" i="53"/>
  <c r="K219" i="53"/>
  <c r="T219" i="53"/>
  <c r="AO219" i="53"/>
  <c r="D220" i="53"/>
  <c r="M220" i="53"/>
  <c r="AH220" i="53"/>
  <c r="N220" i="53"/>
  <c r="AI220" i="53"/>
  <c r="F220" i="53"/>
  <c r="O220" i="53"/>
  <c r="AJ220" i="53"/>
  <c r="G220" i="53"/>
  <c r="P220" i="53"/>
  <c r="AK220" i="53"/>
  <c r="H220" i="53"/>
  <c r="Q220" i="53"/>
  <c r="AL220" i="53"/>
  <c r="I220" i="53"/>
  <c r="R220" i="53"/>
  <c r="AM220" i="53"/>
  <c r="J220" i="53"/>
  <c r="S220" i="53"/>
  <c r="AN220" i="53"/>
  <c r="K220" i="53"/>
  <c r="T220" i="53"/>
  <c r="AO220" i="53"/>
  <c r="D221" i="53"/>
  <c r="M221" i="53"/>
  <c r="AH221" i="53"/>
  <c r="N221" i="53"/>
  <c r="AI221" i="53"/>
  <c r="F221" i="53"/>
  <c r="O221" i="53"/>
  <c r="AJ221" i="53"/>
  <c r="G221" i="53"/>
  <c r="P221" i="53"/>
  <c r="AK221" i="53"/>
  <c r="H221" i="53"/>
  <c r="Q221" i="53"/>
  <c r="AL221" i="53"/>
  <c r="I221" i="53"/>
  <c r="R221" i="53"/>
  <c r="AM221" i="53"/>
  <c r="J221" i="53"/>
  <c r="S221" i="53"/>
  <c r="AN221" i="53"/>
  <c r="K221" i="53"/>
  <c r="T221" i="53"/>
  <c r="AO221" i="53"/>
  <c r="D222" i="53"/>
  <c r="M222" i="53"/>
  <c r="AH222" i="53"/>
  <c r="N222" i="53"/>
  <c r="AI222" i="53"/>
  <c r="F222" i="53"/>
  <c r="O222" i="53"/>
  <c r="AJ222" i="53"/>
  <c r="G222" i="53"/>
  <c r="P222" i="53"/>
  <c r="AK222" i="53"/>
  <c r="H222" i="53"/>
  <c r="Q222" i="53"/>
  <c r="AL222" i="53"/>
  <c r="I222" i="53"/>
  <c r="R222" i="53"/>
  <c r="AM222" i="53"/>
  <c r="J222" i="53"/>
  <c r="S222" i="53"/>
  <c r="AN222" i="53"/>
  <c r="K222" i="53"/>
  <c r="T222" i="53"/>
  <c r="AO222" i="53"/>
  <c r="D223" i="53"/>
  <c r="M223" i="53"/>
  <c r="AH223" i="53"/>
  <c r="N223" i="53"/>
  <c r="AI223" i="53"/>
  <c r="F223" i="53"/>
  <c r="O223" i="53"/>
  <c r="AJ223" i="53"/>
  <c r="G223" i="53"/>
  <c r="P223" i="53"/>
  <c r="AK223" i="53"/>
  <c r="H223" i="53"/>
  <c r="Q223" i="53"/>
  <c r="AL223" i="53"/>
  <c r="I223" i="53"/>
  <c r="R223" i="53"/>
  <c r="AM223" i="53"/>
  <c r="J223" i="53"/>
  <c r="S223" i="53"/>
  <c r="AN223" i="53"/>
  <c r="K223" i="53"/>
  <c r="T223" i="53"/>
  <c r="AO223" i="53"/>
  <c r="D224" i="53"/>
  <c r="M224" i="53"/>
  <c r="AH224" i="53"/>
  <c r="N224" i="53"/>
  <c r="AI224" i="53"/>
  <c r="F224" i="53"/>
  <c r="O224" i="53"/>
  <c r="AJ224" i="53"/>
  <c r="G224" i="53"/>
  <c r="P224" i="53"/>
  <c r="AK224" i="53"/>
  <c r="H224" i="53"/>
  <c r="Q224" i="53"/>
  <c r="AL224" i="53"/>
  <c r="I224" i="53"/>
  <c r="R224" i="53"/>
  <c r="AM224" i="53"/>
  <c r="J224" i="53"/>
  <c r="S224" i="53"/>
  <c r="AN224" i="53"/>
  <c r="K224" i="53"/>
  <c r="T224" i="53"/>
  <c r="AO224" i="53"/>
  <c r="D225" i="53"/>
  <c r="M225" i="53"/>
  <c r="AH225" i="53"/>
  <c r="N225" i="53"/>
  <c r="AI225" i="53"/>
  <c r="F225" i="53"/>
  <c r="O225" i="53"/>
  <c r="AJ225" i="53"/>
  <c r="G225" i="53"/>
  <c r="P225" i="53"/>
  <c r="AK225" i="53"/>
  <c r="H225" i="53"/>
  <c r="Q225" i="53"/>
  <c r="AL225" i="53"/>
  <c r="I225" i="53"/>
  <c r="R225" i="53"/>
  <c r="AM225" i="53"/>
  <c r="J225" i="53"/>
  <c r="S225" i="53"/>
  <c r="AN225" i="53"/>
  <c r="K225" i="53"/>
  <c r="T225" i="53"/>
  <c r="AO225" i="53"/>
  <c r="D226" i="53"/>
  <c r="M226" i="53"/>
  <c r="AH226" i="53"/>
  <c r="N226" i="53"/>
  <c r="AI226" i="53"/>
  <c r="F226" i="53"/>
  <c r="O226" i="53"/>
  <c r="AJ226" i="53"/>
  <c r="G226" i="53"/>
  <c r="P226" i="53"/>
  <c r="AK226" i="53"/>
  <c r="H226" i="53"/>
  <c r="Q226" i="53"/>
  <c r="AL226" i="53"/>
  <c r="I226" i="53"/>
  <c r="R226" i="53"/>
  <c r="AM226" i="53"/>
  <c r="J226" i="53"/>
  <c r="S226" i="53"/>
  <c r="AN226" i="53"/>
  <c r="K226" i="53"/>
  <c r="T226" i="53"/>
  <c r="AO226" i="53"/>
  <c r="D227" i="53"/>
  <c r="M227" i="53"/>
  <c r="AH227" i="53"/>
  <c r="N227" i="53"/>
  <c r="AI227" i="53"/>
  <c r="F227" i="53"/>
  <c r="O227" i="53"/>
  <c r="AJ227" i="53"/>
  <c r="G227" i="53"/>
  <c r="P227" i="53"/>
  <c r="AK227" i="53"/>
  <c r="H227" i="53"/>
  <c r="Q227" i="53"/>
  <c r="AL227" i="53"/>
  <c r="I227" i="53"/>
  <c r="R227" i="53"/>
  <c r="AM227" i="53"/>
  <c r="J227" i="53"/>
  <c r="S227" i="53"/>
  <c r="AN227" i="53"/>
  <c r="K227" i="53"/>
  <c r="T227" i="53"/>
  <c r="AO227" i="53"/>
  <c r="D228" i="53"/>
  <c r="M228" i="53"/>
  <c r="AH228" i="53"/>
  <c r="N228" i="53"/>
  <c r="AI228" i="53"/>
  <c r="F228" i="53"/>
  <c r="O228" i="53"/>
  <c r="AJ228" i="53"/>
  <c r="G228" i="53"/>
  <c r="P228" i="53"/>
  <c r="AK228" i="53"/>
  <c r="H228" i="53"/>
  <c r="Q228" i="53"/>
  <c r="AL228" i="53"/>
  <c r="I228" i="53"/>
  <c r="R228" i="53"/>
  <c r="AM228" i="53"/>
  <c r="J228" i="53"/>
  <c r="S228" i="53"/>
  <c r="AN228" i="53"/>
  <c r="K228" i="53"/>
  <c r="T228" i="53"/>
  <c r="AO228" i="53"/>
  <c r="D229" i="53"/>
  <c r="M229" i="53"/>
  <c r="AH229" i="53"/>
  <c r="N229" i="53"/>
  <c r="AI229" i="53"/>
  <c r="F229" i="53"/>
  <c r="O229" i="53"/>
  <c r="AJ229" i="53"/>
  <c r="G229" i="53"/>
  <c r="P229" i="53"/>
  <c r="AK229" i="53"/>
  <c r="H229" i="53"/>
  <c r="Q229" i="53"/>
  <c r="AL229" i="53"/>
  <c r="I229" i="53"/>
  <c r="R229" i="53"/>
  <c r="AM229" i="53"/>
  <c r="J229" i="53"/>
  <c r="S229" i="53"/>
  <c r="AN229" i="53"/>
  <c r="K229" i="53"/>
  <c r="T229" i="53"/>
  <c r="AO229" i="53"/>
  <c r="D230" i="53"/>
  <c r="M230" i="53"/>
  <c r="AH230" i="53"/>
  <c r="N230" i="53"/>
  <c r="AI230" i="53"/>
  <c r="F230" i="53"/>
  <c r="O230" i="53"/>
  <c r="AJ230" i="53"/>
  <c r="G230" i="53"/>
  <c r="P230" i="53"/>
  <c r="AK230" i="53"/>
  <c r="H230" i="53"/>
  <c r="Q230" i="53"/>
  <c r="AL230" i="53"/>
  <c r="I230" i="53"/>
  <c r="R230" i="53"/>
  <c r="AM230" i="53"/>
  <c r="J230" i="53"/>
  <c r="S230" i="53"/>
  <c r="AN230" i="53"/>
  <c r="K230" i="53"/>
  <c r="T230" i="53"/>
  <c r="AO230" i="53"/>
  <c r="D231" i="53"/>
  <c r="M231" i="53"/>
  <c r="AH231" i="53"/>
  <c r="N231" i="53"/>
  <c r="AI231" i="53"/>
  <c r="F231" i="53"/>
  <c r="O231" i="53"/>
  <c r="AJ231" i="53"/>
  <c r="G231" i="53"/>
  <c r="P231" i="53"/>
  <c r="AK231" i="53"/>
  <c r="H231" i="53"/>
  <c r="Q231" i="53"/>
  <c r="AL231" i="53"/>
  <c r="I231" i="53"/>
  <c r="R231" i="53"/>
  <c r="AM231" i="53"/>
  <c r="J231" i="53"/>
  <c r="S231" i="53"/>
  <c r="AN231" i="53"/>
  <c r="K231" i="53"/>
  <c r="T231" i="53"/>
  <c r="AO231" i="53"/>
  <c r="D232" i="53"/>
  <c r="M232" i="53"/>
  <c r="AH232" i="53"/>
  <c r="N232" i="53"/>
  <c r="AI232" i="53"/>
  <c r="F232" i="53"/>
  <c r="O232" i="53"/>
  <c r="AJ232" i="53"/>
  <c r="G232" i="53"/>
  <c r="P232" i="53"/>
  <c r="AK232" i="53"/>
  <c r="H232" i="53"/>
  <c r="Q232" i="53"/>
  <c r="AL232" i="53"/>
  <c r="I232" i="53"/>
  <c r="R232" i="53"/>
  <c r="AM232" i="53"/>
  <c r="J232" i="53"/>
  <c r="S232" i="53"/>
  <c r="AN232" i="53"/>
  <c r="K232" i="53"/>
  <c r="T232" i="53"/>
  <c r="AO232" i="53"/>
  <c r="D233" i="53"/>
  <c r="M233" i="53"/>
  <c r="AH233" i="53"/>
  <c r="N233" i="53"/>
  <c r="AI233" i="53"/>
  <c r="F233" i="53"/>
  <c r="O233" i="53"/>
  <c r="AJ233" i="53"/>
  <c r="G233" i="53"/>
  <c r="P233" i="53"/>
  <c r="AK233" i="53"/>
  <c r="H233" i="53"/>
  <c r="Q233" i="53"/>
  <c r="AL233" i="53"/>
  <c r="I233" i="53"/>
  <c r="R233" i="53"/>
  <c r="AM233" i="53"/>
  <c r="J233" i="53"/>
  <c r="S233" i="53"/>
  <c r="AN233" i="53"/>
  <c r="K233" i="53"/>
  <c r="T233" i="53"/>
  <c r="AO233" i="53"/>
  <c r="D234" i="53"/>
  <c r="M234" i="53"/>
  <c r="AH234" i="53"/>
  <c r="N234" i="53"/>
  <c r="AI234" i="53"/>
  <c r="F234" i="53"/>
  <c r="O234" i="53"/>
  <c r="AJ234" i="53"/>
  <c r="G234" i="53"/>
  <c r="P234" i="53"/>
  <c r="AK234" i="53"/>
  <c r="H234" i="53"/>
  <c r="Q234" i="53"/>
  <c r="AL234" i="53"/>
  <c r="I234" i="53"/>
  <c r="R234" i="53"/>
  <c r="AM234" i="53"/>
  <c r="J234" i="53"/>
  <c r="S234" i="53"/>
  <c r="AN234" i="53"/>
  <c r="K234" i="53"/>
  <c r="T234" i="53"/>
  <c r="AO234" i="53"/>
  <c r="D235" i="53"/>
  <c r="M235" i="53"/>
  <c r="AH235" i="53"/>
  <c r="N235" i="53"/>
  <c r="AI235" i="53"/>
  <c r="F235" i="53"/>
  <c r="O235" i="53"/>
  <c r="AJ235" i="53"/>
  <c r="G235" i="53"/>
  <c r="P235" i="53"/>
  <c r="AK235" i="53"/>
  <c r="H235" i="53"/>
  <c r="Q235" i="53"/>
  <c r="AL235" i="53"/>
  <c r="I235" i="53"/>
  <c r="R235" i="53"/>
  <c r="AM235" i="53"/>
  <c r="J235" i="53"/>
  <c r="S235" i="53"/>
  <c r="AN235" i="53"/>
  <c r="K235" i="53"/>
  <c r="T235" i="53"/>
  <c r="AO235" i="53"/>
  <c r="D236" i="53"/>
  <c r="M236" i="53"/>
  <c r="AH236" i="53"/>
  <c r="N236" i="53"/>
  <c r="AI236" i="53"/>
  <c r="F236" i="53"/>
  <c r="O236" i="53"/>
  <c r="AJ236" i="53"/>
  <c r="G236" i="53"/>
  <c r="P236" i="53"/>
  <c r="AK236" i="53"/>
  <c r="H236" i="53"/>
  <c r="Q236" i="53"/>
  <c r="AL236" i="53"/>
  <c r="I236" i="53"/>
  <c r="R236" i="53"/>
  <c r="AM236" i="53"/>
  <c r="J236" i="53"/>
  <c r="S236" i="53"/>
  <c r="AN236" i="53"/>
  <c r="K236" i="53"/>
  <c r="T236" i="53"/>
  <c r="AO236" i="53"/>
  <c r="D237" i="53"/>
  <c r="M237" i="53"/>
  <c r="AH237" i="53"/>
  <c r="N237" i="53"/>
  <c r="AI237" i="53"/>
  <c r="F237" i="53"/>
  <c r="O237" i="53"/>
  <c r="AJ237" i="53"/>
  <c r="G237" i="53"/>
  <c r="P237" i="53"/>
  <c r="AK237" i="53"/>
  <c r="H237" i="53"/>
  <c r="Q237" i="53"/>
  <c r="AL237" i="53"/>
  <c r="I237" i="53"/>
  <c r="R237" i="53"/>
  <c r="AM237" i="53"/>
  <c r="J237" i="53"/>
  <c r="S237" i="53"/>
  <c r="AN237" i="53"/>
  <c r="K237" i="53"/>
  <c r="T237" i="53"/>
  <c r="AO237" i="53"/>
  <c r="D238" i="53"/>
  <c r="M238" i="53"/>
  <c r="AH238" i="53"/>
  <c r="N238" i="53"/>
  <c r="AI238" i="53"/>
  <c r="F238" i="53"/>
  <c r="O238" i="53"/>
  <c r="AJ238" i="53"/>
  <c r="G238" i="53"/>
  <c r="P238" i="53"/>
  <c r="AK238" i="53"/>
  <c r="H238" i="53"/>
  <c r="Q238" i="53"/>
  <c r="AL238" i="53"/>
  <c r="I238" i="53"/>
  <c r="R238" i="53"/>
  <c r="AM238" i="53"/>
  <c r="J238" i="53"/>
  <c r="S238" i="53"/>
  <c r="AN238" i="53"/>
  <c r="K238" i="53"/>
  <c r="T238" i="53"/>
  <c r="AO238" i="53"/>
  <c r="M239" i="53"/>
  <c r="V40" i="53"/>
  <c r="V239" i="53"/>
  <c r="AH239" i="53"/>
  <c r="W239" i="53"/>
  <c r="AI239" i="53"/>
  <c r="O239" i="53"/>
  <c r="X40" i="53"/>
  <c r="X239" i="53"/>
  <c r="AJ239" i="53"/>
  <c r="P239" i="53"/>
  <c r="Y41" i="53"/>
  <c r="Y239" i="53"/>
  <c r="AK239" i="53"/>
  <c r="Q239" i="53"/>
  <c r="Z41" i="53"/>
  <c r="Z239" i="53"/>
  <c r="AL239" i="53"/>
  <c r="R239" i="53"/>
  <c r="AA239" i="53"/>
  <c r="AM239" i="53"/>
  <c r="S239" i="53"/>
  <c r="AB239" i="53"/>
  <c r="AN239" i="53"/>
  <c r="T239" i="53"/>
  <c r="AC42" i="53"/>
  <c r="AC239" i="53"/>
  <c r="AO239" i="53"/>
  <c r="M240" i="53"/>
  <c r="V240" i="53"/>
  <c r="AH240" i="53"/>
  <c r="W240" i="53"/>
  <c r="AI240" i="53"/>
  <c r="O240" i="53"/>
  <c r="X240" i="53"/>
  <c r="AJ240" i="53"/>
  <c r="P240" i="53"/>
  <c r="Y240" i="53"/>
  <c r="AK240" i="53"/>
  <c r="Q240" i="53"/>
  <c r="Z240" i="53"/>
  <c r="AL240" i="53"/>
  <c r="R240" i="53"/>
  <c r="AA240" i="53"/>
  <c r="AM240" i="53"/>
  <c r="S240" i="53"/>
  <c r="AB240" i="53"/>
  <c r="AN240" i="53"/>
  <c r="T240" i="53"/>
  <c r="AC240" i="53"/>
  <c r="AO240" i="53"/>
  <c r="M241" i="53"/>
  <c r="V241" i="53"/>
  <c r="AH241" i="53"/>
  <c r="W241" i="53"/>
  <c r="AI241" i="53"/>
  <c r="O241" i="53"/>
  <c r="X241" i="53"/>
  <c r="AJ241" i="53"/>
  <c r="P241" i="53"/>
  <c r="Y241" i="53"/>
  <c r="AK241" i="53"/>
  <c r="Q241" i="53"/>
  <c r="Z241" i="53"/>
  <c r="AL241" i="53"/>
  <c r="R241" i="53"/>
  <c r="AA241" i="53"/>
  <c r="AM241" i="53"/>
  <c r="S241" i="53"/>
  <c r="AB241" i="53"/>
  <c r="AN241" i="53"/>
  <c r="T241" i="53"/>
  <c r="AC241" i="53"/>
  <c r="AO241" i="53"/>
  <c r="M242" i="53"/>
  <c r="V242" i="53"/>
  <c r="AH242" i="53"/>
  <c r="W242" i="53"/>
  <c r="AI242" i="53"/>
  <c r="O242" i="53"/>
  <c r="X242" i="53"/>
  <c r="AJ242" i="53"/>
  <c r="P242" i="53"/>
  <c r="Y242" i="53"/>
  <c r="AK242" i="53"/>
  <c r="Q242" i="53"/>
  <c r="Z242" i="53"/>
  <c r="AL242" i="53"/>
  <c r="R242" i="53"/>
  <c r="AA242" i="53"/>
  <c r="AM242" i="53"/>
  <c r="S242" i="53"/>
  <c r="AB242" i="53"/>
  <c r="AN242" i="53"/>
  <c r="T242" i="53"/>
  <c r="AC242" i="53"/>
  <c r="AO242" i="53"/>
  <c r="M243" i="53"/>
  <c r="V243" i="53"/>
  <c r="AH243" i="53"/>
  <c r="W243" i="53"/>
  <c r="AI243" i="53"/>
  <c r="O243" i="53"/>
  <c r="X243" i="53"/>
  <c r="AJ243" i="53"/>
  <c r="P243" i="53"/>
  <c r="Y243" i="53"/>
  <c r="AK243" i="53"/>
  <c r="Q243" i="53"/>
  <c r="Z243" i="53"/>
  <c r="AL243" i="53"/>
  <c r="R243" i="53"/>
  <c r="AA243" i="53"/>
  <c r="AM243" i="53"/>
  <c r="S243" i="53"/>
  <c r="AB243" i="53"/>
  <c r="AN243" i="53"/>
  <c r="T243" i="53"/>
  <c r="AC243" i="53"/>
  <c r="AO243" i="53"/>
  <c r="M244" i="53"/>
  <c r="V244" i="53"/>
  <c r="AH244" i="53"/>
  <c r="W244" i="53"/>
  <c r="AI244" i="53"/>
  <c r="O244" i="53"/>
  <c r="X244" i="53"/>
  <c r="AJ244" i="53"/>
  <c r="P244" i="53"/>
  <c r="Y244" i="53"/>
  <c r="AK244" i="53"/>
  <c r="Q244" i="53"/>
  <c r="Z244" i="53"/>
  <c r="AL244" i="53"/>
  <c r="R244" i="53"/>
  <c r="AA244" i="53"/>
  <c r="AM244" i="53"/>
  <c r="S244" i="53"/>
  <c r="AB244" i="53"/>
  <c r="AN244" i="53"/>
  <c r="T244" i="53"/>
  <c r="AC244" i="53"/>
  <c r="AO244" i="53"/>
  <c r="M245" i="53"/>
  <c r="V245" i="53"/>
  <c r="AH245" i="53"/>
  <c r="W245" i="53"/>
  <c r="AI245" i="53"/>
  <c r="O245" i="53"/>
  <c r="X245" i="53"/>
  <c r="AJ245" i="53"/>
  <c r="P245" i="53"/>
  <c r="Y245" i="53"/>
  <c r="AK245" i="53"/>
  <c r="Q245" i="53"/>
  <c r="Z245" i="53"/>
  <c r="AL245" i="53"/>
  <c r="R245" i="53"/>
  <c r="AA245" i="53"/>
  <c r="AM245" i="53"/>
  <c r="S245" i="53"/>
  <c r="AB245" i="53"/>
  <c r="AN245" i="53"/>
  <c r="T245" i="53"/>
  <c r="AC245" i="53"/>
  <c r="AO245" i="53"/>
  <c r="M246" i="53"/>
  <c r="V246" i="53"/>
  <c r="AH246" i="53"/>
  <c r="W246" i="53"/>
  <c r="AI246" i="53"/>
  <c r="O246" i="53"/>
  <c r="X246" i="53"/>
  <c r="AJ246" i="53"/>
  <c r="P246" i="53"/>
  <c r="Y246" i="53"/>
  <c r="AK246" i="53"/>
  <c r="Q246" i="53"/>
  <c r="Z246" i="53"/>
  <c r="AL246" i="53"/>
  <c r="R246" i="53"/>
  <c r="AA246" i="53"/>
  <c r="AM246" i="53"/>
  <c r="S246" i="53"/>
  <c r="AB246" i="53"/>
  <c r="AN246" i="53"/>
  <c r="T246" i="53"/>
  <c r="AC246" i="53"/>
  <c r="AO246" i="53"/>
  <c r="M247" i="53"/>
  <c r="V247" i="53"/>
  <c r="AH247" i="53"/>
  <c r="W247" i="53"/>
  <c r="AI247" i="53"/>
  <c r="O247" i="53"/>
  <c r="X247" i="53"/>
  <c r="AJ247" i="53"/>
  <c r="P247" i="53"/>
  <c r="Y247" i="53"/>
  <c r="AK247" i="53"/>
  <c r="Q247" i="53"/>
  <c r="Z247" i="53"/>
  <c r="AL247" i="53"/>
  <c r="R247" i="53"/>
  <c r="AA247" i="53"/>
  <c r="AM247" i="53"/>
  <c r="S247" i="53"/>
  <c r="AB247" i="53"/>
  <c r="AN247" i="53"/>
  <c r="T247" i="53"/>
  <c r="AC247" i="53"/>
  <c r="AO247" i="53"/>
  <c r="M248" i="53"/>
  <c r="V248" i="53"/>
  <c r="AH248" i="53"/>
  <c r="W248" i="53"/>
  <c r="AI248" i="53"/>
  <c r="O248" i="53"/>
  <c r="X248" i="53"/>
  <c r="AJ248" i="53"/>
  <c r="P248" i="53"/>
  <c r="Y248" i="53"/>
  <c r="AK248" i="53"/>
  <c r="Q248" i="53"/>
  <c r="Z248" i="53"/>
  <c r="AL248" i="53"/>
  <c r="R248" i="53"/>
  <c r="AA248" i="53"/>
  <c r="AM248" i="53"/>
  <c r="S248" i="53"/>
  <c r="AB248" i="53"/>
  <c r="AN248" i="53"/>
  <c r="T248" i="53"/>
  <c r="AC248" i="53"/>
  <c r="AO248" i="53"/>
  <c r="M249" i="53"/>
  <c r="V249" i="53"/>
  <c r="AH249" i="53"/>
  <c r="W249" i="53"/>
  <c r="AI249" i="53"/>
  <c r="O249" i="53"/>
  <c r="X249" i="53"/>
  <c r="AJ249" i="53"/>
  <c r="P249" i="53"/>
  <c r="Y249" i="53"/>
  <c r="AK249" i="53"/>
  <c r="Q249" i="53"/>
  <c r="Z249" i="53"/>
  <c r="AL249" i="53"/>
  <c r="R249" i="53"/>
  <c r="AA249" i="53"/>
  <c r="AM249" i="53"/>
  <c r="S249" i="53"/>
  <c r="AB249" i="53"/>
  <c r="AN249" i="53"/>
  <c r="T249" i="53"/>
  <c r="AC249" i="53"/>
  <c r="AO249" i="53"/>
  <c r="M250" i="53"/>
  <c r="V250" i="53"/>
  <c r="AH250" i="53"/>
  <c r="W250" i="53"/>
  <c r="AI250" i="53"/>
  <c r="O250" i="53"/>
  <c r="X250" i="53"/>
  <c r="AJ250" i="53"/>
  <c r="P250" i="53"/>
  <c r="Y250" i="53"/>
  <c r="AK250" i="53"/>
  <c r="Q250" i="53"/>
  <c r="Z250" i="53"/>
  <c r="AL250" i="53"/>
  <c r="R250" i="53"/>
  <c r="AA250" i="53"/>
  <c r="AM250" i="53"/>
  <c r="S250" i="53"/>
  <c r="AB250" i="53"/>
  <c r="AN250" i="53"/>
  <c r="T250" i="53"/>
  <c r="AC250" i="53"/>
  <c r="AO250" i="53"/>
  <c r="M251" i="53"/>
  <c r="V251" i="53"/>
  <c r="AH251" i="53"/>
  <c r="W251" i="53"/>
  <c r="AI251" i="53"/>
  <c r="O251" i="53"/>
  <c r="X251" i="53"/>
  <c r="AJ251" i="53"/>
  <c r="P251" i="53"/>
  <c r="Y251" i="53"/>
  <c r="AK251" i="53"/>
  <c r="Q251" i="53"/>
  <c r="Z251" i="53"/>
  <c r="AL251" i="53"/>
  <c r="R251" i="53"/>
  <c r="AA251" i="53"/>
  <c r="AM251" i="53"/>
  <c r="S251" i="53"/>
  <c r="AB251" i="53"/>
  <c r="AN251" i="53"/>
  <c r="T251" i="53"/>
  <c r="AC251" i="53"/>
  <c r="AO251" i="53"/>
  <c r="M252" i="53"/>
  <c r="V252" i="53"/>
  <c r="AH252" i="53"/>
  <c r="W252" i="53"/>
  <c r="AI252" i="53"/>
  <c r="O252" i="53"/>
  <c r="X252" i="53"/>
  <c r="AJ252" i="53"/>
  <c r="P252" i="53"/>
  <c r="Y252" i="53"/>
  <c r="AK252" i="53"/>
  <c r="Q252" i="53"/>
  <c r="Z252" i="53"/>
  <c r="AL252" i="53"/>
  <c r="R252" i="53"/>
  <c r="AA252" i="53"/>
  <c r="AM252" i="53"/>
  <c r="S252" i="53"/>
  <c r="AB252" i="53"/>
  <c r="AN252" i="53"/>
  <c r="T252" i="53"/>
  <c r="AC252" i="53"/>
  <c r="AO252" i="53"/>
  <c r="M253" i="53"/>
  <c r="V253" i="53"/>
  <c r="AH253" i="53"/>
  <c r="W253" i="53"/>
  <c r="AI253" i="53"/>
  <c r="O253" i="53"/>
  <c r="X253" i="53"/>
  <c r="AJ253" i="53"/>
  <c r="P253" i="53"/>
  <c r="Y253" i="53"/>
  <c r="AK253" i="53"/>
  <c r="Q253" i="53"/>
  <c r="Z253" i="53"/>
  <c r="AL253" i="53"/>
  <c r="R253" i="53"/>
  <c r="AA253" i="53"/>
  <c r="AM253" i="53"/>
  <c r="S253" i="53"/>
  <c r="AB253" i="53"/>
  <c r="AN253" i="53"/>
  <c r="T253" i="53"/>
  <c r="AC253" i="53"/>
  <c r="AO253" i="53"/>
  <c r="M254" i="53"/>
  <c r="V254" i="53"/>
  <c r="AH254" i="53"/>
  <c r="W254" i="53"/>
  <c r="AI254" i="53"/>
  <c r="O254" i="53"/>
  <c r="X254" i="53"/>
  <c r="AJ254" i="53"/>
  <c r="P254" i="53"/>
  <c r="Y254" i="53"/>
  <c r="AK254" i="53"/>
  <c r="Q254" i="53"/>
  <c r="Z254" i="53"/>
  <c r="AL254" i="53"/>
  <c r="R254" i="53"/>
  <c r="AA254" i="53"/>
  <c r="AM254" i="53"/>
  <c r="S254" i="53"/>
  <c r="AB254" i="53"/>
  <c r="AN254" i="53"/>
  <c r="T254" i="53"/>
  <c r="AC254" i="53"/>
  <c r="AO254" i="53"/>
  <c r="M255" i="53"/>
  <c r="V255" i="53"/>
  <c r="AH255" i="53"/>
  <c r="W255" i="53"/>
  <c r="AI255" i="53"/>
  <c r="O255" i="53"/>
  <c r="X255" i="53"/>
  <c r="AJ255" i="53"/>
  <c r="P255" i="53"/>
  <c r="Y255" i="53"/>
  <c r="AK255" i="53"/>
  <c r="Q255" i="53"/>
  <c r="Z255" i="53"/>
  <c r="AL255" i="53"/>
  <c r="R255" i="53"/>
  <c r="AA255" i="53"/>
  <c r="AM255" i="53"/>
  <c r="S255" i="53"/>
  <c r="AB255" i="53"/>
  <c r="AN255" i="53"/>
  <c r="T255" i="53"/>
  <c r="AC255" i="53"/>
  <c r="AO255" i="53"/>
  <c r="M256" i="53"/>
  <c r="V256" i="53"/>
  <c r="AH256" i="53"/>
  <c r="W256" i="53"/>
  <c r="AI256" i="53"/>
  <c r="O256" i="53"/>
  <c r="X256" i="53"/>
  <c r="AJ256" i="53"/>
  <c r="P256" i="53"/>
  <c r="Y256" i="53"/>
  <c r="AK256" i="53"/>
  <c r="Q256" i="53"/>
  <c r="Z256" i="53"/>
  <c r="AL256" i="53"/>
  <c r="R256" i="53"/>
  <c r="AA256" i="53"/>
  <c r="AM256" i="53"/>
  <c r="S256" i="53"/>
  <c r="AB256" i="53"/>
  <c r="AN256" i="53"/>
  <c r="T256" i="53"/>
  <c r="AC256" i="53"/>
  <c r="AO256" i="53"/>
  <c r="M257" i="53"/>
  <c r="V257" i="53"/>
  <c r="AH257" i="53"/>
  <c r="W257" i="53"/>
  <c r="AI257" i="53"/>
  <c r="O257" i="53"/>
  <c r="X257" i="53"/>
  <c r="AJ257" i="53"/>
  <c r="P257" i="53"/>
  <c r="Y257" i="53"/>
  <c r="AK257" i="53"/>
  <c r="Q257" i="53"/>
  <c r="Z257" i="53"/>
  <c r="AL257" i="53"/>
  <c r="R257" i="53"/>
  <c r="AA257" i="53"/>
  <c r="AM257" i="53"/>
  <c r="S257" i="53"/>
  <c r="AB257" i="53"/>
  <c r="AN257" i="53"/>
  <c r="T257" i="53"/>
  <c r="AC257" i="53"/>
  <c r="AO257" i="53"/>
  <c r="M258" i="53"/>
  <c r="V258" i="53"/>
  <c r="AH258" i="53"/>
  <c r="W258" i="53"/>
  <c r="AI258" i="53"/>
  <c r="O258" i="53"/>
  <c r="X258" i="53"/>
  <c r="AJ258" i="53"/>
  <c r="P258" i="53"/>
  <c r="Y258" i="53"/>
  <c r="AK258" i="53"/>
  <c r="Q258" i="53"/>
  <c r="Z258" i="53"/>
  <c r="AL258" i="53"/>
  <c r="R258" i="53"/>
  <c r="AA258" i="53"/>
  <c r="AM258" i="53"/>
  <c r="S258" i="53"/>
  <c r="AB258" i="53"/>
  <c r="AN258" i="53"/>
  <c r="T258" i="53"/>
  <c r="AC258" i="53"/>
  <c r="AO258" i="53"/>
  <c r="M259" i="53"/>
  <c r="V259" i="53"/>
  <c r="AH259" i="53"/>
  <c r="W259" i="53"/>
  <c r="AI259" i="53"/>
  <c r="O259" i="53"/>
  <c r="X259" i="53"/>
  <c r="AJ259" i="53"/>
  <c r="P259" i="53"/>
  <c r="Y259" i="53"/>
  <c r="AK259" i="53"/>
  <c r="Q259" i="53"/>
  <c r="Z259" i="53"/>
  <c r="AL259" i="53"/>
  <c r="R259" i="53"/>
  <c r="AA259" i="53"/>
  <c r="AM259" i="53"/>
  <c r="S259" i="53"/>
  <c r="AB259" i="53"/>
  <c r="AN259" i="53"/>
  <c r="T259" i="53"/>
  <c r="AC259" i="53"/>
  <c r="AO259" i="53"/>
  <c r="M260" i="53"/>
  <c r="V260" i="53"/>
  <c r="AH260" i="53"/>
  <c r="W260" i="53"/>
  <c r="AI260" i="53"/>
  <c r="O260" i="53"/>
  <c r="X260" i="53"/>
  <c r="AJ260" i="53"/>
  <c r="P260" i="53"/>
  <c r="Y260" i="53"/>
  <c r="AK260" i="53"/>
  <c r="Q260" i="53"/>
  <c r="Z260" i="53"/>
  <c r="AL260" i="53"/>
  <c r="R260" i="53"/>
  <c r="AA260" i="53"/>
  <c r="AM260" i="53"/>
  <c r="S260" i="53"/>
  <c r="AB260" i="53"/>
  <c r="AN260" i="53"/>
  <c r="T260" i="53"/>
  <c r="AC260" i="53"/>
  <c r="AO260" i="53"/>
  <c r="M261" i="53"/>
  <c r="V261" i="53"/>
  <c r="AH261" i="53"/>
  <c r="W261" i="53"/>
  <c r="AI261" i="53"/>
  <c r="O261" i="53"/>
  <c r="X261" i="53"/>
  <c r="AJ261" i="53"/>
  <c r="P261" i="53"/>
  <c r="Y261" i="53"/>
  <c r="AK261" i="53"/>
  <c r="Q261" i="53"/>
  <c r="Z261" i="53"/>
  <c r="AL261" i="53"/>
  <c r="R261" i="53"/>
  <c r="AA261" i="53"/>
  <c r="AM261" i="53"/>
  <c r="S261" i="53"/>
  <c r="AB261" i="53"/>
  <c r="AN261" i="53"/>
  <c r="T261" i="53"/>
  <c r="AC261" i="53"/>
  <c r="AO261" i="53"/>
  <c r="M262" i="53"/>
  <c r="V262" i="53"/>
  <c r="AH262" i="53"/>
  <c r="W262" i="53"/>
  <c r="AI262" i="53"/>
  <c r="O262" i="53"/>
  <c r="X262" i="53"/>
  <c r="AJ262" i="53"/>
  <c r="P262" i="53"/>
  <c r="Y262" i="53"/>
  <c r="AK262" i="53"/>
  <c r="Q262" i="53"/>
  <c r="Z262" i="53"/>
  <c r="AL262" i="53"/>
  <c r="R262" i="53"/>
  <c r="AA262" i="53"/>
  <c r="AM262" i="53"/>
  <c r="S262" i="53"/>
  <c r="AB262" i="53"/>
  <c r="AN262" i="53"/>
  <c r="T262" i="53"/>
  <c r="AC262" i="53"/>
  <c r="AO262" i="53"/>
  <c r="M263" i="53"/>
  <c r="V263" i="53"/>
  <c r="AH263" i="53"/>
  <c r="W263" i="53"/>
  <c r="AI263" i="53"/>
  <c r="O263" i="53"/>
  <c r="X263" i="53"/>
  <c r="AJ263" i="53"/>
  <c r="P263" i="53"/>
  <c r="Y263" i="53"/>
  <c r="AK263" i="53"/>
  <c r="Q263" i="53"/>
  <c r="Z263" i="53"/>
  <c r="AL263" i="53"/>
  <c r="R263" i="53"/>
  <c r="AA263" i="53"/>
  <c r="AM263" i="53"/>
  <c r="S263" i="53"/>
  <c r="AB263" i="53"/>
  <c r="AN263" i="53"/>
  <c r="T263" i="53"/>
  <c r="AC263" i="53"/>
  <c r="AO263" i="53"/>
  <c r="M264" i="53"/>
  <c r="V264" i="53"/>
  <c r="AH264" i="53"/>
  <c r="W264" i="53"/>
  <c r="AI264" i="53"/>
  <c r="O264" i="53"/>
  <c r="X264" i="53"/>
  <c r="AJ264" i="53"/>
  <c r="P264" i="53"/>
  <c r="Y264" i="53"/>
  <c r="AK264" i="53"/>
  <c r="Q264" i="53"/>
  <c r="Z264" i="53"/>
  <c r="AL264" i="53"/>
  <c r="R264" i="53"/>
  <c r="AA264" i="53"/>
  <c r="AM264" i="53"/>
  <c r="S264" i="53"/>
  <c r="AB264" i="53"/>
  <c r="AN264" i="53"/>
  <c r="T264" i="53"/>
  <c r="AC264" i="53"/>
  <c r="AO264" i="53"/>
  <c r="M265" i="53"/>
  <c r="V265" i="53"/>
  <c r="AH265" i="53"/>
  <c r="W265" i="53"/>
  <c r="AI265" i="53"/>
  <c r="O265" i="53"/>
  <c r="X265" i="53"/>
  <c r="AJ265" i="53"/>
  <c r="P265" i="53"/>
  <c r="Y265" i="53"/>
  <c r="AK265" i="53"/>
  <c r="Q265" i="53"/>
  <c r="Z265" i="53"/>
  <c r="AL265" i="53"/>
  <c r="R265" i="53"/>
  <c r="AA265" i="53"/>
  <c r="AM265" i="53"/>
  <c r="S265" i="53"/>
  <c r="AB265" i="53"/>
  <c r="AN265" i="53"/>
  <c r="T265" i="53"/>
  <c r="AC265" i="53"/>
  <c r="AO265" i="53"/>
  <c r="M266" i="53"/>
  <c r="V266" i="53"/>
  <c r="AH266" i="53"/>
  <c r="W266" i="53"/>
  <c r="AI266" i="53"/>
  <c r="O266" i="53"/>
  <c r="X266" i="53"/>
  <c r="AJ266" i="53"/>
  <c r="P266" i="53"/>
  <c r="Y266" i="53"/>
  <c r="AK266" i="53"/>
  <c r="Q266" i="53"/>
  <c r="Z266" i="53"/>
  <c r="AL266" i="53"/>
  <c r="R266" i="53"/>
  <c r="AA266" i="53"/>
  <c r="AM266" i="53"/>
  <c r="S266" i="53"/>
  <c r="AB266" i="53"/>
  <c r="AN266" i="53"/>
  <c r="T266" i="53"/>
  <c r="AC266" i="53"/>
  <c r="AO266" i="53"/>
  <c r="M267" i="53"/>
  <c r="V267" i="53"/>
  <c r="AH267" i="53"/>
  <c r="W267" i="53"/>
  <c r="AI267" i="53"/>
  <c r="O267" i="53"/>
  <c r="X267" i="53"/>
  <c r="AJ267" i="53"/>
  <c r="P267" i="53"/>
  <c r="Y267" i="53"/>
  <c r="AK267" i="53"/>
  <c r="Q267" i="53"/>
  <c r="Z267" i="53"/>
  <c r="AL267" i="53"/>
  <c r="R267" i="53"/>
  <c r="AA267" i="53"/>
  <c r="AM267" i="53"/>
  <c r="S267" i="53"/>
  <c r="AB267" i="53"/>
  <c r="AN267" i="53"/>
  <c r="T267" i="53"/>
  <c r="AC267" i="53"/>
  <c r="AO267" i="53"/>
  <c r="M268" i="53"/>
  <c r="V268" i="53"/>
  <c r="AH268" i="53"/>
  <c r="W268" i="53"/>
  <c r="AI268" i="53"/>
  <c r="O268" i="53"/>
  <c r="X268" i="53"/>
  <c r="AJ268" i="53"/>
  <c r="P268" i="53"/>
  <c r="Y268" i="53"/>
  <c r="AK268" i="53"/>
  <c r="Q268" i="53"/>
  <c r="Z268" i="53"/>
  <c r="AL268" i="53"/>
  <c r="R268" i="53"/>
  <c r="AA268" i="53"/>
  <c r="AM268" i="53"/>
  <c r="S268" i="53"/>
  <c r="AB268" i="53"/>
  <c r="AN268" i="53"/>
  <c r="T268" i="53"/>
  <c r="AC268" i="53"/>
  <c r="AO268" i="53"/>
  <c r="M269" i="53"/>
  <c r="V269" i="53"/>
  <c r="AH269" i="53"/>
  <c r="W269" i="53"/>
  <c r="AI269" i="53"/>
  <c r="O269" i="53"/>
  <c r="X269" i="53"/>
  <c r="AJ269" i="53"/>
  <c r="P269" i="53"/>
  <c r="Y269" i="53"/>
  <c r="AK269" i="53"/>
  <c r="Q269" i="53"/>
  <c r="Z269" i="53"/>
  <c r="AL269" i="53"/>
  <c r="R269" i="53"/>
  <c r="AA269" i="53"/>
  <c r="AM269" i="53"/>
  <c r="S269" i="53"/>
  <c r="AB269" i="53"/>
  <c r="AN269" i="53"/>
  <c r="T269" i="53"/>
  <c r="AC269" i="53"/>
  <c r="AO269" i="53"/>
  <c r="M270" i="53"/>
  <c r="V270" i="53"/>
  <c r="AH270" i="53"/>
  <c r="W270" i="53"/>
  <c r="AI270" i="53"/>
  <c r="O270" i="53"/>
  <c r="X270" i="53"/>
  <c r="AJ270" i="53"/>
  <c r="P270" i="53"/>
  <c r="Y270" i="53"/>
  <c r="AK270" i="53"/>
  <c r="Q270" i="53"/>
  <c r="Z270" i="53"/>
  <c r="AL270" i="53"/>
  <c r="R270" i="53"/>
  <c r="AA270" i="53"/>
  <c r="AM270" i="53"/>
  <c r="S270" i="53"/>
  <c r="AB270" i="53"/>
  <c r="AN270" i="53"/>
  <c r="T270" i="53"/>
  <c r="AC270" i="53"/>
  <c r="AO270" i="53"/>
  <c r="M271" i="53"/>
  <c r="V271" i="53"/>
  <c r="AH271" i="53"/>
  <c r="W271" i="53"/>
  <c r="AI271" i="53"/>
  <c r="O271" i="53"/>
  <c r="X271" i="53"/>
  <c r="AJ271" i="53"/>
  <c r="P271" i="53"/>
  <c r="Y271" i="53"/>
  <c r="AK271" i="53"/>
  <c r="Q271" i="53"/>
  <c r="Z271" i="53"/>
  <c r="AL271" i="53"/>
  <c r="R271" i="53"/>
  <c r="AA271" i="53"/>
  <c r="AM271" i="53"/>
  <c r="S271" i="53"/>
  <c r="AB271" i="53"/>
  <c r="AN271" i="53"/>
  <c r="T271" i="53"/>
  <c r="AC271" i="53"/>
  <c r="AO271" i="53"/>
  <c r="M272" i="53"/>
  <c r="V272" i="53"/>
  <c r="AH272" i="53"/>
  <c r="W272" i="53"/>
  <c r="AI272" i="53"/>
  <c r="O272" i="53"/>
  <c r="X272" i="53"/>
  <c r="AJ272" i="53"/>
  <c r="P272" i="53"/>
  <c r="Y272" i="53"/>
  <c r="AK272" i="53"/>
  <c r="Q272" i="53"/>
  <c r="Z272" i="53"/>
  <c r="AL272" i="53"/>
  <c r="R272" i="53"/>
  <c r="AA272" i="53"/>
  <c r="AM272" i="53"/>
  <c r="S272" i="53"/>
  <c r="AB272" i="53"/>
  <c r="AN272" i="53"/>
  <c r="T272" i="53"/>
  <c r="AC272" i="53"/>
  <c r="AO272" i="53"/>
  <c r="M273" i="53"/>
  <c r="V273" i="53"/>
  <c r="AH273" i="53"/>
  <c r="W273" i="53"/>
  <c r="AI273" i="53"/>
  <c r="O273" i="53"/>
  <c r="X273" i="53"/>
  <c r="AJ273" i="53"/>
  <c r="P273" i="53"/>
  <c r="Y273" i="53"/>
  <c r="AK273" i="53"/>
  <c r="Q273" i="53"/>
  <c r="Z273" i="53"/>
  <c r="AL273" i="53"/>
  <c r="R273" i="53"/>
  <c r="AA273" i="53"/>
  <c r="AM273" i="53"/>
  <c r="S273" i="53"/>
  <c r="AB273" i="53"/>
  <c r="AN273" i="53"/>
  <c r="T273" i="53"/>
  <c r="AC273" i="53"/>
  <c r="AO273" i="53"/>
  <c r="M274" i="53"/>
  <c r="V274" i="53"/>
  <c r="AH274" i="53"/>
  <c r="W274" i="53"/>
  <c r="AI274" i="53"/>
  <c r="O274" i="53"/>
  <c r="X274" i="53"/>
  <c r="AJ274" i="53"/>
  <c r="P274" i="53"/>
  <c r="Y274" i="53"/>
  <c r="AK274" i="53"/>
  <c r="Q274" i="53"/>
  <c r="Z274" i="53"/>
  <c r="AL274" i="53"/>
  <c r="R274" i="53"/>
  <c r="AA274" i="53"/>
  <c r="AM274" i="53"/>
  <c r="S274" i="53"/>
  <c r="AB274" i="53"/>
  <c r="AN274" i="53"/>
  <c r="T274" i="53"/>
  <c r="AC274" i="53"/>
  <c r="AO274" i="53"/>
  <c r="M275" i="53"/>
  <c r="V275" i="53"/>
  <c r="AH275" i="53"/>
  <c r="W275" i="53"/>
  <c r="AI275" i="53"/>
  <c r="O275" i="53"/>
  <c r="X275" i="53"/>
  <c r="AJ275" i="53"/>
  <c r="P275" i="53"/>
  <c r="Y275" i="53"/>
  <c r="AK275" i="53"/>
  <c r="Q275" i="53"/>
  <c r="Z275" i="53"/>
  <c r="AL275" i="53"/>
  <c r="R275" i="53"/>
  <c r="AA275" i="53"/>
  <c r="AM275" i="53"/>
  <c r="S275" i="53"/>
  <c r="AB275" i="53"/>
  <c r="AN275" i="53"/>
  <c r="T275" i="53"/>
  <c r="AC275" i="53"/>
  <c r="AO275" i="53"/>
  <c r="M276" i="53"/>
  <c r="V276" i="53"/>
  <c r="AH276" i="53"/>
  <c r="W276" i="53"/>
  <c r="AI276" i="53"/>
  <c r="O276" i="53"/>
  <c r="X276" i="53"/>
  <c r="AJ276" i="53"/>
  <c r="P276" i="53"/>
  <c r="Y276" i="53"/>
  <c r="AK276" i="53"/>
  <c r="Q276" i="53"/>
  <c r="Z276" i="53"/>
  <c r="AL276" i="53"/>
  <c r="R276" i="53"/>
  <c r="AA276" i="53"/>
  <c r="AM276" i="53"/>
  <c r="S276" i="53"/>
  <c r="AB276" i="53"/>
  <c r="AN276" i="53"/>
  <c r="T276" i="53"/>
  <c r="AC276" i="53"/>
  <c r="AO276" i="53"/>
  <c r="M277" i="53"/>
  <c r="V277" i="53"/>
  <c r="AH277" i="53"/>
  <c r="W277" i="53"/>
  <c r="AI277" i="53"/>
  <c r="O277" i="53"/>
  <c r="X277" i="53"/>
  <c r="AJ277" i="53"/>
  <c r="P277" i="53"/>
  <c r="Y277" i="53"/>
  <c r="AK277" i="53"/>
  <c r="Q277" i="53"/>
  <c r="Z277" i="53"/>
  <c r="AL277" i="53"/>
  <c r="R277" i="53"/>
  <c r="AA277" i="53"/>
  <c r="AM277" i="53"/>
  <c r="S277" i="53"/>
  <c r="AB277" i="53"/>
  <c r="AN277" i="53"/>
  <c r="T277" i="53"/>
  <c r="AC277" i="53"/>
  <c r="AO277" i="53"/>
  <c r="M278" i="53"/>
  <c r="V278" i="53"/>
  <c r="AH278" i="53"/>
  <c r="W278" i="53"/>
  <c r="AI278" i="53"/>
  <c r="O278" i="53"/>
  <c r="X278" i="53"/>
  <c r="AJ278" i="53"/>
  <c r="P278" i="53"/>
  <c r="Y278" i="53"/>
  <c r="AK278" i="53"/>
  <c r="Q278" i="53"/>
  <c r="Z278" i="53"/>
  <c r="AL278" i="53"/>
  <c r="R278" i="53"/>
  <c r="AA278" i="53"/>
  <c r="AM278" i="53"/>
  <c r="S278" i="53"/>
  <c r="AB278" i="53"/>
  <c r="AN278" i="53"/>
  <c r="T278" i="53"/>
  <c r="AC278" i="53"/>
  <c r="AO278" i="53"/>
  <c r="M279" i="53"/>
  <c r="V279" i="53"/>
  <c r="AH279" i="53"/>
  <c r="W279" i="53"/>
  <c r="AI279" i="53"/>
  <c r="O279" i="53"/>
  <c r="X279" i="53"/>
  <c r="AJ279" i="53"/>
  <c r="P279" i="53"/>
  <c r="Y279" i="53"/>
  <c r="AK279" i="53"/>
  <c r="Q279" i="53"/>
  <c r="Z279" i="53"/>
  <c r="AL279" i="53"/>
  <c r="R279" i="53"/>
  <c r="AA279" i="53"/>
  <c r="AM279" i="53"/>
  <c r="S279" i="53"/>
  <c r="AB279" i="53"/>
  <c r="AN279" i="53"/>
  <c r="T279" i="53"/>
  <c r="AC279" i="53"/>
  <c r="AO279" i="53"/>
  <c r="M280" i="53"/>
  <c r="V280" i="53"/>
  <c r="AH280" i="53"/>
  <c r="W280" i="53"/>
  <c r="AI280" i="53"/>
  <c r="O280" i="53"/>
  <c r="X280" i="53"/>
  <c r="AJ280" i="53"/>
  <c r="P280" i="53"/>
  <c r="Y280" i="53"/>
  <c r="AK280" i="53"/>
  <c r="Q280" i="53"/>
  <c r="Z280" i="53"/>
  <c r="AL280" i="53"/>
  <c r="R280" i="53"/>
  <c r="AA280" i="53"/>
  <c r="AM280" i="53"/>
  <c r="S280" i="53"/>
  <c r="AB280" i="53"/>
  <c r="AN280" i="53"/>
  <c r="T280" i="53"/>
  <c r="AC280" i="53"/>
  <c r="AO280" i="53"/>
  <c r="M281" i="53"/>
  <c r="V281" i="53"/>
  <c r="AH281" i="53"/>
  <c r="W281" i="53"/>
  <c r="AI281" i="53"/>
  <c r="O281" i="53"/>
  <c r="X281" i="53"/>
  <c r="AJ281" i="53"/>
  <c r="P281" i="53"/>
  <c r="Y281" i="53"/>
  <c r="AK281" i="53"/>
  <c r="Q281" i="53"/>
  <c r="Z281" i="53"/>
  <c r="AL281" i="53"/>
  <c r="R281" i="53"/>
  <c r="AA281" i="53"/>
  <c r="AM281" i="53"/>
  <c r="S281" i="53"/>
  <c r="AB281" i="53"/>
  <c r="AN281" i="53"/>
  <c r="T281" i="53"/>
  <c r="AC281" i="53"/>
  <c r="AO281" i="53"/>
  <c r="M282" i="53"/>
  <c r="V282" i="53"/>
  <c r="AH282" i="53"/>
  <c r="W282" i="53"/>
  <c r="AI282" i="53"/>
  <c r="O282" i="53"/>
  <c r="X282" i="53"/>
  <c r="AJ282" i="53"/>
  <c r="P282" i="53"/>
  <c r="Y282" i="53"/>
  <c r="AK282" i="53"/>
  <c r="Q282" i="53"/>
  <c r="Z282" i="53"/>
  <c r="AL282" i="53"/>
  <c r="R282" i="53"/>
  <c r="AA282" i="53"/>
  <c r="AM282" i="53"/>
  <c r="S282" i="53"/>
  <c r="AB282" i="53"/>
  <c r="AN282" i="53"/>
  <c r="T282" i="53"/>
  <c r="AC282" i="53"/>
  <c r="AO282" i="53"/>
  <c r="M283" i="53"/>
  <c r="V283" i="53"/>
  <c r="AH283" i="53"/>
  <c r="W283" i="53"/>
  <c r="AI283" i="53"/>
  <c r="O283" i="53"/>
  <c r="X283" i="53"/>
  <c r="AJ283" i="53"/>
  <c r="P283" i="53"/>
  <c r="Y283" i="53"/>
  <c r="AK283" i="53"/>
  <c r="Q283" i="53"/>
  <c r="Z283" i="53"/>
  <c r="AL283" i="53"/>
  <c r="R283" i="53"/>
  <c r="AA283" i="53"/>
  <c r="AM283" i="53"/>
  <c r="S283" i="53"/>
  <c r="AB283" i="53"/>
  <c r="AN283" i="53"/>
  <c r="T283" i="53"/>
  <c r="AC283" i="53"/>
  <c r="AO283" i="53"/>
  <c r="M284" i="53"/>
  <c r="V284" i="53"/>
  <c r="AH284" i="53"/>
  <c r="W284" i="53"/>
  <c r="AI284" i="53"/>
  <c r="O284" i="53"/>
  <c r="X284" i="53"/>
  <c r="AJ284" i="53"/>
  <c r="P284" i="53"/>
  <c r="Y284" i="53"/>
  <c r="AK284" i="53"/>
  <c r="Q284" i="53"/>
  <c r="Z284" i="53"/>
  <c r="AL284" i="53"/>
  <c r="R284" i="53"/>
  <c r="AA284" i="53"/>
  <c r="AM284" i="53"/>
  <c r="S284" i="53"/>
  <c r="AB284" i="53"/>
  <c r="AN284" i="53"/>
  <c r="T284" i="53"/>
  <c r="AC284" i="53"/>
  <c r="AO284" i="53"/>
  <c r="M285" i="53"/>
  <c r="V285" i="53"/>
  <c r="AH285" i="53"/>
  <c r="W285" i="53"/>
  <c r="AI285" i="53"/>
  <c r="O285" i="53"/>
  <c r="X285" i="53"/>
  <c r="AJ285" i="53"/>
  <c r="P285" i="53"/>
  <c r="Y285" i="53"/>
  <c r="AK285" i="53"/>
  <c r="Q285" i="53"/>
  <c r="Z285" i="53"/>
  <c r="AL285" i="53"/>
  <c r="R285" i="53"/>
  <c r="AA285" i="53"/>
  <c r="AM285" i="53"/>
  <c r="S285" i="53"/>
  <c r="AB285" i="53"/>
  <c r="AN285" i="53"/>
  <c r="T285" i="53"/>
  <c r="AC285" i="53"/>
  <c r="AO285" i="53"/>
  <c r="M286" i="53"/>
  <c r="V286" i="53"/>
  <c r="AH286" i="53"/>
  <c r="W286" i="53"/>
  <c r="AI286" i="53"/>
  <c r="O286" i="53"/>
  <c r="X286" i="53"/>
  <c r="AJ286" i="53"/>
  <c r="P286" i="53"/>
  <c r="Y286" i="53"/>
  <c r="AK286" i="53"/>
  <c r="Q286" i="53"/>
  <c r="Z286" i="53"/>
  <c r="AL286" i="53"/>
  <c r="R286" i="53"/>
  <c r="AA286" i="53"/>
  <c r="AM286" i="53"/>
  <c r="S286" i="53"/>
  <c r="AB286" i="53"/>
  <c r="AN286" i="53"/>
  <c r="T286" i="53"/>
  <c r="AC286" i="53"/>
  <c r="AO286" i="53"/>
  <c r="M287" i="53"/>
  <c r="V287" i="53"/>
  <c r="AH287" i="53"/>
  <c r="W287" i="53"/>
  <c r="AI287" i="53"/>
  <c r="O287" i="53"/>
  <c r="X287" i="53"/>
  <c r="AJ287" i="53"/>
  <c r="P287" i="53"/>
  <c r="Y287" i="53"/>
  <c r="AK287" i="53"/>
  <c r="Q287" i="53"/>
  <c r="Z287" i="53"/>
  <c r="AL287" i="53"/>
  <c r="R287" i="53"/>
  <c r="AA287" i="53"/>
  <c r="AM287" i="53"/>
  <c r="S287" i="53"/>
  <c r="AB287" i="53"/>
  <c r="AN287" i="53"/>
  <c r="T287" i="53"/>
  <c r="AC287" i="53"/>
  <c r="AO287" i="53"/>
  <c r="M288" i="53"/>
  <c r="V288" i="53"/>
  <c r="AH288" i="53"/>
  <c r="W288" i="53"/>
  <c r="AI288" i="53"/>
  <c r="O288" i="53"/>
  <c r="X288" i="53"/>
  <c r="AJ288" i="53"/>
  <c r="P288" i="53"/>
  <c r="Y288" i="53"/>
  <c r="AK288" i="53"/>
  <c r="Q288" i="53"/>
  <c r="Z288" i="53"/>
  <c r="AL288" i="53"/>
  <c r="R288" i="53"/>
  <c r="AA288" i="53"/>
  <c r="AM288" i="53"/>
  <c r="S288" i="53"/>
  <c r="AB288" i="53"/>
  <c r="AN288" i="53"/>
  <c r="T288" i="53"/>
  <c r="AC288" i="53"/>
  <c r="AO288" i="53"/>
  <c r="M289" i="53"/>
  <c r="V289" i="53"/>
  <c r="AH289" i="53"/>
  <c r="W289" i="53"/>
  <c r="AI289" i="53"/>
  <c r="O289" i="53"/>
  <c r="X289" i="53"/>
  <c r="AJ289" i="53"/>
  <c r="P289" i="53"/>
  <c r="Y289" i="53"/>
  <c r="AK289" i="53"/>
  <c r="Q289" i="53"/>
  <c r="Z289" i="53"/>
  <c r="AL289" i="53"/>
  <c r="R289" i="53"/>
  <c r="AA289" i="53"/>
  <c r="AM289" i="53"/>
  <c r="S289" i="53"/>
  <c r="AB289" i="53"/>
  <c r="AN289" i="53"/>
  <c r="T289" i="53"/>
  <c r="AC289" i="53"/>
  <c r="AO289" i="53"/>
  <c r="M290" i="53"/>
  <c r="V290" i="53"/>
  <c r="AH290" i="53"/>
  <c r="W290" i="53"/>
  <c r="AI290" i="53"/>
  <c r="O290" i="53"/>
  <c r="X290" i="53"/>
  <c r="AJ290" i="53"/>
  <c r="P290" i="53"/>
  <c r="Y290" i="53"/>
  <c r="AK290" i="53"/>
  <c r="Q290" i="53"/>
  <c r="Z290" i="53"/>
  <c r="AL290" i="53"/>
  <c r="R290" i="53"/>
  <c r="AA290" i="53"/>
  <c r="AM290" i="53"/>
  <c r="S290" i="53"/>
  <c r="AB290" i="53"/>
  <c r="AN290" i="53"/>
  <c r="T290" i="53"/>
  <c r="AC290" i="53"/>
  <c r="AO290" i="53"/>
  <c r="M291" i="53"/>
  <c r="V291" i="53"/>
  <c r="AH291" i="53"/>
  <c r="W291" i="53"/>
  <c r="AI291" i="53"/>
  <c r="O291" i="53"/>
  <c r="X291" i="53"/>
  <c r="AJ291" i="53"/>
  <c r="P291" i="53"/>
  <c r="Y291" i="53"/>
  <c r="AK291" i="53"/>
  <c r="Q291" i="53"/>
  <c r="Z291" i="53"/>
  <c r="AL291" i="53"/>
  <c r="R291" i="53"/>
  <c r="AA291" i="53"/>
  <c r="AM291" i="53"/>
  <c r="S291" i="53"/>
  <c r="AB291" i="53"/>
  <c r="AN291" i="53"/>
  <c r="T291" i="53"/>
  <c r="AC291" i="53"/>
  <c r="AO291" i="53"/>
  <c r="M292" i="53"/>
  <c r="V292" i="53"/>
  <c r="AH292" i="53"/>
  <c r="W292" i="53"/>
  <c r="AI292" i="53"/>
  <c r="O292" i="53"/>
  <c r="X292" i="53"/>
  <c r="AJ292" i="53"/>
  <c r="P292" i="53"/>
  <c r="Y292" i="53"/>
  <c r="AK292" i="53"/>
  <c r="Q292" i="53"/>
  <c r="Z292" i="53"/>
  <c r="AL292" i="53"/>
  <c r="R292" i="53"/>
  <c r="AA292" i="53"/>
  <c r="AM292" i="53"/>
  <c r="S292" i="53"/>
  <c r="AB292" i="53"/>
  <c r="AN292" i="53"/>
  <c r="T292" i="53"/>
  <c r="AC292" i="53"/>
  <c r="AO292" i="53"/>
  <c r="M293" i="53"/>
  <c r="V293" i="53"/>
  <c r="AH293" i="53"/>
  <c r="W293" i="53"/>
  <c r="AI293" i="53"/>
  <c r="O293" i="53"/>
  <c r="X293" i="53"/>
  <c r="AJ293" i="53"/>
  <c r="P293" i="53"/>
  <c r="Y293" i="53"/>
  <c r="AK293" i="53"/>
  <c r="Q293" i="53"/>
  <c r="Z293" i="53"/>
  <c r="AL293" i="53"/>
  <c r="R293" i="53"/>
  <c r="AA293" i="53"/>
  <c r="AM293" i="53"/>
  <c r="S293" i="53"/>
  <c r="AB293" i="53"/>
  <c r="AN293" i="53"/>
  <c r="T293" i="53"/>
  <c r="AC293" i="53"/>
  <c r="AO293" i="53"/>
  <c r="M294" i="53"/>
  <c r="V294" i="53"/>
  <c r="AH294" i="53"/>
  <c r="W294" i="53"/>
  <c r="AI294" i="53"/>
  <c r="O294" i="53"/>
  <c r="X294" i="53"/>
  <c r="AJ294" i="53"/>
  <c r="P294" i="53"/>
  <c r="Y294" i="53"/>
  <c r="AK294" i="53"/>
  <c r="Q294" i="53"/>
  <c r="Z294" i="53"/>
  <c r="AL294" i="53"/>
  <c r="R294" i="53"/>
  <c r="AA294" i="53"/>
  <c r="AM294" i="53"/>
  <c r="S294" i="53"/>
  <c r="AB294" i="53"/>
  <c r="AN294" i="53"/>
  <c r="T294" i="53"/>
  <c r="AC294" i="53"/>
  <c r="AO294" i="53"/>
  <c r="M295" i="53"/>
  <c r="V295" i="53"/>
  <c r="AH295" i="53"/>
  <c r="W295" i="53"/>
  <c r="AI295" i="53"/>
  <c r="O295" i="53"/>
  <c r="X295" i="53"/>
  <c r="AJ295" i="53"/>
  <c r="P295" i="53"/>
  <c r="Y295" i="53"/>
  <c r="AK295" i="53"/>
  <c r="Q295" i="53"/>
  <c r="Z295" i="53"/>
  <c r="AL295" i="53"/>
  <c r="R295" i="53"/>
  <c r="AA295" i="53"/>
  <c r="AM295" i="53"/>
  <c r="S295" i="53"/>
  <c r="AB295" i="53"/>
  <c r="AN295" i="53"/>
  <c r="T295" i="53"/>
  <c r="AC295" i="53"/>
  <c r="AO295" i="53"/>
  <c r="M296" i="53"/>
  <c r="V296" i="53"/>
  <c r="AH296" i="53"/>
  <c r="W296" i="53"/>
  <c r="AI296" i="53"/>
  <c r="O296" i="53"/>
  <c r="X296" i="53"/>
  <c r="AJ296" i="53"/>
  <c r="P296" i="53"/>
  <c r="Y296" i="53"/>
  <c r="AK296" i="53"/>
  <c r="Q296" i="53"/>
  <c r="Z296" i="53"/>
  <c r="AL296" i="53"/>
  <c r="R296" i="53"/>
  <c r="AA296" i="53"/>
  <c r="AM296" i="53"/>
  <c r="S296" i="53"/>
  <c r="AB296" i="53"/>
  <c r="AN296" i="53"/>
  <c r="T296" i="53"/>
  <c r="AC296" i="53"/>
  <c r="AO296" i="53"/>
  <c r="M297" i="53"/>
  <c r="V297" i="53"/>
  <c r="AH297" i="53"/>
  <c r="W297" i="53"/>
  <c r="AI297" i="53"/>
  <c r="O297" i="53"/>
  <c r="X297" i="53"/>
  <c r="AJ297" i="53"/>
  <c r="P297" i="53"/>
  <c r="Y297" i="53"/>
  <c r="AK297" i="53"/>
  <c r="Q297" i="53"/>
  <c r="Z297" i="53"/>
  <c r="AL297" i="53"/>
  <c r="R297" i="53"/>
  <c r="AA297" i="53"/>
  <c r="AM297" i="53"/>
  <c r="S297" i="53"/>
  <c r="AB297" i="53"/>
  <c r="AN297" i="53"/>
  <c r="T297" i="53"/>
  <c r="AC297" i="53"/>
  <c r="AO297" i="53"/>
  <c r="M298" i="53"/>
  <c r="V298" i="53"/>
  <c r="AH298" i="53"/>
  <c r="W298" i="53"/>
  <c r="AI298" i="53"/>
  <c r="O298" i="53"/>
  <c r="X298" i="53"/>
  <c r="AJ298" i="53"/>
  <c r="P298" i="53"/>
  <c r="Y298" i="53"/>
  <c r="AK298" i="53"/>
  <c r="Q298" i="53"/>
  <c r="Z298" i="53"/>
  <c r="AL298" i="53"/>
  <c r="R298" i="53"/>
  <c r="AA298" i="53"/>
  <c r="AM298" i="53"/>
  <c r="S298" i="53"/>
  <c r="AB298" i="53"/>
  <c r="AN298" i="53"/>
  <c r="T298" i="53"/>
  <c r="AC298" i="53"/>
  <c r="AO298" i="53"/>
  <c r="M299" i="53"/>
  <c r="V299" i="53"/>
  <c r="AH299" i="53"/>
  <c r="W299" i="53"/>
  <c r="AI299" i="53"/>
  <c r="O299" i="53"/>
  <c r="X299" i="53"/>
  <c r="AJ299" i="53"/>
  <c r="P299" i="53"/>
  <c r="Y299" i="53"/>
  <c r="AK299" i="53"/>
  <c r="Q299" i="53"/>
  <c r="Z299" i="53"/>
  <c r="AL299" i="53"/>
  <c r="R299" i="53"/>
  <c r="AA299" i="53"/>
  <c r="AM299" i="53"/>
  <c r="S299" i="53"/>
  <c r="AB299" i="53"/>
  <c r="AN299" i="53"/>
  <c r="T299" i="53"/>
  <c r="AC299" i="53"/>
  <c r="AO299" i="53"/>
  <c r="M300" i="53"/>
  <c r="V300" i="53"/>
  <c r="AH300" i="53"/>
  <c r="W300" i="53"/>
  <c r="AI300" i="53"/>
  <c r="O300" i="53"/>
  <c r="X300" i="53"/>
  <c r="AJ300" i="53"/>
  <c r="P300" i="53"/>
  <c r="Y300" i="53"/>
  <c r="AK300" i="53"/>
  <c r="Q300" i="53"/>
  <c r="Z300" i="53"/>
  <c r="AL300" i="53"/>
  <c r="R300" i="53"/>
  <c r="AA300" i="53"/>
  <c r="AM300" i="53"/>
  <c r="S300" i="53"/>
  <c r="AB300" i="53"/>
  <c r="AN300" i="53"/>
  <c r="T300" i="53"/>
  <c r="AC300" i="53"/>
  <c r="AO300" i="53"/>
  <c r="M301" i="53"/>
  <c r="V301" i="53"/>
  <c r="AH301" i="53"/>
  <c r="W301" i="53"/>
  <c r="AI301" i="53"/>
  <c r="O301" i="53"/>
  <c r="X301" i="53"/>
  <c r="AJ301" i="53"/>
  <c r="P301" i="53"/>
  <c r="Y301" i="53"/>
  <c r="AK301" i="53"/>
  <c r="Q301" i="53"/>
  <c r="Z301" i="53"/>
  <c r="AL301" i="53"/>
  <c r="R301" i="53"/>
  <c r="AA301" i="53"/>
  <c r="AM301" i="53"/>
  <c r="S301" i="53"/>
  <c r="AB301" i="53"/>
  <c r="AN301" i="53"/>
  <c r="T301" i="53"/>
  <c r="AC301" i="53"/>
  <c r="AO301" i="53"/>
  <c r="M302" i="53"/>
  <c r="V302" i="53"/>
  <c r="AH302" i="53"/>
  <c r="W302" i="53"/>
  <c r="AI302" i="53"/>
  <c r="O302" i="53"/>
  <c r="X302" i="53"/>
  <c r="AJ302" i="53"/>
  <c r="P302" i="53"/>
  <c r="Y302" i="53"/>
  <c r="AK302" i="53"/>
  <c r="Q302" i="53"/>
  <c r="Z302" i="53"/>
  <c r="AL302" i="53"/>
  <c r="R302" i="53"/>
  <c r="AA302" i="53"/>
  <c r="AM302" i="53"/>
  <c r="S302" i="53"/>
  <c r="AB302" i="53"/>
  <c r="AN302" i="53"/>
  <c r="T302" i="53"/>
  <c r="AC302" i="53"/>
  <c r="AO302" i="53"/>
  <c r="M303" i="53"/>
  <c r="V303" i="53"/>
  <c r="AH303" i="53"/>
  <c r="W303" i="53"/>
  <c r="AI303" i="53"/>
  <c r="O303" i="53"/>
  <c r="X303" i="53"/>
  <c r="AJ303" i="53"/>
  <c r="P303" i="53"/>
  <c r="Y303" i="53"/>
  <c r="AK303" i="53"/>
  <c r="Q303" i="53"/>
  <c r="Z303" i="53"/>
  <c r="AL303" i="53"/>
  <c r="R303" i="53"/>
  <c r="AA303" i="53"/>
  <c r="AM303" i="53"/>
  <c r="S303" i="53"/>
  <c r="AB303" i="53"/>
  <c r="AN303" i="53"/>
  <c r="T303" i="53"/>
  <c r="AC303" i="53"/>
  <c r="AO303" i="53"/>
  <c r="M304" i="53"/>
  <c r="V304" i="53"/>
  <c r="AH304" i="53"/>
  <c r="W304" i="53"/>
  <c r="AI304" i="53"/>
  <c r="O304" i="53"/>
  <c r="X304" i="53"/>
  <c r="AJ304" i="53"/>
  <c r="P304" i="53"/>
  <c r="Y304" i="53"/>
  <c r="AK304" i="53"/>
  <c r="Q304" i="53"/>
  <c r="Z304" i="53"/>
  <c r="AL304" i="53"/>
  <c r="R304" i="53"/>
  <c r="AA304" i="53"/>
  <c r="AM304" i="53"/>
  <c r="S304" i="53"/>
  <c r="AB304" i="53"/>
  <c r="AN304" i="53"/>
  <c r="T304" i="53"/>
  <c r="AC304" i="53"/>
  <c r="AO304" i="53"/>
  <c r="M305" i="53"/>
  <c r="V305" i="53"/>
  <c r="AH305" i="53"/>
  <c r="W305" i="53"/>
  <c r="AI305" i="53"/>
  <c r="O305" i="53"/>
  <c r="X305" i="53"/>
  <c r="AJ305" i="53"/>
  <c r="P305" i="53"/>
  <c r="Y305" i="53"/>
  <c r="AK305" i="53"/>
  <c r="Q305" i="53"/>
  <c r="Z305" i="53"/>
  <c r="AL305" i="53"/>
  <c r="R305" i="53"/>
  <c r="AA305" i="53"/>
  <c r="AM305" i="53"/>
  <c r="S305" i="53"/>
  <c r="AB305" i="53"/>
  <c r="AN305" i="53"/>
  <c r="T305" i="53"/>
  <c r="AC305" i="53"/>
  <c r="AO305" i="53"/>
  <c r="M306" i="53"/>
  <c r="V306" i="53"/>
  <c r="AH306" i="53"/>
  <c r="W306" i="53"/>
  <c r="AI306" i="53"/>
  <c r="O306" i="53"/>
  <c r="X306" i="53"/>
  <c r="AJ306" i="53"/>
  <c r="P306" i="53"/>
  <c r="Y306" i="53"/>
  <c r="AK306" i="53"/>
  <c r="Q306" i="53"/>
  <c r="Z306" i="53"/>
  <c r="AL306" i="53"/>
  <c r="R306" i="53"/>
  <c r="AA306" i="53"/>
  <c r="AM306" i="53"/>
  <c r="S306" i="53"/>
  <c r="AB306" i="53"/>
  <c r="AN306" i="53"/>
  <c r="T306" i="53"/>
  <c r="AC306" i="53"/>
  <c r="AO306" i="53"/>
  <c r="M307" i="53"/>
  <c r="V307" i="53"/>
  <c r="AH307" i="53"/>
  <c r="W307" i="53"/>
  <c r="AI307" i="53"/>
  <c r="O307" i="53"/>
  <c r="X307" i="53"/>
  <c r="AJ307" i="53"/>
  <c r="P307" i="53"/>
  <c r="Y307" i="53"/>
  <c r="AK307" i="53"/>
  <c r="Q307" i="53"/>
  <c r="Z307" i="53"/>
  <c r="AL307" i="53"/>
  <c r="R307" i="53"/>
  <c r="AA307" i="53"/>
  <c r="AM307" i="53"/>
  <c r="S307" i="53"/>
  <c r="AB307" i="53"/>
  <c r="AN307" i="53"/>
  <c r="T307" i="53"/>
  <c r="AC307" i="53"/>
  <c r="AO307" i="53"/>
  <c r="M308" i="53"/>
  <c r="V308" i="53"/>
  <c r="AH308" i="53"/>
  <c r="W308" i="53"/>
  <c r="AI308" i="53"/>
  <c r="O308" i="53"/>
  <c r="X308" i="53"/>
  <c r="AJ308" i="53"/>
  <c r="P308" i="53"/>
  <c r="Y308" i="53"/>
  <c r="AK308" i="53"/>
  <c r="Q308" i="53"/>
  <c r="Z308" i="53"/>
  <c r="AL308" i="53"/>
  <c r="R308" i="53"/>
  <c r="AA308" i="53"/>
  <c r="AM308" i="53"/>
  <c r="S308" i="53"/>
  <c r="AB308" i="53"/>
  <c r="AN308" i="53"/>
  <c r="T308" i="53"/>
  <c r="AC308" i="53"/>
  <c r="AO308" i="53"/>
  <c r="M309" i="53"/>
  <c r="V309" i="53"/>
  <c r="AH309" i="53"/>
  <c r="W309" i="53"/>
  <c r="AI309" i="53"/>
  <c r="O309" i="53"/>
  <c r="X309" i="53"/>
  <c r="AJ309" i="53"/>
  <c r="P309" i="53"/>
  <c r="Y309" i="53"/>
  <c r="AK309" i="53"/>
  <c r="Q309" i="53"/>
  <c r="Z309" i="53"/>
  <c r="AL309" i="53"/>
  <c r="R309" i="53"/>
  <c r="AA309" i="53"/>
  <c r="AM309" i="53"/>
  <c r="S309" i="53"/>
  <c r="AB309" i="53"/>
  <c r="AN309" i="53"/>
  <c r="T309" i="53"/>
  <c r="AC309" i="53"/>
  <c r="AO309" i="53"/>
  <c r="M310" i="53"/>
  <c r="V310" i="53"/>
  <c r="AH310" i="53"/>
  <c r="W310" i="53"/>
  <c r="AI310" i="53"/>
  <c r="O310" i="53"/>
  <c r="X310" i="53"/>
  <c r="AJ310" i="53"/>
  <c r="P310" i="53"/>
  <c r="Y310" i="53"/>
  <c r="AK310" i="53"/>
  <c r="Q310" i="53"/>
  <c r="Z310" i="53"/>
  <c r="AL310" i="53"/>
  <c r="R310" i="53"/>
  <c r="AA310" i="53"/>
  <c r="AM310" i="53"/>
  <c r="S310" i="53"/>
  <c r="AB310" i="53"/>
  <c r="AN310" i="53"/>
  <c r="T310" i="53"/>
  <c r="AC310" i="53"/>
  <c r="AO310" i="53"/>
  <c r="M311" i="53"/>
  <c r="V311" i="53"/>
  <c r="AH311" i="53"/>
  <c r="W311" i="53"/>
  <c r="AI311" i="53"/>
  <c r="O311" i="53"/>
  <c r="X311" i="53"/>
  <c r="AJ311" i="53"/>
  <c r="P311" i="53"/>
  <c r="Y311" i="53"/>
  <c r="AK311" i="53"/>
  <c r="Q311" i="53"/>
  <c r="Z311" i="53"/>
  <c r="AL311" i="53"/>
  <c r="R311" i="53"/>
  <c r="AA311" i="53"/>
  <c r="AM311" i="53"/>
  <c r="S311" i="53"/>
  <c r="AB311" i="53"/>
  <c r="AN311" i="53"/>
  <c r="T311" i="53"/>
  <c r="AC311" i="53"/>
  <c r="AO311" i="53"/>
  <c r="M312" i="53"/>
  <c r="V312" i="53"/>
  <c r="AH312" i="53"/>
  <c r="W312" i="53"/>
  <c r="AI312" i="53"/>
  <c r="O312" i="53"/>
  <c r="X312" i="53"/>
  <c r="AJ312" i="53"/>
  <c r="P312" i="53"/>
  <c r="Y312" i="53"/>
  <c r="AK312" i="53"/>
  <c r="Q312" i="53"/>
  <c r="Z312" i="53"/>
  <c r="AL312" i="53"/>
  <c r="R312" i="53"/>
  <c r="AA312" i="53"/>
  <c r="AM312" i="53"/>
  <c r="S312" i="53"/>
  <c r="AB312" i="53"/>
  <c r="AN312" i="53"/>
  <c r="T312" i="53"/>
  <c r="AC312" i="53"/>
  <c r="AO312" i="53"/>
  <c r="M313" i="53"/>
  <c r="V313" i="53"/>
  <c r="AH313" i="53"/>
  <c r="W313" i="53"/>
  <c r="AI313" i="53"/>
  <c r="O313" i="53"/>
  <c r="X313" i="53"/>
  <c r="AJ313" i="53"/>
  <c r="P313" i="53"/>
  <c r="Y313" i="53"/>
  <c r="AK313" i="53"/>
  <c r="Q313" i="53"/>
  <c r="Z313" i="53"/>
  <c r="AL313" i="53"/>
  <c r="R313" i="53"/>
  <c r="AA313" i="53"/>
  <c r="AM313" i="53"/>
  <c r="S313" i="53"/>
  <c r="AB313" i="53"/>
  <c r="AN313" i="53"/>
  <c r="T313" i="53"/>
  <c r="AC313" i="53"/>
  <c r="AO313" i="53"/>
  <c r="M314" i="53"/>
  <c r="V314" i="53"/>
  <c r="AH314" i="53"/>
  <c r="W314" i="53"/>
  <c r="AI314" i="53"/>
  <c r="O314" i="53"/>
  <c r="X314" i="53"/>
  <c r="AJ314" i="53"/>
  <c r="P314" i="53"/>
  <c r="Y314" i="53"/>
  <c r="AK314" i="53"/>
  <c r="Q314" i="53"/>
  <c r="Z314" i="53"/>
  <c r="AL314" i="53"/>
  <c r="R314" i="53"/>
  <c r="AA314" i="53"/>
  <c r="AM314" i="53"/>
  <c r="S314" i="53"/>
  <c r="AB314" i="53"/>
  <c r="AN314" i="53"/>
  <c r="T314" i="53"/>
  <c r="AC314" i="53"/>
  <c r="AO314" i="53"/>
  <c r="M315" i="53"/>
  <c r="V315" i="53"/>
  <c r="AH315" i="53"/>
  <c r="W315" i="53"/>
  <c r="AI315" i="53"/>
  <c r="O315" i="53"/>
  <c r="X315" i="53"/>
  <c r="AJ315" i="53"/>
  <c r="P315" i="53"/>
  <c r="Y315" i="53"/>
  <c r="AK315" i="53"/>
  <c r="Q315" i="53"/>
  <c r="Z315" i="53"/>
  <c r="AL315" i="53"/>
  <c r="R315" i="53"/>
  <c r="AA315" i="53"/>
  <c r="AM315" i="53"/>
  <c r="S315" i="53"/>
  <c r="AB315" i="53"/>
  <c r="AN315" i="53"/>
  <c r="T315" i="53"/>
  <c r="AC315" i="53"/>
  <c r="AO315" i="53"/>
  <c r="M316" i="53"/>
  <c r="V316" i="53"/>
  <c r="AH316" i="53"/>
  <c r="W316" i="53"/>
  <c r="AI316" i="53"/>
  <c r="O316" i="53"/>
  <c r="X316" i="53"/>
  <c r="AJ316" i="53"/>
  <c r="P316" i="53"/>
  <c r="Y316" i="53"/>
  <c r="AK316" i="53"/>
  <c r="Q316" i="53"/>
  <c r="Z316" i="53"/>
  <c r="AL316" i="53"/>
  <c r="R316" i="53"/>
  <c r="AA316" i="53"/>
  <c r="AM316" i="53"/>
  <c r="S316" i="53"/>
  <c r="AB316" i="53"/>
  <c r="AN316" i="53"/>
  <c r="T316" i="53"/>
  <c r="AC316" i="53"/>
  <c r="AO316" i="53"/>
  <c r="M317" i="53"/>
  <c r="V317" i="53"/>
  <c r="AH317" i="53"/>
  <c r="W317" i="53"/>
  <c r="AI317" i="53"/>
  <c r="O317" i="53"/>
  <c r="X317" i="53"/>
  <c r="AJ317" i="53"/>
  <c r="P317" i="53"/>
  <c r="Y317" i="53"/>
  <c r="AK317" i="53"/>
  <c r="Q317" i="53"/>
  <c r="Z317" i="53"/>
  <c r="AL317" i="53"/>
  <c r="R317" i="53"/>
  <c r="AA317" i="53"/>
  <c r="AM317" i="53"/>
  <c r="S317" i="53"/>
  <c r="AB317" i="53"/>
  <c r="AN317" i="53"/>
  <c r="T317" i="53"/>
  <c r="AC317" i="53"/>
  <c r="AO317" i="53"/>
  <c r="M318" i="53"/>
  <c r="V318" i="53"/>
  <c r="AH318" i="53"/>
  <c r="W318" i="53"/>
  <c r="AI318" i="53"/>
  <c r="O318" i="53"/>
  <c r="X318" i="53"/>
  <c r="AJ318" i="53"/>
  <c r="P318" i="53"/>
  <c r="Y318" i="53"/>
  <c r="AK318" i="53"/>
  <c r="Q318" i="53"/>
  <c r="Z318" i="53"/>
  <c r="AL318" i="53"/>
  <c r="R318" i="53"/>
  <c r="AA318" i="53"/>
  <c r="AM318" i="53"/>
  <c r="S318" i="53"/>
  <c r="AB318" i="53"/>
  <c r="AN318" i="53"/>
  <c r="T318" i="53"/>
  <c r="AC318" i="53"/>
  <c r="AO318" i="53"/>
  <c r="B26" i="53"/>
  <c r="C159" i="53"/>
  <c r="C160" i="53"/>
  <c r="C161" i="53"/>
  <c r="C162" i="53"/>
  <c r="C163" i="53"/>
  <c r="C164" i="53"/>
  <c r="C165" i="53"/>
  <c r="C166" i="53"/>
  <c r="C167" i="53"/>
  <c r="C168" i="53"/>
  <c r="C169" i="53"/>
  <c r="C170" i="53"/>
  <c r="C171" i="53"/>
  <c r="C172" i="53"/>
  <c r="C173" i="53"/>
  <c r="C174" i="53"/>
  <c r="C175" i="53"/>
  <c r="C176" i="53"/>
  <c r="C177" i="53"/>
  <c r="C178" i="53"/>
  <c r="B179" i="53"/>
  <c r="C179" i="53"/>
  <c r="B180" i="53"/>
  <c r="C180" i="53"/>
  <c r="B181" i="53"/>
  <c r="C181" i="53"/>
  <c r="B182" i="53"/>
  <c r="C182" i="53"/>
  <c r="B183" i="53"/>
  <c r="C183" i="53"/>
  <c r="B184" i="53"/>
  <c r="C184" i="53"/>
  <c r="B185" i="53"/>
  <c r="C185" i="53"/>
  <c r="B186" i="53"/>
  <c r="C186" i="53"/>
  <c r="B187" i="53"/>
  <c r="C187" i="53"/>
  <c r="B188" i="53"/>
  <c r="C188" i="53"/>
  <c r="B189" i="53"/>
  <c r="C189" i="53"/>
  <c r="B190" i="53"/>
  <c r="C190" i="53"/>
  <c r="B191" i="53"/>
  <c r="C191" i="53"/>
  <c r="B192" i="53"/>
  <c r="C192" i="53"/>
  <c r="B193" i="53"/>
  <c r="C193" i="53"/>
  <c r="B194" i="53"/>
  <c r="C194" i="53"/>
  <c r="B195" i="53"/>
  <c r="C195" i="53"/>
  <c r="B196" i="53"/>
  <c r="C196" i="53"/>
  <c r="B197" i="53"/>
  <c r="C197" i="53"/>
  <c r="B198" i="53"/>
  <c r="C198" i="53"/>
  <c r="B199" i="53"/>
  <c r="C199" i="53"/>
  <c r="B200" i="53"/>
  <c r="C200" i="53"/>
  <c r="B201" i="53"/>
  <c r="C201" i="53"/>
  <c r="B202" i="53"/>
  <c r="C202" i="53"/>
  <c r="B203" i="53"/>
  <c r="C203" i="53"/>
  <c r="B204" i="53"/>
  <c r="C204" i="53"/>
  <c r="B205" i="53"/>
  <c r="C205" i="53"/>
  <c r="B206" i="53"/>
  <c r="C206" i="53"/>
  <c r="B207" i="53"/>
  <c r="C207" i="53"/>
  <c r="B208" i="53"/>
  <c r="C208" i="53"/>
  <c r="B209" i="53"/>
  <c r="C209" i="53"/>
  <c r="B210" i="53"/>
  <c r="C210" i="53"/>
  <c r="B211" i="53"/>
  <c r="C211" i="53"/>
  <c r="B212" i="53"/>
  <c r="C212" i="53"/>
  <c r="B213" i="53"/>
  <c r="C213" i="53"/>
  <c r="B214" i="53"/>
  <c r="C214" i="53"/>
  <c r="B215" i="53"/>
  <c r="C215" i="53"/>
  <c r="B216" i="53"/>
  <c r="C216" i="53"/>
  <c r="B217" i="53"/>
  <c r="C217" i="53"/>
  <c r="B218" i="53"/>
  <c r="C218" i="53"/>
  <c r="B219" i="53"/>
  <c r="C219" i="53"/>
  <c r="B220" i="53"/>
  <c r="C220" i="53"/>
  <c r="B221" i="53"/>
  <c r="C221" i="53"/>
  <c r="B222" i="53"/>
  <c r="C222" i="53"/>
  <c r="B223" i="53"/>
  <c r="C223" i="53"/>
  <c r="B224" i="53"/>
  <c r="C224" i="53"/>
  <c r="B225" i="53"/>
  <c r="C225" i="53"/>
  <c r="B226" i="53"/>
  <c r="C226" i="53"/>
  <c r="B227" i="53"/>
  <c r="C227" i="53"/>
  <c r="B228" i="53"/>
  <c r="C228" i="53"/>
  <c r="B229" i="53"/>
  <c r="C229" i="53"/>
  <c r="B230" i="53"/>
  <c r="C230" i="53"/>
  <c r="B231" i="53"/>
  <c r="C231" i="53"/>
  <c r="B232" i="53"/>
  <c r="C232" i="53"/>
  <c r="B233" i="53"/>
  <c r="C233" i="53"/>
  <c r="B234" i="53"/>
  <c r="C234" i="53"/>
  <c r="B235" i="53"/>
  <c r="C235" i="53"/>
  <c r="B236" i="53"/>
  <c r="C236" i="53"/>
  <c r="B237" i="53"/>
  <c r="C237" i="53"/>
  <c r="B238" i="53"/>
  <c r="C238" i="53"/>
  <c r="B239" i="53"/>
  <c r="C239" i="53"/>
  <c r="B240" i="53"/>
  <c r="C240" i="53"/>
  <c r="B241" i="53"/>
  <c r="C241" i="53"/>
  <c r="B242" i="53"/>
  <c r="C242" i="53"/>
  <c r="B243" i="53"/>
  <c r="C243" i="53"/>
  <c r="B244" i="53"/>
  <c r="C244" i="53"/>
  <c r="B245" i="53"/>
  <c r="C245" i="53"/>
  <c r="B246" i="53"/>
  <c r="C246" i="53"/>
  <c r="B247" i="53"/>
  <c r="C247" i="53"/>
  <c r="B248" i="53"/>
  <c r="C248" i="53"/>
  <c r="B249" i="53"/>
  <c r="C249" i="53"/>
  <c r="B250" i="53"/>
  <c r="C250" i="53"/>
  <c r="B251" i="53"/>
  <c r="C251" i="53"/>
  <c r="B252" i="53"/>
  <c r="C252" i="53"/>
  <c r="B253" i="53"/>
  <c r="C253" i="53"/>
  <c r="B254" i="53"/>
  <c r="C254" i="53"/>
  <c r="B255" i="53"/>
  <c r="C255" i="53"/>
  <c r="B256" i="53"/>
  <c r="C256" i="53"/>
  <c r="B257" i="53"/>
  <c r="C257" i="53"/>
  <c r="B258" i="53"/>
  <c r="C258" i="53"/>
  <c r="B259" i="53"/>
  <c r="C259" i="53"/>
  <c r="B260" i="53"/>
  <c r="C260" i="53"/>
  <c r="B261" i="53"/>
  <c r="C261" i="53"/>
  <c r="B262" i="53"/>
  <c r="C262" i="53"/>
  <c r="B263" i="53"/>
  <c r="C263" i="53"/>
  <c r="B264" i="53"/>
  <c r="C264" i="53"/>
  <c r="B265" i="53"/>
  <c r="C265" i="53"/>
  <c r="B266" i="53"/>
  <c r="C266" i="53"/>
  <c r="B267" i="53"/>
  <c r="C267" i="53"/>
  <c r="B268" i="53"/>
  <c r="C268" i="53"/>
  <c r="B269" i="53"/>
  <c r="C269" i="53"/>
  <c r="B270" i="53"/>
  <c r="C270" i="53"/>
  <c r="B271" i="53"/>
  <c r="C271" i="53"/>
  <c r="B272" i="53"/>
  <c r="C272" i="53"/>
  <c r="B273" i="53"/>
  <c r="C273" i="53"/>
  <c r="B274" i="53"/>
  <c r="C274" i="53"/>
  <c r="B275" i="53"/>
  <c r="C275" i="53"/>
  <c r="B276" i="53"/>
  <c r="C276" i="53"/>
  <c r="B277" i="53"/>
  <c r="C277" i="53"/>
  <c r="B278" i="53"/>
  <c r="C278" i="53"/>
  <c r="B279" i="53"/>
  <c r="C279" i="53"/>
  <c r="B280" i="53"/>
  <c r="C280" i="53"/>
  <c r="B281" i="53"/>
  <c r="C281" i="53"/>
  <c r="B282" i="53"/>
  <c r="C282" i="53"/>
  <c r="B283" i="53"/>
  <c r="C283" i="53"/>
  <c r="B284" i="53"/>
  <c r="C284" i="53"/>
  <c r="B285" i="53"/>
  <c r="C285" i="53"/>
  <c r="B286" i="53"/>
  <c r="C286" i="53"/>
  <c r="B287" i="53"/>
  <c r="C287" i="53"/>
  <c r="B288" i="53"/>
  <c r="C288" i="53"/>
  <c r="B289" i="53"/>
  <c r="C289" i="53"/>
  <c r="B290" i="53"/>
  <c r="C290" i="53"/>
  <c r="B291" i="53"/>
  <c r="C291" i="53"/>
  <c r="B292" i="53"/>
  <c r="C292" i="53"/>
  <c r="B293" i="53"/>
  <c r="C293" i="53"/>
  <c r="B294" i="53"/>
  <c r="C294" i="53"/>
  <c r="B295" i="53"/>
  <c r="C295" i="53"/>
  <c r="B296" i="53"/>
  <c r="C296" i="53"/>
  <c r="B297" i="53"/>
  <c r="C297" i="53"/>
  <c r="B298" i="53"/>
  <c r="C298" i="53"/>
  <c r="B299" i="53"/>
  <c r="C299" i="53"/>
  <c r="B300" i="53"/>
  <c r="C300" i="53"/>
  <c r="B301" i="53"/>
  <c r="C301" i="53"/>
  <c r="B302" i="53"/>
  <c r="C302" i="53"/>
  <c r="B303" i="53"/>
  <c r="C303" i="53"/>
  <c r="B304" i="53"/>
  <c r="C304" i="53"/>
  <c r="B305" i="53"/>
  <c r="C305" i="53"/>
  <c r="B306" i="53"/>
  <c r="C306" i="53"/>
  <c r="B307" i="53"/>
  <c r="C307" i="53"/>
  <c r="B308" i="53"/>
  <c r="C308" i="53"/>
  <c r="B309" i="53"/>
  <c r="C309" i="53"/>
  <c r="B310" i="53"/>
  <c r="C310" i="53"/>
  <c r="B311" i="53"/>
  <c r="C311" i="53"/>
  <c r="B312" i="53"/>
  <c r="C312" i="53"/>
  <c r="B313" i="53"/>
  <c r="C313" i="53"/>
  <c r="B314" i="53"/>
  <c r="C314" i="53"/>
  <c r="B315" i="53"/>
  <c r="C315" i="53"/>
  <c r="B316" i="53"/>
  <c r="C316" i="53"/>
  <c r="B317" i="53"/>
  <c r="C317" i="53"/>
  <c r="B318" i="53"/>
  <c r="C318" i="53"/>
  <c r="B21" i="53"/>
  <c r="D26" i="53"/>
  <c r="B25" i="53"/>
  <c r="B20" i="53"/>
  <c r="D25" i="53"/>
  <c r="E26" i="53"/>
  <c r="B24" i="53"/>
  <c r="C24" i="53"/>
  <c r="B19" i="53"/>
  <c r="C19" i="53"/>
  <c r="D24" i="53"/>
  <c r="E24" i="53"/>
  <c r="F30" i="53"/>
  <c r="E30" i="53"/>
  <c r="D30" i="53"/>
  <c r="C30" i="53"/>
  <c r="B30" i="53"/>
  <c r="G30" i="53"/>
  <c r="G35" i="53"/>
  <c r="F35" i="53"/>
  <c r="E35" i="53"/>
  <c r="D35" i="53"/>
  <c r="C35" i="53"/>
  <c r="B35" i="53"/>
  <c r="C118" i="56"/>
  <c r="D40" i="56"/>
  <c r="D118" i="56"/>
  <c r="AH118" i="56"/>
  <c r="D119" i="56"/>
  <c r="AH119" i="56"/>
  <c r="D120" i="56"/>
  <c r="AH120" i="56"/>
  <c r="D121" i="56"/>
  <c r="AH121" i="56"/>
  <c r="D122" i="56"/>
  <c r="AH122" i="56"/>
  <c r="D123" i="56"/>
  <c r="AH123" i="56"/>
  <c r="D124" i="56"/>
  <c r="AH124" i="56"/>
  <c r="D125" i="56"/>
  <c r="AH125" i="56"/>
  <c r="D126" i="56"/>
  <c r="AH126" i="56"/>
  <c r="D127" i="56"/>
  <c r="AH127" i="56"/>
  <c r="D128" i="56"/>
  <c r="AH128" i="56"/>
  <c r="D129" i="56"/>
  <c r="AH129" i="56"/>
  <c r="D130" i="56"/>
  <c r="AH130" i="56"/>
  <c r="D131" i="56"/>
  <c r="AH131" i="56"/>
  <c r="D132" i="56"/>
  <c r="AH132" i="56"/>
  <c r="D133" i="56"/>
  <c r="AH133" i="56"/>
  <c r="D134" i="56"/>
  <c r="AH134" i="56"/>
  <c r="D135" i="56"/>
  <c r="AH135" i="56"/>
  <c r="D136" i="56"/>
  <c r="AH136" i="56"/>
  <c r="D137" i="56"/>
  <c r="AH137" i="56"/>
  <c r="D138" i="56"/>
  <c r="AH138" i="56"/>
  <c r="D139" i="56"/>
  <c r="AH139" i="56"/>
  <c r="D140" i="56"/>
  <c r="AH140" i="56"/>
  <c r="D141" i="56"/>
  <c r="AH141" i="56"/>
  <c r="D142" i="56"/>
  <c r="AH142" i="56"/>
  <c r="D143" i="56"/>
  <c r="AH143" i="56"/>
  <c r="D144" i="56"/>
  <c r="AH144" i="56"/>
  <c r="D145" i="56"/>
  <c r="AH145" i="56"/>
  <c r="D146" i="56"/>
  <c r="AH146" i="56"/>
  <c r="D147" i="56"/>
  <c r="AH147" i="56"/>
  <c r="D148" i="56"/>
  <c r="AH148" i="56"/>
  <c r="D149" i="56"/>
  <c r="AH149" i="56"/>
  <c r="D150" i="56"/>
  <c r="AH150" i="56"/>
  <c r="D151" i="56"/>
  <c r="AH151" i="56"/>
  <c r="D152" i="56"/>
  <c r="AH152" i="56"/>
  <c r="D153" i="56"/>
  <c r="AH153" i="56"/>
  <c r="D154" i="56"/>
  <c r="AH154" i="56"/>
  <c r="D155" i="56"/>
  <c r="AH155" i="56"/>
  <c r="D156" i="56"/>
  <c r="AH156" i="56"/>
  <c r="D157" i="56"/>
  <c r="AH157" i="56"/>
  <c r="D158" i="56"/>
  <c r="C158" i="56"/>
  <c r="M158" i="56"/>
  <c r="AH158" i="56"/>
  <c r="D159" i="56"/>
  <c r="M159" i="56"/>
  <c r="AH159" i="56"/>
  <c r="D160" i="56"/>
  <c r="M160" i="56"/>
  <c r="AH160" i="56"/>
  <c r="D161" i="56"/>
  <c r="M161" i="56"/>
  <c r="AH161" i="56"/>
  <c r="D162" i="56"/>
  <c r="M162" i="56"/>
  <c r="AH162" i="56"/>
  <c r="D163" i="56"/>
  <c r="M163" i="56"/>
  <c r="AH163" i="56"/>
  <c r="D164" i="56"/>
  <c r="M164" i="56"/>
  <c r="AH164" i="56"/>
  <c r="D165" i="56"/>
  <c r="M165" i="56"/>
  <c r="AH165" i="56"/>
  <c r="D166" i="56"/>
  <c r="M166" i="56"/>
  <c r="AH166" i="56"/>
  <c r="D167" i="56"/>
  <c r="M167" i="56"/>
  <c r="AH167" i="56"/>
  <c r="D168" i="56"/>
  <c r="M168" i="56"/>
  <c r="AH168" i="56"/>
  <c r="D169" i="56"/>
  <c r="M169" i="56"/>
  <c r="AH169" i="56"/>
  <c r="D170" i="56"/>
  <c r="M170" i="56"/>
  <c r="AH170" i="56"/>
  <c r="D171" i="56"/>
  <c r="M171" i="56"/>
  <c r="AH171" i="56"/>
  <c r="D172" i="56"/>
  <c r="M172" i="56"/>
  <c r="AH172" i="56"/>
  <c r="D173" i="56"/>
  <c r="M173" i="56"/>
  <c r="AH173" i="56"/>
  <c r="D174" i="56"/>
  <c r="M174" i="56"/>
  <c r="AH174" i="56"/>
  <c r="D175" i="56"/>
  <c r="M175" i="56"/>
  <c r="AH175" i="56"/>
  <c r="D176" i="56"/>
  <c r="M176" i="56"/>
  <c r="AH176" i="56"/>
  <c r="D177" i="56"/>
  <c r="M177" i="56"/>
  <c r="AH177" i="56"/>
  <c r="D178" i="56"/>
  <c r="M178" i="56"/>
  <c r="AH178" i="56"/>
  <c r="D179" i="56"/>
  <c r="M179" i="56"/>
  <c r="AH179" i="56"/>
  <c r="D180" i="56"/>
  <c r="M180" i="56"/>
  <c r="AH180" i="56"/>
  <c r="D181" i="56"/>
  <c r="M181" i="56"/>
  <c r="AH181" i="56"/>
  <c r="D182" i="56"/>
  <c r="M182" i="56"/>
  <c r="AH182" i="56"/>
  <c r="D183" i="56"/>
  <c r="M183" i="56"/>
  <c r="AH183" i="56"/>
  <c r="D184" i="56"/>
  <c r="M184" i="56"/>
  <c r="AH184" i="56"/>
  <c r="D185" i="56"/>
  <c r="M185" i="56"/>
  <c r="AH185" i="56"/>
  <c r="D186" i="56"/>
  <c r="M186" i="56"/>
  <c r="AH186" i="56"/>
  <c r="D187" i="56"/>
  <c r="M187" i="56"/>
  <c r="AH187" i="56"/>
  <c r="D188" i="56"/>
  <c r="M188" i="56"/>
  <c r="AH188" i="56"/>
  <c r="D189" i="56"/>
  <c r="M189" i="56"/>
  <c r="AH189" i="56"/>
  <c r="D190" i="56"/>
  <c r="M190" i="56"/>
  <c r="AH190" i="56"/>
  <c r="D191" i="56"/>
  <c r="M191" i="56"/>
  <c r="AH191" i="56"/>
  <c r="D192" i="56"/>
  <c r="M192" i="56"/>
  <c r="AH192" i="56"/>
  <c r="D193" i="56"/>
  <c r="M193" i="56"/>
  <c r="AH193" i="56"/>
  <c r="D194" i="56"/>
  <c r="M194" i="56"/>
  <c r="AH194" i="56"/>
  <c r="D195" i="56"/>
  <c r="M195" i="56"/>
  <c r="AH195" i="56"/>
  <c r="D196" i="56"/>
  <c r="M196" i="56"/>
  <c r="AH196" i="56"/>
  <c r="D197" i="56"/>
  <c r="M197" i="56"/>
  <c r="AH197" i="56"/>
  <c r="D198" i="56"/>
  <c r="M198" i="56"/>
  <c r="AH198" i="56"/>
  <c r="C78" i="56"/>
  <c r="AG78" i="56"/>
  <c r="C79" i="56"/>
  <c r="AG79" i="56"/>
  <c r="C80" i="56"/>
  <c r="AG80" i="56"/>
  <c r="C81" i="56"/>
  <c r="AG81" i="56"/>
  <c r="C82" i="56"/>
  <c r="AG82" i="56"/>
  <c r="C83" i="56"/>
  <c r="AG83" i="56"/>
  <c r="C84" i="56"/>
  <c r="AG84" i="56"/>
  <c r="C85" i="56"/>
  <c r="AG85" i="56"/>
  <c r="C86" i="56"/>
  <c r="AG86" i="56"/>
  <c r="C87" i="56"/>
  <c r="AG87" i="56"/>
  <c r="C88" i="56"/>
  <c r="AG88" i="56"/>
  <c r="C89" i="56"/>
  <c r="AG89" i="56"/>
  <c r="C90" i="56"/>
  <c r="AG90" i="56"/>
  <c r="C91" i="56"/>
  <c r="AG91" i="56"/>
  <c r="C92" i="56"/>
  <c r="AG92" i="56"/>
  <c r="C93" i="56"/>
  <c r="AG93" i="56"/>
  <c r="C94" i="56"/>
  <c r="AG94" i="56"/>
  <c r="C95" i="56"/>
  <c r="AG95" i="56"/>
  <c r="C96" i="56"/>
  <c r="AG96" i="56"/>
  <c r="C97" i="56"/>
  <c r="AG97" i="56"/>
  <c r="C98" i="56"/>
  <c r="AG98" i="56"/>
  <c r="C99" i="56"/>
  <c r="AG99" i="56"/>
  <c r="C100" i="56"/>
  <c r="AG100" i="56"/>
  <c r="C101" i="56"/>
  <c r="AG101" i="56"/>
  <c r="C102" i="56"/>
  <c r="AG102" i="56"/>
  <c r="C103" i="56"/>
  <c r="AG103" i="56"/>
  <c r="C104" i="56"/>
  <c r="AG104" i="56"/>
  <c r="C105" i="56"/>
  <c r="AG105" i="56"/>
  <c r="C106" i="56"/>
  <c r="AG106" i="56"/>
  <c r="C107" i="56"/>
  <c r="AG107" i="56"/>
  <c r="C108" i="56"/>
  <c r="AG108" i="56"/>
  <c r="C109" i="56"/>
  <c r="AG109" i="56"/>
  <c r="C110" i="56"/>
  <c r="AG110" i="56"/>
  <c r="C111" i="56"/>
  <c r="AG111" i="56"/>
  <c r="C112" i="56"/>
  <c r="AG112" i="56"/>
  <c r="C113" i="56"/>
  <c r="AG113" i="56"/>
  <c r="C114" i="56"/>
  <c r="AG114" i="56"/>
  <c r="C115" i="56"/>
  <c r="AG115" i="56"/>
  <c r="C116" i="56"/>
  <c r="AG116" i="56"/>
  <c r="C117" i="56"/>
  <c r="AG117" i="56"/>
  <c r="AG118" i="56"/>
  <c r="C119" i="56"/>
  <c r="AG119" i="56"/>
  <c r="C120" i="56"/>
  <c r="AG120" i="56"/>
  <c r="C121" i="56"/>
  <c r="AG121" i="56"/>
  <c r="C122" i="56"/>
  <c r="AG122" i="56"/>
  <c r="C123" i="56"/>
  <c r="AG123" i="56"/>
  <c r="C124" i="56"/>
  <c r="AG124" i="56"/>
  <c r="C125" i="56"/>
  <c r="AG125" i="56"/>
  <c r="C126" i="56"/>
  <c r="AG126" i="56"/>
  <c r="C127" i="56"/>
  <c r="AG127" i="56"/>
  <c r="C128" i="56"/>
  <c r="AG128" i="56"/>
  <c r="C129" i="56"/>
  <c r="AG129" i="56"/>
  <c r="C130" i="56"/>
  <c r="AG130" i="56"/>
  <c r="C131" i="56"/>
  <c r="AG131" i="56"/>
  <c r="C132" i="56"/>
  <c r="AG132" i="56"/>
  <c r="C133" i="56"/>
  <c r="AG133" i="56"/>
  <c r="C134" i="56"/>
  <c r="AG134" i="56"/>
  <c r="C135" i="56"/>
  <c r="AG135" i="56"/>
  <c r="C136" i="56"/>
  <c r="AG136" i="56"/>
  <c r="C137" i="56"/>
  <c r="AG137" i="56"/>
  <c r="C138" i="56"/>
  <c r="AG138" i="56"/>
  <c r="C139" i="56"/>
  <c r="AG139" i="56"/>
  <c r="C140" i="56"/>
  <c r="AG140" i="56"/>
  <c r="C141" i="56"/>
  <c r="AG141" i="56"/>
  <c r="C142" i="56"/>
  <c r="AG142" i="56"/>
  <c r="C143" i="56"/>
  <c r="AG143" i="56"/>
  <c r="C144" i="56"/>
  <c r="AG144" i="56"/>
  <c r="C145" i="56"/>
  <c r="AG145" i="56"/>
  <c r="C146" i="56"/>
  <c r="AG146" i="56"/>
  <c r="C147" i="56"/>
  <c r="AG147" i="56"/>
  <c r="C148" i="56"/>
  <c r="AG148" i="56"/>
  <c r="C149" i="56"/>
  <c r="AG149" i="56"/>
  <c r="C150" i="56"/>
  <c r="AG150" i="56"/>
  <c r="C151" i="56"/>
  <c r="AG151" i="56"/>
  <c r="C152" i="56"/>
  <c r="AG152" i="56"/>
  <c r="C153" i="56"/>
  <c r="AG153" i="56"/>
  <c r="C154" i="56"/>
  <c r="AG154" i="56"/>
  <c r="C155" i="56"/>
  <c r="AG155" i="56"/>
  <c r="C156" i="56"/>
  <c r="AG156" i="56"/>
  <c r="C157" i="56"/>
  <c r="AG157" i="56"/>
  <c r="AG158" i="56"/>
  <c r="AI118" i="56"/>
  <c r="AI119" i="56"/>
  <c r="AI120" i="56"/>
  <c r="AI121" i="56"/>
  <c r="AI122" i="56"/>
  <c r="AI123" i="56"/>
  <c r="AI124" i="56"/>
  <c r="AI125" i="56"/>
  <c r="AI126" i="56"/>
  <c r="AI127" i="56"/>
  <c r="AI128" i="56"/>
  <c r="AI129" i="56"/>
  <c r="AI130" i="56"/>
  <c r="AI131" i="56"/>
  <c r="AI132" i="56"/>
  <c r="AI133" i="56"/>
  <c r="AI134" i="56"/>
  <c r="AI135" i="56"/>
  <c r="AI136" i="56"/>
  <c r="AI137" i="56"/>
  <c r="AI138" i="56"/>
  <c r="AI139" i="56"/>
  <c r="AI140" i="56"/>
  <c r="AI141" i="56"/>
  <c r="AI142" i="56"/>
  <c r="AI143" i="56"/>
  <c r="AI144" i="56"/>
  <c r="AI145" i="56"/>
  <c r="AI146" i="56"/>
  <c r="AI147" i="56"/>
  <c r="AI148" i="56"/>
  <c r="AI149" i="56"/>
  <c r="AI150" i="56"/>
  <c r="AI151" i="56"/>
  <c r="AI152" i="56"/>
  <c r="AI153" i="56"/>
  <c r="AI154" i="56"/>
  <c r="AI155" i="56"/>
  <c r="AI156" i="56"/>
  <c r="AI157" i="56"/>
  <c r="N158" i="56"/>
  <c r="AI158" i="56"/>
  <c r="N159" i="56"/>
  <c r="AI159" i="56"/>
  <c r="N160" i="56"/>
  <c r="AI160" i="56"/>
  <c r="N161" i="56"/>
  <c r="AI161" i="56"/>
  <c r="N162" i="56"/>
  <c r="AI162" i="56"/>
  <c r="N163" i="56"/>
  <c r="AI163" i="56"/>
  <c r="N164" i="56"/>
  <c r="AI164" i="56"/>
  <c r="N165" i="56"/>
  <c r="AI165" i="56"/>
  <c r="N166" i="56"/>
  <c r="AI166" i="56"/>
  <c r="N167" i="56"/>
  <c r="AI167" i="56"/>
  <c r="N168" i="56"/>
  <c r="AI168" i="56"/>
  <c r="N169" i="56"/>
  <c r="AI169" i="56"/>
  <c r="N170" i="56"/>
  <c r="AI170" i="56"/>
  <c r="N171" i="56"/>
  <c r="AI171" i="56"/>
  <c r="N172" i="56"/>
  <c r="AI172" i="56"/>
  <c r="N173" i="56"/>
  <c r="AI173" i="56"/>
  <c r="N174" i="56"/>
  <c r="AI174" i="56"/>
  <c r="N175" i="56"/>
  <c r="AI175" i="56"/>
  <c r="N176" i="56"/>
  <c r="AI176" i="56"/>
  <c r="N177" i="56"/>
  <c r="AI177" i="56"/>
  <c r="N178" i="56"/>
  <c r="AI178" i="56"/>
  <c r="N179" i="56"/>
  <c r="AI179" i="56"/>
  <c r="N180" i="56"/>
  <c r="AI180" i="56"/>
  <c r="N181" i="56"/>
  <c r="AI181" i="56"/>
  <c r="N182" i="56"/>
  <c r="AI182" i="56"/>
  <c r="N183" i="56"/>
  <c r="AI183" i="56"/>
  <c r="N184" i="56"/>
  <c r="AI184" i="56"/>
  <c r="N185" i="56"/>
  <c r="AI185" i="56"/>
  <c r="N186" i="56"/>
  <c r="AI186" i="56"/>
  <c r="N187" i="56"/>
  <c r="AI187" i="56"/>
  <c r="N188" i="56"/>
  <c r="AI188" i="56"/>
  <c r="N189" i="56"/>
  <c r="AI189" i="56"/>
  <c r="N190" i="56"/>
  <c r="AI190" i="56"/>
  <c r="N191" i="56"/>
  <c r="AI191" i="56"/>
  <c r="N192" i="56"/>
  <c r="AI192" i="56"/>
  <c r="N193" i="56"/>
  <c r="AI193" i="56"/>
  <c r="N194" i="56"/>
  <c r="AI194" i="56"/>
  <c r="N195" i="56"/>
  <c r="AI195" i="56"/>
  <c r="N196" i="56"/>
  <c r="AI196" i="56"/>
  <c r="N197" i="56"/>
  <c r="AI197" i="56"/>
  <c r="N198" i="56"/>
  <c r="AI198" i="56"/>
  <c r="B30" i="56"/>
  <c r="H41" i="56"/>
  <c r="H118" i="56"/>
  <c r="AL118" i="56"/>
  <c r="H119" i="56"/>
  <c r="AL119" i="56"/>
  <c r="H120" i="56"/>
  <c r="AL120" i="56"/>
  <c r="H121" i="56"/>
  <c r="AL121" i="56"/>
  <c r="H122" i="56"/>
  <c r="AL122" i="56"/>
  <c r="H123" i="56"/>
  <c r="AL123" i="56"/>
  <c r="H124" i="56"/>
  <c r="AL124" i="56"/>
  <c r="H125" i="56"/>
  <c r="AL125" i="56"/>
  <c r="H126" i="56"/>
  <c r="AL126" i="56"/>
  <c r="H127" i="56"/>
  <c r="AL127" i="56"/>
  <c r="H128" i="56"/>
  <c r="AL128" i="56"/>
  <c r="H129" i="56"/>
  <c r="AL129" i="56"/>
  <c r="H130" i="56"/>
  <c r="AL130" i="56"/>
  <c r="H131" i="56"/>
  <c r="AL131" i="56"/>
  <c r="H132" i="56"/>
  <c r="AL132" i="56"/>
  <c r="H133" i="56"/>
  <c r="AL133" i="56"/>
  <c r="H134" i="56"/>
  <c r="AL134" i="56"/>
  <c r="H135" i="56"/>
  <c r="AL135" i="56"/>
  <c r="H136" i="56"/>
  <c r="AL136" i="56"/>
  <c r="H137" i="56"/>
  <c r="AL137" i="56"/>
  <c r="H138" i="56"/>
  <c r="AL138" i="56"/>
  <c r="H139" i="56"/>
  <c r="AL139" i="56"/>
  <c r="H140" i="56"/>
  <c r="AL140" i="56"/>
  <c r="H141" i="56"/>
  <c r="AL141" i="56"/>
  <c r="H142" i="56"/>
  <c r="AL142" i="56"/>
  <c r="H143" i="56"/>
  <c r="AL143" i="56"/>
  <c r="H144" i="56"/>
  <c r="AL144" i="56"/>
  <c r="H145" i="56"/>
  <c r="AL145" i="56"/>
  <c r="H146" i="56"/>
  <c r="AL146" i="56"/>
  <c r="H147" i="56"/>
  <c r="AL147" i="56"/>
  <c r="H148" i="56"/>
  <c r="AL148" i="56"/>
  <c r="H149" i="56"/>
  <c r="AL149" i="56"/>
  <c r="H150" i="56"/>
  <c r="AL150" i="56"/>
  <c r="H151" i="56"/>
  <c r="AL151" i="56"/>
  <c r="H152" i="56"/>
  <c r="AL152" i="56"/>
  <c r="H153" i="56"/>
  <c r="AL153" i="56"/>
  <c r="H154" i="56"/>
  <c r="AL154" i="56"/>
  <c r="H155" i="56"/>
  <c r="AL155" i="56"/>
  <c r="H156" i="56"/>
  <c r="AL156" i="56"/>
  <c r="H157" i="56"/>
  <c r="AL157" i="56"/>
  <c r="H158" i="56"/>
  <c r="Q158" i="56"/>
  <c r="AL158" i="56"/>
  <c r="H159" i="56"/>
  <c r="Q159" i="56"/>
  <c r="AL159" i="56"/>
  <c r="H160" i="56"/>
  <c r="Q160" i="56"/>
  <c r="AL160" i="56"/>
  <c r="H161" i="56"/>
  <c r="Q161" i="56"/>
  <c r="AL161" i="56"/>
  <c r="H162" i="56"/>
  <c r="Q162" i="56"/>
  <c r="AL162" i="56"/>
  <c r="H163" i="56"/>
  <c r="Q163" i="56"/>
  <c r="AL163" i="56"/>
  <c r="H164" i="56"/>
  <c r="Q164" i="56"/>
  <c r="AL164" i="56"/>
  <c r="H165" i="56"/>
  <c r="Q165" i="56"/>
  <c r="AL165" i="56"/>
  <c r="H166" i="56"/>
  <c r="Q166" i="56"/>
  <c r="AL166" i="56"/>
  <c r="H167" i="56"/>
  <c r="Q167" i="56"/>
  <c r="AL167" i="56"/>
  <c r="H168" i="56"/>
  <c r="Q168" i="56"/>
  <c r="AL168" i="56"/>
  <c r="H169" i="56"/>
  <c r="Q169" i="56"/>
  <c r="AL169" i="56"/>
  <c r="H170" i="56"/>
  <c r="Q170" i="56"/>
  <c r="AL170" i="56"/>
  <c r="H171" i="56"/>
  <c r="Q171" i="56"/>
  <c r="AL171" i="56"/>
  <c r="H172" i="56"/>
  <c r="Q172" i="56"/>
  <c r="AL172" i="56"/>
  <c r="H173" i="56"/>
  <c r="Q173" i="56"/>
  <c r="AL173" i="56"/>
  <c r="H174" i="56"/>
  <c r="Q174" i="56"/>
  <c r="AL174" i="56"/>
  <c r="H175" i="56"/>
  <c r="Q175" i="56"/>
  <c r="AL175" i="56"/>
  <c r="H176" i="56"/>
  <c r="Q176" i="56"/>
  <c r="AL176" i="56"/>
  <c r="H177" i="56"/>
  <c r="Q177" i="56"/>
  <c r="AL177" i="56"/>
  <c r="H178" i="56"/>
  <c r="Q178" i="56"/>
  <c r="AL178" i="56"/>
  <c r="H179" i="56"/>
  <c r="Q179" i="56"/>
  <c r="AL179" i="56"/>
  <c r="H180" i="56"/>
  <c r="Q180" i="56"/>
  <c r="AL180" i="56"/>
  <c r="H181" i="56"/>
  <c r="Q181" i="56"/>
  <c r="AL181" i="56"/>
  <c r="H182" i="56"/>
  <c r="Q182" i="56"/>
  <c r="AL182" i="56"/>
  <c r="H183" i="56"/>
  <c r="Q183" i="56"/>
  <c r="AL183" i="56"/>
  <c r="H184" i="56"/>
  <c r="Q184" i="56"/>
  <c r="AL184" i="56"/>
  <c r="H185" i="56"/>
  <c r="Q185" i="56"/>
  <c r="AL185" i="56"/>
  <c r="H186" i="56"/>
  <c r="Q186" i="56"/>
  <c r="AL186" i="56"/>
  <c r="H187" i="56"/>
  <c r="Q187" i="56"/>
  <c r="AL187" i="56"/>
  <c r="H188" i="56"/>
  <c r="Q188" i="56"/>
  <c r="AL188" i="56"/>
  <c r="H189" i="56"/>
  <c r="Q189" i="56"/>
  <c r="AL189" i="56"/>
  <c r="H190" i="56"/>
  <c r="Q190" i="56"/>
  <c r="AL190" i="56"/>
  <c r="H191" i="56"/>
  <c r="Q191" i="56"/>
  <c r="AL191" i="56"/>
  <c r="H192" i="56"/>
  <c r="Q192" i="56"/>
  <c r="AL192" i="56"/>
  <c r="H193" i="56"/>
  <c r="Q193" i="56"/>
  <c r="AL193" i="56"/>
  <c r="H194" i="56"/>
  <c r="Q194" i="56"/>
  <c r="AL194" i="56"/>
  <c r="H195" i="56"/>
  <c r="Q195" i="56"/>
  <c r="AL195" i="56"/>
  <c r="H196" i="56"/>
  <c r="Q196" i="56"/>
  <c r="AL196" i="56"/>
  <c r="H197" i="56"/>
  <c r="Q197" i="56"/>
  <c r="AL197" i="56"/>
  <c r="H198" i="56"/>
  <c r="Q198" i="56"/>
  <c r="AL198" i="56"/>
  <c r="C30" i="56"/>
  <c r="F40" i="56"/>
  <c r="F118" i="56"/>
  <c r="AJ118" i="56"/>
  <c r="F119" i="56"/>
  <c r="AJ119" i="56"/>
  <c r="F120" i="56"/>
  <c r="AJ120" i="56"/>
  <c r="F121" i="56"/>
  <c r="AJ121" i="56"/>
  <c r="F122" i="56"/>
  <c r="AJ122" i="56"/>
  <c r="F123" i="56"/>
  <c r="AJ123" i="56"/>
  <c r="F124" i="56"/>
  <c r="AJ124" i="56"/>
  <c r="F125" i="56"/>
  <c r="AJ125" i="56"/>
  <c r="F126" i="56"/>
  <c r="AJ126" i="56"/>
  <c r="F127" i="56"/>
  <c r="AJ127" i="56"/>
  <c r="F128" i="56"/>
  <c r="AJ128" i="56"/>
  <c r="F129" i="56"/>
  <c r="AJ129" i="56"/>
  <c r="F130" i="56"/>
  <c r="AJ130" i="56"/>
  <c r="F131" i="56"/>
  <c r="AJ131" i="56"/>
  <c r="F132" i="56"/>
  <c r="AJ132" i="56"/>
  <c r="F133" i="56"/>
  <c r="AJ133" i="56"/>
  <c r="F134" i="56"/>
  <c r="AJ134" i="56"/>
  <c r="F135" i="56"/>
  <c r="AJ135" i="56"/>
  <c r="F136" i="56"/>
  <c r="AJ136" i="56"/>
  <c r="F137" i="56"/>
  <c r="AJ137" i="56"/>
  <c r="F138" i="56"/>
  <c r="AJ138" i="56"/>
  <c r="F139" i="56"/>
  <c r="AJ139" i="56"/>
  <c r="F140" i="56"/>
  <c r="AJ140" i="56"/>
  <c r="F141" i="56"/>
  <c r="AJ141" i="56"/>
  <c r="F142" i="56"/>
  <c r="AJ142" i="56"/>
  <c r="F143" i="56"/>
  <c r="AJ143" i="56"/>
  <c r="F144" i="56"/>
  <c r="AJ144" i="56"/>
  <c r="F145" i="56"/>
  <c r="AJ145" i="56"/>
  <c r="F146" i="56"/>
  <c r="AJ146" i="56"/>
  <c r="F147" i="56"/>
  <c r="AJ147" i="56"/>
  <c r="F148" i="56"/>
  <c r="AJ148" i="56"/>
  <c r="F149" i="56"/>
  <c r="AJ149" i="56"/>
  <c r="F150" i="56"/>
  <c r="AJ150" i="56"/>
  <c r="F151" i="56"/>
  <c r="AJ151" i="56"/>
  <c r="F152" i="56"/>
  <c r="AJ152" i="56"/>
  <c r="F153" i="56"/>
  <c r="AJ153" i="56"/>
  <c r="F154" i="56"/>
  <c r="AJ154" i="56"/>
  <c r="F155" i="56"/>
  <c r="AJ155" i="56"/>
  <c r="F156" i="56"/>
  <c r="AJ156" i="56"/>
  <c r="F157" i="56"/>
  <c r="AJ157" i="56"/>
  <c r="F158" i="56"/>
  <c r="O158" i="56"/>
  <c r="AJ158" i="56"/>
  <c r="F159" i="56"/>
  <c r="O159" i="56"/>
  <c r="AJ159" i="56"/>
  <c r="F160" i="56"/>
  <c r="O160" i="56"/>
  <c r="AJ160" i="56"/>
  <c r="F161" i="56"/>
  <c r="O161" i="56"/>
  <c r="AJ161" i="56"/>
  <c r="F162" i="56"/>
  <c r="O162" i="56"/>
  <c r="AJ162" i="56"/>
  <c r="F163" i="56"/>
  <c r="O163" i="56"/>
  <c r="AJ163" i="56"/>
  <c r="F164" i="56"/>
  <c r="O164" i="56"/>
  <c r="AJ164" i="56"/>
  <c r="F165" i="56"/>
  <c r="O165" i="56"/>
  <c r="AJ165" i="56"/>
  <c r="F166" i="56"/>
  <c r="O166" i="56"/>
  <c r="AJ166" i="56"/>
  <c r="F167" i="56"/>
  <c r="O167" i="56"/>
  <c r="AJ167" i="56"/>
  <c r="F168" i="56"/>
  <c r="O168" i="56"/>
  <c r="AJ168" i="56"/>
  <c r="F169" i="56"/>
  <c r="O169" i="56"/>
  <c r="AJ169" i="56"/>
  <c r="F170" i="56"/>
  <c r="O170" i="56"/>
  <c r="AJ170" i="56"/>
  <c r="F171" i="56"/>
  <c r="O171" i="56"/>
  <c r="AJ171" i="56"/>
  <c r="F172" i="56"/>
  <c r="O172" i="56"/>
  <c r="AJ172" i="56"/>
  <c r="F173" i="56"/>
  <c r="O173" i="56"/>
  <c r="AJ173" i="56"/>
  <c r="F174" i="56"/>
  <c r="O174" i="56"/>
  <c r="AJ174" i="56"/>
  <c r="F175" i="56"/>
  <c r="O175" i="56"/>
  <c r="AJ175" i="56"/>
  <c r="F176" i="56"/>
  <c r="O176" i="56"/>
  <c r="AJ176" i="56"/>
  <c r="F177" i="56"/>
  <c r="O177" i="56"/>
  <c r="AJ177" i="56"/>
  <c r="F178" i="56"/>
  <c r="O178" i="56"/>
  <c r="AJ178" i="56"/>
  <c r="F179" i="56"/>
  <c r="O179" i="56"/>
  <c r="AJ179" i="56"/>
  <c r="F180" i="56"/>
  <c r="O180" i="56"/>
  <c r="AJ180" i="56"/>
  <c r="F181" i="56"/>
  <c r="O181" i="56"/>
  <c r="AJ181" i="56"/>
  <c r="F182" i="56"/>
  <c r="O182" i="56"/>
  <c r="AJ182" i="56"/>
  <c r="F183" i="56"/>
  <c r="O183" i="56"/>
  <c r="AJ183" i="56"/>
  <c r="F184" i="56"/>
  <c r="O184" i="56"/>
  <c r="AJ184" i="56"/>
  <c r="F185" i="56"/>
  <c r="O185" i="56"/>
  <c r="AJ185" i="56"/>
  <c r="F186" i="56"/>
  <c r="O186" i="56"/>
  <c r="AJ186" i="56"/>
  <c r="F187" i="56"/>
  <c r="O187" i="56"/>
  <c r="AJ187" i="56"/>
  <c r="F188" i="56"/>
  <c r="O188" i="56"/>
  <c r="AJ188" i="56"/>
  <c r="F189" i="56"/>
  <c r="O189" i="56"/>
  <c r="AJ189" i="56"/>
  <c r="F190" i="56"/>
  <c r="O190" i="56"/>
  <c r="AJ190" i="56"/>
  <c r="F191" i="56"/>
  <c r="O191" i="56"/>
  <c r="AJ191" i="56"/>
  <c r="F192" i="56"/>
  <c r="O192" i="56"/>
  <c r="AJ192" i="56"/>
  <c r="F193" i="56"/>
  <c r="O193" i="56"/>
  <c r="AJ193" i="56"/>
  <c r="F194" i="56"/>
  <c r="O194" i="56"/>
  <c r="AJ194" i="56"/>
  <c r="F195" i="56"/>
  <c r="O195" i="56"/>
  <c r="AJ195" i="56"/>
  <c r="F196" i="56"/>
  <c r="O196" i="56"/>
  <c r="AJ196" i="56"/>
  <c r="F197" i="56"/>
  <c r="O197" i="56"/>
  <c r="AJ197" i="56"/>
  <c r="F198" i="56"/>
  <c r="O198" i="56"/>
  <c r="AJ198" i="56"/>
  <c r="G41" i="56"/>
  <c r="G118" i="56"/>
  <c r="AK118" i="56"/>
  <c r="G119" i="56"/>
  <c r="AK119" i="56"/>
  <c r="G120" i="56"/>
  <c r="AK120" i="56"/>
  <c r="G121" i="56"/>
  <c r="AK121" i="56"/>
  <c r="G122" i="56"/>
  <c r="AK122" i="56"/>
  <c r="G123" i="56"/>
  <c r="AK123" i="56"/>
  <c r="G124" i="56"/>
  <c r="AK124" i="56"/>
  <c r="G125" i="56"/>
  <c r="AK125" i="56"/>
  <c r="G126" i="56"/>
  <c r="AK126" i="56"/>
  <c r="G127" i="56"/>
  <c r="AK127" i="56"/>
  <c r="G128" i="56"/>
  <c r="AK128" i="56"/>
  <c r="G129" i="56"/>
  <c r="AK129" i="56"/>
  <c r="G130" i="56"/>
  <c r="AK130" i="56"/>
  <c r="G131" i="56"/>
  <c r="AK131" i="56"/>
  <c r="G132" i="56"/>
  <c r="AK132" i="56"/>
  <c r="G133" i="56"/>
  <c r="AK133" i="56"/>
  <c r="G134" i="56"/>
  <c r="AK134" i="56"/>
  <c r="G135" i="56"/>
  <c r="AK135" i="56"/>
  <c r="G136" i="56"/>
  <c r="AK136" i="56"/>
  <c r="G137" i="56"/>
  <c r="AK137" i="56"/>
  <c r="G138" i="56"/>
  <c r="AK138" i="56"/>
  <c r="G139" i="56"/>
  <c r="AK139" i="56"/>
  <c r="G140" i="56"/>
  <c r="AK140" i="56"/>
  <c r="G141" i="56"/>
  <c r="AK141" i="56"/>
  <c r="G142" i="56"/>
  <c r="AK142" i="56"/>
  <c r="G143" i="56"/>
  <c r="AK143" i="56"/>
  <c r="G144" i="56"/>
  <c r="AK144" i="56"/>
  <c r="G145" i="56"/>
  <c r="AK145" i="56"/>
  <c r="G146" i="56"/>
  <c r="AK146" i="56"/>
  <c r="G147" i="56"/>
  <c r="AK147" i="56"/>
  <c r="G148" i="56"/>
  <c r="AK148" i="56"/>
  <c r="G149" i="56"/>
  <c r="AK149" i="56"/>
  <c r="G150" i="56"/>
  <c r="AK150" i="56"/>
  <c r="G151" i="56"/>
  <c r="AK151" i="56"/>
  <c r="G152" i="56"/>
  <c r="AK152" i="56"/>
  <c r="G153" i="56"/>
  <c r="AK153" i="56"/>
  <c r="G154" i="56"/>
  <c r="AK154" i="56"/>
  <c r="G155" i="56"/>
  <c r="AK155" i="56"/>
  <c r="G156" i="56"/>
  <c r="AK156" i="56"/>
  <c r="G157" i="56"/>
  <c r="AK157" i="56"/>
  <c r="G158" i="56"/>
  <c r="P158" i="56"/>
  <c r="AK158" i="56"/>
  <c r="G159" i="56"/>
  <c r="P159" i="56"/>
  <c r="AK159" i="56"/>
  <c r="G160" i="56"/>
  <c r="P160" i="56"/>
  <c r="AK160" i="56"/>
  <c r="G161" i="56"/>
  <c r="P161" i="56"/>
  <c r="AK161" i="56"/>
  <c r="G162" i="56"/>
  <c r="P162" i="56"/>
  <c r="AK162" i="56"/>
  <c r="G163" i="56"/>
  <c r="P163" i="56"/>
  <c r="AK163" i="56"/>
  <c r="G164" i="56"/>
  <c r="P164" i="56"/>
  <c r="AK164" i="56"/>
  <c r="G165" i="56"/>
  <c r="P165" i="56"/>
  <c r="AK165" i="56"/>
  <c r="G166" i="56"/>
  <c r="P166" i="56"/>
  <c r="AK166" i="56"/>
  <c r="G167" i="56"/>
  <c r="P167" i="56"/>
  <c r="AK167" i="56"/>
  <c r="G168" i="56"/>
  <c r="P168" i="56"/>
  <c r="AK168" i="56"/>
  <c r="G169" i="56"/>
  <c r="P169" i="56"/>
  <c r="AK169" i="56"/>
  <c r="G170" i="56"/>
  <c r="P170" i="56"/>
  <c r="AK170" i="56"/>
  <c r="G171" i="56"/>
  <c r="P171" i="56"/>
  <c r="AK171" i="56"/>
  <c r="G172" i="56"/>
  <c r="P172" i="56"/>
  <c r="AK172" i="56"/>
  <c r="G173" i="56"/>
  <c r="P173" i="56"/>
  <c r="AK173" i="56"/>
  <c r="G174" i="56"/>
  <c r="P174" i="56"/>
  <c r="AK174" i="56"/>
  <c r="G175" i="56"/>
  <c r="P175" i="56"/>
  <c r="AK175" i="56"/>
  <c r="G176" i="56"/>
  <c r="P176" i="56"/>
  <c r="AK176" i="56"/>
  <c r="G177" i="56"/>
  <c r="P177" i="56"/>
  <c r="AK177" i="56"/>
  <c r="G178" i="56"/>
  <c r="P178" i="56"/>
  <c r="AK178" i="56"/>
  <c r="G179" i="56"/>
  <c r="P179" i="56"/>
  <c r="AK179" i="56"/>
  <c r="G180" i="56"/>
  <c r="P180" i="56"/>
  <c r="AK180" i="56"/>
  <c r="G181" i="56"/>
  <c r="P181" i="56"/>
  <c r="AK181" i="56"/>
  <c r="G182" i="56"/>
  <c r="P182" i="56"/>
  <c r="AK182" i="56"/>
  <c r="G183" i="56"/>
  <c r="P183" i="56"/>
  <c r="AK183" i="56"/>
  <c r="G184" i="56"/>
  <c r="P184" i="56"/>
  <c r="AK184" i="56"/>
  <c r="G185" i="56"/>
  <c r="P185" i="56"/>
  <c r="AK185" i="56"/>
  <c r="G186" i="56"/>
  <c r="P186" i="56"/>
  <c r="AK186" i="56"/>
  <c r="G187" i="56"/>
  <c r="P187" i="56"/>
  <c r="AK187" i="56"/>
  <c r="G188" i="56"/>
  <c r="P188" i="56"/>
  <c r="AK188" i="56"/>
  <c r="G189" i="56"/>
  <c r="P189" i="56"/>
  <c r="AK189" i="56"/>
  <c r="G190" i="56"/>
  <c r="P190" i="56"/>
  <c r="AK190" i="56"/>
  <c r="G191" i="56"/>
  <c r="P191" i="56"/>
  <c r="AK191" i="56"/>
  <c r="G192" i="56"/>
  <c r="P192" i="56"/>
  <c r="AK192" i="56"/>
  <c r="G193" i="56"/>
  <c r="P193" i="56"/>
  <c r="AK193" i="56"/>
  <c r="G194" i="56"/>
  <c r="P194" i="56"/>
  <c r="AK194" i="56"/>
  <c r="G195" i="56"/>
  <c r="P195" i="56"/>
  <c r="AK195" i="56"/>
  <c r="G196" i="56"/>
  <c r="P196" i="56"/>
  <c r="AK196" i="56"/>
  <c r="G197" i="56"/>
  <c r="P197" i="56"/>
  <c r="AK197" i="56"/>
  <c r="G198" i="56"/>
  <c r="P198" i="56"/>
  <c r="AK198" i="56"/>
  <c r="J118" i="56"/>
  <c r="AN118" i="56"/>
  <c r="J119" i="56"/>
  <c r="AN119" i="56"/>
  <c r="J120" i="56"/>
  <c r="AN120" i="56"/>
  <c r="J121" i="56"/>
  <c r="AN121" i="56"/>
  <c r="J122" i="56"/>
  <c r="AN122" i="56"/>
  <c r="J123" i="56"/>
  <c r="AN123" i="56"/>
  <c r="J124" i="56"/>
  <c r="AN124" i="56"/>
  <c r="J125" i="56"/>
  <c r="AN125" i="56"/>
  <c r="J126" i="56"/>
  <c r="AN126" i="56"/>
  <c r="J127" i="56"/>
  <c r="AN127" i="56"/>
  <c r="J128" i="56"/>
  <c r="AN128" i="56"/>
  <c r="J129" i="56"/>
  <c r="AN129" i="56"/>
  <c r="J130" i="56"/>
  <c r="AN130" i="56"/>
  <c r="J131" i="56"/>
  <c r="AN131" i="56"/>
  <c r="J132" i="56"/>
  <c r="AN132" i="56"/>
  <c r="J133" i="56"/>
  <c r="AN133" i="56"/>
  <c r="J134" i="56"/>
  <c r="AN134" i="56"/>
  <c r="J135" i="56"/>
  <c r="AN135" i="56"/>
  <c r="J136" i="56"/>
  <c r="AN136" i="56"/>
  <c r="J137" i="56"/>
  <c r="AN137" i="56"/>
  <c r="J138" i="56"/>
  <c r="AN138" i="56"/>
  <c r="J139" i="56"/>
  <c r="AN139" i="56"/>
  <c r="J140" i="56"/>
  <c r="AN140" i="56"/>
  <c r="J141" i="56"/>
  <c r="AN141" i="56"/>
  <c r="J142" i="56"/>
  <c r="AN142" i="56"/>
  <c r="J143" i="56"/>
  <c r="AN143" i="56"/>
  <c r="J144" i="56"/>
  <c r="AN144" i="56"/>
  <c r="J145" i="56"/>
  <c r="AN145" i="56"/>
  <c r="J146" i="56"/>
  <c r="AN146" i="56"/>
  <c r="J147" i="56"/>
  <c r="AN147" i="56"/>
  <c r="J148" i="56"/>
  <c r="AN148" i="56"/>
  <c r="J149" i="56"/>
  <c r="AN149" i="56"/>
  <c r="J150" i="56"/>
  <c r="AN150" i="56"/>
  <c r="J151" i="56"/>
  <c r="AN151" i="56"/>
  <c r="J152" i="56"/>
  <c r="AN152" i="56"/>
  <c r="J153" i="56"/>
  <c r="AN153" i="56"/>
  <c r="J154" i="56"/>
  <c r="AN154" i="56"/>
  <c r="J155" i="56"/>
  <c r="AN155" i="56"/>
  <c r="J156" i="56"/>
  <c r="AN156" i="56"/>
  <c r="J157" i="56"/>
  <c r="AN157" i="56"/>
  <c r="J158" i="56"/>
  <c r="S158" i="56"/>
  <c r="AN158" i="56"/>
  <c r="J159" i="56"/>
  <c r="S159" i="56"/>
  <c r="AN159" i="56"/>
  <c r="J160" i="56"/>
  <c r="S160" i="56"/>
  <c r="AN160" i="56"/>
  <c r="J161" i="56"/>
  <c r="S161" i="56"/>
  <c r="AN161" i="56"/>
  <c r="J162" i="56"/>
  <c r="S162" i="56"/>
  <c r="AN162" i="56"/>
  <c r="J163" i="56"/>
  <c r="S163" i="56"/>
  <c r="AN163" i="56"/>
  <c r="J164" i="56"/>
  <c r="S164" i="56"/>
  <c r="AN164" i="56"/>
  <c r="J165" i="56"/>
  <c r="S165" i="56"/>
  <c r="AN165" i="56"/>
  <c r="J166" i="56"/>
  <c r="S166" i="56"/>
  <c r="AN166" i="56"/>
  <c r="J167" i="56"/>
  <c r="S167" i="56"/>
  <c r="AN167" i="56"/>
  <c r="J168" i="56"/>
  <c r="S168" i="56"/>
  <c r="AN168" i="56"/>
  <c r="J169" i="56"/>
  <c r="S169" i="56"/>
  <c r="AN169" i="56"/>
  <c r="J170" i="56"/>
  <c r="S170" i="56"/>
  <c r="AN170" i="56"/>
  <c r="J171" i="56"/>
  <c r="S171" i="56"/>
  <c r="AN171" i="56"/>
  <c r="J172" i="56"/>
  <c r="S172" i="56"/>
  <c r="AN172" i="56"/>
  <c r="J173" i="56"/>
  <c r="S173" i="56"/>
  <c r="AN173" i="56"/>
  <c r="J174" i="56"/>
  <c r="S174" i="56"/>
  <c r="AN174" i="56"/>
  <c r="J175" i="56"/>
  <c r="S175" i="56"/>
  <c r="AN175" i="56"/>
  <c r="J176" i="56"/>
  <c r="S176" i="56"/>
  <c r="AN176" i="56"/>
  <c r="J177" i="56"/>
  <c r="S177" i="56"/>
  <c r="AN177" i="56"/>
  <c r="J178" i="56"/>
  <c r="S178" i="56"/>
  <c r="AN178" i="56"/>
  <c r="J179" i="56"/>
  <c r="S179" i="56"/>
  <c r="AN179" i="56"/>
  <c r="J180" i="56"/>
  <c r="S180" i="56"/>
  <c r="AN180" i="56"/>
  <c r="J181" i="56"/>
  <c r="S181" i="56"/>
  <c r="AN181" i="56"/>
  <c r="J182" i="56"/>
  <c r="S182" i="56"/>
  <c r="AN182" i="56"/>
  <c r="J183" i="56"/>
  <c r="S183" i="56"/>
  <c r="AN183" i="56"/>
  <c r="J184" i="56"/>
  <c r="S184" i="56"/>
  <c r="AN184" i="56"/>
  <c r="J185" i="56"/>
  <c r="S185" i="56"/>
  <c r="AN185" i="56"/>
  <c r="J186" i="56"/>
  <c r="S186" i="56"/>
  <c r="AN186" i="56"/>
  <c r="J187" i="56"/>
  <c r="S187" i="56"/>
  <c r="AN187" i="56"/>
  <c r="J188" i="56"/>
  <c r="S188" i="56"/>
  <c r="AN188" i="56"/>
  <c r="J189" i="56"/>
  <c r="S189" i="56"/>
  <c r="AN189" i="56"/>
  <c r="J190" i="56"/>
  <c r="S190" i="56"/>
  <c r="AN190" i="56"/>
  <c r="J191" i="56"/>
  <c r="S191" i="56"/>
  <c r="AN191" i="56"/>
  <c r="J192" i="56"/>
  <c r="S192" i="56"/>
  <c r="AN192" i="56"/>
  <c r="J193" i="56"/>
  <c r="S193" i="56"/>
  <c r="AN193" i="56"/>
  <c r="J194" i="56"/>
  <c r="S194" i="56"/>
  <c r="AN194" i="56"/>
  <c r="J195" i="56"/>
  <c r="S195" i="56"/>
  <c r="AN195" i="56"/>
  <c r="J196" i="56"/>
  <c r="S196" i="56"/>
  <c r="AN196" i="56"/>
  <c r="J197" i="56"/>
  <c r="S197" i="56"/>
  <c r="AN197" i="56"/>
  <c r="J198" i="56"/>
  <c r="S198" i="56"/>
  <c r="AN198" i="56"/>
  <c r="D30" i="56"/>
  <c r="I118" i="56"/>
  <c r="AM118" i="56"/>
  <c r="I119" i="56"/>
  <c r="AM119" i="56"/>
  <c r="I120" i="56"/>
  <c r="AM120" i="56"/>
  <c r="I121" i="56"/>
  <c r="AM121" i="56"/>
  <c r="I122" i="56"/>
  <c r="AM122" i="56"/>
  <c r="I123" i="56"/>
  <c r="AM123" i="56"/>
  <c r="I124" i="56"/>
  <c r="AM124" i="56"/>
  <c r="I125" i="56"/>
  <c r="AM125" i="56"/>
  <c r="I126" i="56"/>
  <c r="AM126" i="56"/>
  <c r="I127" i="56"/>
  <c r="AM127" i="56"/>
  <c r="I128" i="56"/>
  <c r="AM128" i="56"/>
  <c r="I129" i="56"/>
  <c r="AM129" i="56"/>
  <c r="I130" i="56"/>
  <c r="AM130" i="56"/>
  <c r="I131" i="56"/>
  <c r="AM131" i="56"/>
  <c r="I132" i="56"/>
  <c r="AM132" i="56"/>
  <c r="I133" i="56"/>
  <c r="AM133" i="56"/>
  <c r="I134" i="56"/>
  <c r="AM134" i="56"/>
  <c r="I135" i="56"/>
  <c r="AM135" i="56"/>
  <c r="I136" i="56"/>
  <c r="AM136" i="56"/>
  <c r="I137" i="56"/>
  <c r="AM137" i="56"/>
  <c r="I138" i="56"/>
  <c r="AM138" i="56"/>
  <c r="I139" i="56"/>
  <c r="AM139" i="56"/>
  <c r="I140" i="56"/>
  <c r="AM140" i="56"/>
  <c r="I141" i="56"/>
  <c r="AM141" i="56"/>
  <c r="I142" i="56"/>
  <c r="AM142" i="56"/>
  <c r="I143" i="56"/>
  <c r="AM143" i="56"/>
  <c r="I144" i="56"/>
  <c r="AM144" i="56"/>
  <c r="I145" i="56"/>
  <c r="AM145" i="56"/>
  <c r="I146" i="56"/>
  <c r="AM146" i="56"/>
  <c r="I147" i="56"/>
  <c r="AM147" i="56"/>
  <c r="I148" i="56"/>
  <c r="AM148" i="56"/>
  <c r="I149" i="56"/>
  <c r="AM149" i="56"/>
  <c r="I150" i="56"/>
  <c r="AM150" i="56"/>
  <c r="I151" i="56"/>
  <c r="AM151" i="56"/>
  <c r="I152" i="56"/>
  <c r="AM152" i="56"/>
  <c r="I153" i="56"/>
  <c r="AM153" i="56"/>
  <c r="I154" i="56"/>
  <c r="AM154" i="56"/>
  <c r="I155" i="56"/>
  <c r="AM155" i="56"/>
  <c r="I156" i="56"/>
  <c r="AM156" i="56"/>
  <c r="I157" i="56"/>
  <c r="AM157" i="56"/>
  <c r="I158" i="56"/>
  <c r="R158" i="56"/>
  <c r="AM158" i="56"/>
  <c r="I159" i="56"/>
  <c r="R159" i="56"/>
  <c r="AM159" i="56"/>
  <c r="I160" i="56"/>
  <c r="R160" i="56"/>
  <c r="AM160" i="56"/>
  <c r="I161" i="56"/>
  <c r="R161" i="56"/>
  <c r="AM161" i="56"/>
  <c r="I162" i="56"/>
  <c r="R162" i="56"/>
  <c r="AM162" i="56"/>
  <c r="I163" i="56"/>
  <c r="R163" i="56"/>
  <c r="AM163" i="56"/>
  <c r="I164" i="56"/>
  <c r="R164" i="56"/>
  <c r="AM164" i="56"/>
  <c r="I165" i="56"/>
  <c r="R165" i="56"/>
  <c r="AM165" i="56"/>
  <c r="I166" i="56"/>
  <c r="R166" i="56"/>
  <c r="AM166" i="56"/>
  <c r="I167" i="56"/>
  <c r="R167" i="56"/>
  <c r="AM167" i="56"/>
  <c r="I168" i="56"/>
  <c r="R168" i="56"/>
  <c r="AM168" i="56"/>
  <c r="I169" i="56"/>
  <c r="R169" i="56"/>
  <c r="AM169" i="56"/>
  <c r="I170" i="56"/>
  <c r="R170" i="56"/>
  <c r="AM170" i="56"/>
  <c r="I171" i="56"/>
  <c r="R171" i="56"/>
  <c r="AM171" i="56"/>
  <c r="I172" i="56"/>
  <c r="R172" i="56"/>
  <c r="AM172" i="56"/>
  <c r="I173" i="56"/>
  <c r="R173" i="56"/>
  <c r="AM173" i="56"/>
  <c r="I174" i="56"/>
  <c r="R174" i="56"/>
  <c r="AM174" i="56"/>
  <c r="I175" i="56"/>
  <c r="R175" i="56"/>
  <c r="AM175" i="56"/>
  <c r="I176" i="56"/>
  <c r="R176" i="56"/>
  <c r="AM176" i="56"/>
  <c r="I177" i="56"/>
  <c r="R177" i="56"/>
  <c r="AM177" i="56"/>
  <c r="I178" i="56"/>
  <c r="R178" i="56"/>
  <c r="AM178" i="56"/>
  <c r="I179" i="56"/>
  <c r="R179" i="56"/>
  <c r="AM179" i="56"/>
  <c r="I180" i="56"/>
  <c r="R180" i="56"/>
  <c r="AM180" i="56"/>
  <c r="I181" i="56"/>
  <c r="R181" i="56"/>
  <c r="AM181" i="56"/>
  <c r="I182" i="56"/>
  <c r="R182" i="56"/>
  <c r="AM182" i="56"/>
  <c r="I183" i="56"/>
  <c r="R183" i="56"/>
  <c r="AM183" i="56"/>
  <c r="I184" i="56"/>
  <c r="R184" i="56"/>
  <c r="AM184" i="56"/>
  <c r="I185" i="56"/>
  <c r="R185" i="56"/>
  <c r="AM185" i="56"/>
  <c r="I186" i="56"/>
  <c r="R186" i="56"/>
  <c r="AM186" i="56"/>
  <c r="I187" i="56"/>
  <c r="R187" i="56"/>
  <c r="AM187" i="56"/>
  <c r="I188" i="56"/>
  <c r="R188" i="56"/>
  <c r="AM188" i="56"/>
  <c r="I189" i="56"/>
  <c r="R189" i="56"/>
  <c r="AM189" i="56"/>
  <c r="I190" i="56"/>
  <c r="R190" i="56"/>
  <c r="AM190" i="56"/>
  <c r="I191" i="56"/>
  <c r="R191" i="56"/>
  <c r="AM191" i="56"/>
  <c r="I192" i="56"/>
  <c r="R192" i="56"/>
  <c r="AM192" i="56"/>
  <c r="I193" i="56"/>
  <c r="R193" i="56"/>
  <c r="AM193" i="56"/>
  <c r="I194" i="56"/>
  <c r="R194" i="56"/>
  <c r="AM194" i="56"/>
  <c r="I195" i="56"/>
  <c r="R195" i="56"/>
  <c r="AM195" i="56"/>
  <c r="I196" i="56"/>
  <c r="R196" i="56"/>
  <c r="AM196" i="56"/>
  <c r="I197" i="56"/>
  <c r="R197" i="56"/>
  <c r="AM197" i="56"/>
  <c r="I198" i="56"/>
  <c r="R198" i="56"/>
  <c r="AM198" i="56"/>
  <c r="E30" i="56"/>
  <c r="K42" i="56"/>
  <c r="K118" i="56"/>
  <c r="AO118" i="56"/>
  <c r="K119" i="56"/>
  <c r="AO119" i="56"/>
  <c r="K120" i="56"/>
  <c r="AO120" i="56"/>
  <c r="K121" i="56"/>
  <c r="AO121" i="56"/>
  <c r="K122" i="56"/>
  <c r="AO122" i="56"/>
  <c r="K123" i="56"/>
  <c r="AO123" i="56"/>
  <c r="K124" i="56"/>
  <c r="AO124" i="56"/>
  <c r="K125" i="56"/>
  <c r="AO125" i="56"/>
  <c r="K126" i="56"/>
  <c r="AO126" i="56"/>
  <c r="K127" i="56"/>
  <c r="AO127" i="56"/>
  <c r="K128" i="56"/>
  <c r="AO128" i="56"/>
  <c r="K129" i="56"/>
  <c r="AO129" i="56"/>
  <c r="K130" i="56"/>
  <c r="AO130" i="56"/>
  <c r="K131" i="56"/>
  <c r="AO131" i="56"/>
  <c r="K132" i="56"/>
  <c r="AO132" i="56"/>
  <c r="K133" i="56"/>
  <c r="AO133" i="56"/>
  <c r="K134" i="56"/>
  <c r="AO134" i="56"/>
  <c r="K135" i="56"/>
  <c r="AO135" i="56"/>
  <c r="K136" i="56"/>
  <c r="AO136" i="56"/>
  <c r="K137" i="56"/>
  <c r="AO137" i="56"/>
  <c r="K138" i="56"/>
  <c r="AO138" i="56"/>
  <c r="K139" i="56"/>
  <c r="AO139" i="56"/>
  <c r="K140" i="56"/>
  <c r="AO140" i="56"/>
  <c r="K141" i="56"/>
  <c r="AO141" i="56"/>
  <c r="K142" i="56"/>
  <c r="AO142" i="56"/>
  <c r="K143" i="56"/>
  <c r="AO143" i="56"/>
  <c r="K144" i="56"/>
  <c r="AO144" i="56"/>
  <c r="K145" i="56"/>
  <c r="AO145" i="56"/>
  <c r="K146" i="56"/>
  <c r="AO146" i="56"/>
  <c r="K147" i="56"/>
  <c r="AO147" i="56"/>
  <c r="K148" i="56"/>
  <c r="AO148" i="56"/>
  <c r="K149" i="56"/>
  <c r="AO149" i="56"/>
  <c r="K150" i="56"/>
  <c r="AO150" i="56"/>
  <c r="K151" i="56"/>
  <c r="AO151" i="56"/>
  <c r="K152" i="56"/>
  <c r="AO152" i="56"/>
  <c r="K153" i="56"/>
  <c r="AO153" i="56"/>
  <c r="K154" i="56"/>
  <c r="AO154" i="56"/>
  <c r="K155" i="56"/>
  <c r="AO155" i="56"/>
  <c r="K156" i="56"/>
  <c r="AO156" i="56"/>
  <c r="K157" i="56"/>
  <c r="AO157" i="56"/>
  <c r="K158" i="56"/>
  <c r="T42" i="56"/>
  <c r="T158" i="56"/>
  <c r="AO158" i="56"/>
  <c r="K159" i="56"/>
  <c r="T159" i="56"/>
  <c r="AO159" i="56"/>
  <c r="K160" i="56"/>
  <c r="T160" i="56"/>
  <c r="AO160" i="56"/>
  <c r="K161" i="56"/>
  <c r="T161" i="56"/>
  <c r="AO161" i="56"/>
  <c r="K162" i="56"/>
  <c r="T162" i="56"/>
  <c r="AO162" i="56"/>
  <c r="K163" i="56"/>
  <c r="T163" i="56"/>
  <c r="AO163" i="56"/>
  <c r="K164" i="56"/>
  <c r="T164" i="56"/>
  <c r="AO164" i="56"/>
  <c r="K165" i="56"/>
  <c r="T165" i="56"/>
  <c r="AO165" i="56"/>
  <c r="K166" i="56"/>
  <c r="T166" i="56"/>
  <c r="AO166" i="56"/>
  <c r="K167" i="56"/>
  <c r="T167" i="56"/>
  <c r="AO167" i="56"/>
  <c r="K168" i="56"/>
  <c r="T168" i="56"/>
  <c r="AO168" i="56"/>
  <c r="K169" i="56"/>
  <c r="T169" i="56"/>
  <c r="AO169" i="56"/>
  <c r="K170" i="56"/>
  <c r="T170" i="56"/>
  <c r="AO170" i="56"/>
  <c r="K171" i="56"/>
  <c r="T171" i="56"/>
  <c r="AO171" i="56"/>
  <c r="K172" i="56"/>
  <c r="T172" i="56"/>
  <c r="AO172" i="56"/>
  <c r="K173" i="56"/>
  <c r="T173" i="56"/>
  <c r="AO173" i="56"/>
  <c r="K174" i="56"/>
  <c r="T174" i="56"/>
  <c r="AO174" i="56"/>
  <c r="K175" i="56"/>
  <c r="T175" i="56"/>
  <c r="AO175" i="56"/>
  <c r="K176" i="56"/>
  <c r="T176" i="56"/>
  <c r="AO176" i="56"/>
  <c r="K177" i="56"/>
  <c r="T177" i="56"/>
  <c r="AO177" i="56"/>
  <c r="K178" i="56"/>
  <c r="T178" i="56"/>
  <c r="AO178" i="56"/>
  <c r="K179" i="56"/>
  <c r="T179" i="56"/>
  <c r="AO179" i="56"/>
  <c r="K180" i="56"/>
  <c r="T180" i="56"/>
  <c r="AO180" i="56"/>
  <c r="K181" i="56"/>
  <c r="T181" i="56"/>
  <c r="AO181" i="56"/>
  <c r="K182" i="56"/>
  <c r="T182" i="56"/>
  <c r="AO182" i="56"/>
  <c r="K183" i="56"/>
  <c r="T183" i="56"/>
  <c r="AO183" i="56"/>
  <c r="K184" i="56"/>
  <c r="T184" i="56"/>
  <c r="AO184" i="56"/>
  <c r="K185" i="56"/>
  <c r="T185" i="56"/>
  <c r="AO185" i="56"/>
  <c r="K186" i="56"/>
  <c r="T186" i="56"/>
  <c r="AO186" i="56"/>
  <c r="K187" i="56"/>
  <c r="T187" i="56"/>
  <c r="AO187" i="56"/>
  <c r="K188" i="56"/>
  <c r="T188" i="56"/>
  <c r="AO188" i="56"/>
  <c r="K189" i="56"/>
  <c r="T189" i="56"/>
  <c r="AO189" i="56"/>
  <c r="K190" i="56"/>
  <c r="T190" i="56"/>
  <c r="AO190" i="56"/>
  <c r="K191" i="56"/>
  <c r="T191" i="56"/>
  <c r="AO191" i="56"/>
  <c r="K192" i="56"/>
  <c r="T192" i="56"/>
  <c r="AO192" i="56"/>
  <c r="K193" i="56"/>
  <c r="T193" i="56"/>
  <c r="AO193" i="56"/>
  <c r="K194" i="56"/>
  <c r="T194" i="56"/>
  <c r="AO194" i="56"/>
  <c r="K195" i="56"/>
  <c r="T195" i="56"/>
  <c r="AO195" i="56"/>
  <c r="K196" i="56"/>
  <c r="T196" i="56"/>
  <c r="AO196" i="56"/>
  <c r="K197" i="56"/>
  <c r="T197" i="56"/>
  <c r="AO197" i="56"/>
  <c r="K198" i="56"/>
  <c r="T198" i="56"/>
  <c r="AO198" i="56"/>
  <c r="F30" i="56"/>
  <c r="G30" i="56"/>
  <c r="G35" i="56"/>
  <c r="F35" i="56"/>
  <c r="E35" i="56"/>
  <c r="D35" i="56"/>
  <c r="C35" i="56"/>
  <c r="B35" i="56"/>
  <c r="B24" i="56"/>
  <c r="D199" i="56"/>
  <c r="M199" i="56"/>
  <c r="AH199" i="56"/>
  <c r="N199" i="56"/>
  <c r="AI199" i="56"/>
  <c r="F199" i="56"/>
  <c r="O199" i="56"/>
  <c r="AJ199" i="56"/>
  <c r="G199" i="56"/>
  <c r="P199" i="56"/>
  <c r="AK199" i="56"/>
  <c r="H199" i="56"/>
  <c r="Q199" i="56"/>
  <c r="AL199" i="56"/>
  <c r="I199" i="56"/>
  <c r="R199" i="56"/>
  <c r="AM199" i="56"/>
  <c r="J199" i="56"/>
  <c r="S199" i="56"/>
  <c r="AN199" i="56"/>
  <c r="K199" i="56"/>
  <c r="T199" i="56"/>
  <c r="AO199" i="56"/>
  <c r="D200" i="56"/>
  <c r="M200" i="56"/>
  <c r="AH200" i="56"/>
  <c r="N200" i="56"/>
  <c r="AI200" i="56"/>
  <c r="F200" i="56"/>
  <c r="O200" i="56"/>
  <c r="AJ200" i="56"/>
  <c r="G200" i="56"/>
  <c r="P200" i="56"/>
  <c r="AK200" i="56"/>
  <c r="H200" i="56"/>
  <c r="Q200" i="56"/>
  <c r="AL200" i="56"/>
  <c r="I200" i="56"/>
  <c r="R200" i="56"/>
  <c r="AM200" i="56"/>
  <c r="J200" i="56"/>
  <c r="S200" i="56"/>
  <c r="AN200" i="56"/>
  <c r="K200" i="56"/>
  <c r="T200" i="56"/>
  <c r="AO200" i="56"/>
  <c r="D201" i="56"/>
  <c r="M201" i="56"/>
  <c r="AH201" i="56"/>
  <c r="N201" i="56"/>
  <c r="AI201" i="56"/>
  <c r="F201" i="56"/>
  <c r="O201" i="56"/>
  <c r="AJ201" i="56"/>
  <c r="G201" i="56"/>
  <c r="P201" i="56"/>
  <c r="AK201" i="56"/>
  <c r="H201" i="56"/>
  <c r="Q201" i="56"/>
  <c r="AL201" i="56"/>
  <c r="I201" i="56"/>
  <c r="R201" i="56"/>
  <c r="AM201" i="56"/>
  <c r="J201" i="56"/>
  <c r="S201" i="56"/>
  <c r="AN201" i="56"/>
  <c r="K201" i="56"/>
  <c r="T201" i="56"/>
  <c r="AO201" i="56"/>
  <c r="D202" i="56"/>
  <c r="M202" i="56"/>
  <c r="AH202" i="56"/>
  <c r="N202" i="56"/>
  <c r="AI202" i="56"/>
  <c r="F202" i="56"/>
  <c r="O202" i="56"/>
  <c r="AJ202" i="56"/>
  <c r="G202" i="56"/>
  <c r="P202" i="56"/>
  <c r="AK202" i="56"/>
  <c r="H202" i="56"/>
  <c r="Q202" i="56"/>
  <c r="AL202" i="56"/>
  <c r="I202" i="56"/>
  <c r="R202" i="56"/>
  <c r="AM202" i="56"/>
  <c r="J202" i="56"/>
  <c r="S202" i="56"/>
  <c r="AN202" i="56"/>
  <c r="K202" i="56"/>
  <c r="T202" i="56"/>
  <c r="AO202" i="56"/>
  <c r="D203" i="56"/>
  <c r="M203" i="56"/>
  <c r="AH203" i="56"/>
  <c r="N203" i="56"/>
  <c r="AI203" i="56"/>
  <c r="F203" i="56"/>
  <c r="O203" i="56"/>
  <c r="AJ203" i="56"/>
  <c r="G203" i="56"/>
  <c r="P203" i="56"/>
  <c r="AK203" i="56"/>
  <c r="H203" i="56"/>
  <c r="Q203" i="56"/>
  <c r="AL203" i="56"/>
  <c r="I203" i="56"/>
  <c r="R203" i="56"/>
  <c r="AM203" i="56"/>
  <c r="J203" i="56"/>
  <c r="S203" i="56"/>
  <c r="AN203" i="56"/>
  <c r="K203" i="56"/>
  <c r="T203" i="56"/>
  <c r="AO203" i="56"/>
  <c r="D204" i="56"/>
  <c r="M204" i="56"/>
  <c r="AH204" i="56"/>
  <c r="N204" i="56"/>
  <c r="AI204" i="56"/>
  <c r="F204" i="56"/>
  <c r="O204" i="56"/>
  <c r="AJ204" i="56"/>
  <c r="G204" i="56"/>
  <c r="P204" i="56"/>
  <c r="AK204" i="56"/>
  <c r="H204" i="56"/>
  <c r="Q204" i="56"/>
  <c r="AL204" i="56"/>
  <c r="I204" i="56"/>
  <c r="R204" i="56"/>
  <c r="AM204" i="56"/>
  <c r="J204" i="56"/>
  <c r="S204" i="56"/>
  <c r="AN204" i="56"/>
  <c r="K204" i="56"/>
  <c r="T204" i="56"/>
  <c r="AO204" i="56"/>
  <c r="D205" i="56"/>
  <c r="M205" i="56"/>
  <c r="AH205" i="56"/>
  <c r="N205" i="56"/>
  <c r="AI205" i="56"/>
  <c r="F205" i="56"/>
  <c r="O205" i="56"/>
  <c r="AJ205" i="56"/>
  <c r="G205" i="56"/>
  <c r="P205" i="56"/>
  <c r="AK205" i="56"/>
  <c r="H205" i="56"/>
  <c r="Q205" i="56"/>
  <c r="AL205" i="56"/>
  <c r="I205" i="56"/>
  <c r="R205" i="56"/>
  <c r="AM205" i="56"/>
  <c r="J205" i="56"/>
  <c r="S205" i="56"/>
  <c r="AN205" i="56"/>
  <c r="K205" i="56"/>
  <c r="T205" i="56"/>
  <c r="AO205" i="56"/>
  <c r="D206" i="56"/>
  <c r="M206" i="56"/>
  <c r="AH206" i="56"/>
  <c r="N206" i="56"/>
  <c r="AI206" i="56"/>
  <c r="F206" i="56"/>
  <c r="O206" i="56"/>
  <c r="AJ206" i="56"/>
  <c r="G206" i="56"/>
  <c r="P206" i="56"/>
  <c r="AK206" i="56"/>
  <c r="H206" i="56"/>
  <c r="Q206" i="56"/>
  <c r="AL206" i="56"/>
  <c r="I206" i="56"/>
  <c r="R206" i="56"/>
  <c r="AM206" i="56"/>
  <c r="J206" i="56"/>
  <c r="S206" i="56"/>
  <c r="AN206" i="56"/>
  <c r="K206" i="56"/>
  <c r="T206" i="56"/>
  <c r="AO206" i="56"/>
  <c r="D207" i="56"/>
  <c r="M207" i="56"/>
  <c r="AH207" i="56"/>
  <c r="N207" i="56"/>
  <c r="AI207" i="56"/>
  <c r="F207" i="56"/>
  <c r="O207" i="56"/>
  <c r="AJ207" i="56"/>
  <c r="G207" i="56"/>
  <c r="P207" i="56"/>
  <c r="AK207" i="56"/>
  <c r="H207" i="56"/>
  <c r="Q207" i="56"/>
  <c r="AL207" i="56"/>
  <c r="I207" i="56"/>
  <c r="R207" i="56"/>
  <c r="AM207" i="56"/>
  <c r="J207" i="56"/>
  <c r="S207" i="56"/>
  <c r="AN207" i="56"/>
  <c r="K207" i="56"/>
  <c r="T207" i="56"/>
  <c r="AO207" i="56"/>
  <c r="D208" i="56"/>
  <c r="M208" i="56"/>
  <c r="AH208" i="56"/>
  <c r="N208" i="56"/>
  <c r="AI208" i="56"/>
  <c r="F208" i="56"/>
  <c r="O208" i="56"/>
  <c r="AJ208" i="56"/>
  <c r="G208" i="56"/>
  <c r="P208" i="56"/>
  <c r="AK208" i="56"/>
  <c r="H208" i="56"/>
  <c r="Q208" i="56"/>
  <c r="AL208" i="56"/>
  <c r="I208" i="56"/>
  <c r="R208" i="56"/>
  <c r="AM208" i="56"/>
  <c r="J208" i="56"/>
  <c r="S208" i="56"/>
  <c r="AN208" i="56"/>
  <c r="K208" i="56"/>
  <c r="T208" i="56"/>
  <c r="AO208" i="56"/>
  <c r="D209" i="56"/>
  <c r="M209" i="56"/>
  <c r="AH209" i="56"/>
  <c r="N209" i="56"/>
  <c r="AI209" i="56"/>
  <c r="F209" i="56"/>
  <c r="O209" i="56"/>
  <c r="AJ209" i="56"/>
  <c r="G209" i="56"/>
  <c r="P209" i="56"/>
  <c r="AK209" i="56"/>
  <c r="H209" i="56"/>
  <c r="Q209" i="56"/>
  <c r="AL209" i="56"/>
  <c r="I209" i="56"/>
  <c r="R209" i="56"/>
  <c r="AM209" i="56"/>
  <c r="J209" i="56"/>
  <c r="S209" i="56"/>
  <c r="AN209" i="56"/>
  <c r="K209" i="56"/>
  <c r="T209" i="56"/>
  <c r="AO209" i="56"/>
  <c r="D210" i="56"/>
  <c r="M210" i="56"/>
  <c r="AH210" i="56"/>
  <c r="N210" i="56"/>
  <c r="AI210" i="56"/>
  <c r="F210" i="56"/>
  <c r="O210" i="56"/>
  <c r="AJ210" i="56"/>
  <c r="G210" i="56"/>
  <c r="P210" i="56"/>
  <c r="AK210" i="56"/>
  <c r="H210" i="56"/>
  <c r="Q210" i="56"/>
  <c r="AL210" i="56"/>
  <c r="I210" i="56"/>
  <c r="R210" i="56"/>
  <c r="AM210" i="56"/>
  <c r="J210" i="56"/>
  <c r="S210" i="56"/>
  <c r="AN210" i="56"/>
  <c r="K210" i="56"/>
  <c r="T210" i="56"/>
  <c r="AO210" i="56"/>
  <c r="D211" i="56"/>
  <c r="M211" i="56"/>
  <c r="AH211" i="56"/>
  <c r="N211" i="56"/>
  <c r="AI211" i="56"/>
  <c r="F211" i="56"/>
  <c r="O211" i="56"/>
  <c r="AJ211" i="56"/>
  <c r="G211" i="56"/>
  <c r="P211" i="56"/>
  <c r="AK211" i="56"/>
  <c r="H211" i="56"/>
  <c r="Q211" i="56"/>
  <c r="AL211" i="56"/>
  <c r="I211" i="56"/>
  <c r="R211" i="56"/>
  <c r="AM211" i="56"/>
  <c r="J211" i="56"/>
  <c r="S211" i="56"/>
  <c r="AN211" i="56"/>
  <c r="K211" i="56"/>
  <c r="T211" i="56"/>
  <c r="AO211" i="56"/>
  <c r="D212" i="56"/>
  <c r="M212" i="56"/>
  <c r="AH212" i="56"/>
  <c r="N212" i="56"/>
  <c r="AI212" i="56"/>
  <c r="F212" i="56"/>
  <c r="O212" i="56"/>
  <c r="AJ212" i="56"/>
  <c r="G212" i="56"/>
  <c r="P212" i="56"/>
  <c r="AK212" i="56"/>
  <c r="H212" i="56"/>
  <c r="Q212" i="56"/>
  <c r="AL212" i="56"/>
  <c r="I212" i="56"/>
  <c r="R212" i="56"/>
  <c r="AM212" i="56"/>
  <c r="J212" i="56"/>
  <c r="S212" i="56"/>
  <c r="AN212" i="56"/>
  <c r="K212" i="56"/>
  <c r="T212" i="56"/>
  <c r="AO212" i="56"/>
  <c r="D213" i="56"/>
  <c r="M213" i="56"/>
  <c r="AH213" i="56"/>
  <c r="N213" i="56"/>
  <c r="AI213" i="56"/>
  <c r="F213" i="56"/>
  <c r="O213" i="56"/>
  <c r="AJ213" i="56"/>
  <c r="G213" i="56"/>
  <c r="P213" i="56"/>
  <c r="AK213" i="56"/>
  <c r="H213" i="56"/>
  <c r="Q213" i="56"/>
  <c r="AL213" i="56"/>
  <c r="I213" i="56"/>
  <c r="R213" i="56"/>
  <c r="AM213" i="56"/>
  <c r="J213" i="56"/>
  <c r="S213" i="56"/>
  <c r="AN213" i="56"/>
  <c r="K213" i="56"/>
  <c r="T213" i="56"/>
  <c r="AO213" i="56"/>
  <c r="D214" i="56"/>
  <c r="M214" i="56"/>
  <c r="AH214" i="56"/>
  <c r="N214" i="56"/>
  <c r="AI214" i="56"/>
  <c r="F214" i="56"/>
  <c r="O214" i="56"/>
  <c r="AJ214" i="56"/>
  <c r="G214" i="56"/>
  <c r="P214" i="56"/>
  <c r="AK214" i="56"/>
  <c r="H214" i="56"/>
  <c r="Q214" i="56"/>
  <c r="AL214" i="56"/>
  <c r="I214" i="56"/>
  <c r="R214" i="56"/>
  <c r="AM214" i="56"/>
  <c r="J214" i="56"/>
  <c r="S214" i="56"/>
  <c r="AN214" i="56"/>
  <c r="K214" i="56"/>
  <c r="T214" i="56"/>
  <c r="AO214" i="56"/>
  <c r="D215" i="56"/>
  <c r="M215" i="56"/>
  <c r="AH215" i="56"/>
  <c r="N215" i="56"/>
  <c r="AI215" i="56"/>
  <c r="F215" i="56"/>
  <c r="O215" i="56"/>
  <c r="AJ215" i="56"/>
  <c r="G215" i="56"/>
  <c r="P215" i="56"/>
  <c r="AK215" i="56"/>
  <c r="H215" i="56"/>
  <c r="Q215" i="56"/>
  <c r="AL215" i="56"/>
  <c r="I215" i="56"/>
  <c r="R215" i="56"/>
  <c r="AM215" i="56"/>
  <c r="J215" i="56"/>
  <c r="S215" i="56"/>
  <c r="AN215" i="56"/>
  <c r="K215" i="56"/>
  <c r="T215" i="56"/>
  <c r="AO215" i="56"/>
  <c r="D216" i="56"/>
  <c r="M216" i="56"/>
  <c r="AH216" i="56"/>
  <c r="N216" i="56"/>
  <c r="AI216" i="56"/>
  <c r="F216" i="56"/>
  <c r="O216" i="56"/>
  <c r="AJ216" i="56"/>
  <c r="G216" i="56"/>
  <c r="P216" i="56"/>
  <c r="AK216" i="56"/>
  <c r="H216" i="56"/>
  <c r="Q216" i="56"/>
  <c r="AL216" i="56"/>
  <c r="I216" i="56"/>
  <c r="R216" i="56"/>
  <c r="AM216" i="56"/>
  <c r="J216" i="56"/>
  <c r="S216" i="56"/>
  <c r="AN216" i="56"/>
  <c r="K216" i="56"/>
  <c r="T216" i="56"/>
  <c r="AO216" i="56"/>
  <c r="D217" i="56"/>
  <c r="M217" i="56"/>
  <c r="AH217" i="56"/>
  <c r="N217" i="56"/>
  <c r="AI217" i="56"/>
  <c r="F217" i="56"/>
  <c r="O217" i="56"/>
  <c r="AJ217" i="56"/>
  <c r="G217" i="56"/>
  <c r="P217" i="56"/>
  <c r="AK217" i="56"/>
  <c r="H217" i="56"/>
  <c r="Q217" i="56"/>
  <c r="AL217" i="56"/>
  <c r="I217" i="56"/>
  <c r="R217" i="56"/>
  <c r="AM217" i="56"/>
  <c r="J217" i="56"/>
  <c r="S217" i="56"/>
  <c r="AN217" i="56"/>
  <c r="K217" i="56"/>
  <c r="T217" i="56"/>
  <c r="AO217" i="56"/>
  <c r="D218" i="56"/>
  <c r="M218" i="56"/>
  <c r="AH218" i="56"/>
  <c r="N218" i="56"/>
  <c r="AI218" i="56"/>
  <c r="F218" i="56"/>
  <c r="O218" i="56"/>
  <c r="AJ218" i="56"/>
  <c r="G218" i="56"/>
  <c r="P218" i="56"/>
  <c r="AK218" i="56"/>
  <c r="H218" i="56"/>
  <c r="Q218" i="56"/>
  <c r="AL218" i="56"/>
  <c r="I218" i="56"/>
  <c r="R218" i="56"/>
  <c r="AM218" i="56"/>
  <c r="J218" i="56"/>
  <c r="S218" i="56"/>
  <c r="AN218" i="56"/>
  <c r="K218" i="56"/>
  <c r="T218" i="56"/>
  <c r="AO218" i="56"/>
  <c r="D219" i="56"/>
  <c r="M219" i="56"/>
  <c r="AH219" i="56"/>
  <c r="N219" i="56"/>
  <c r="AI219" i="56"/>
  <c r="F219" i="56"/>
  <c r="O219" i="56"/>
  <c r="AJ219" i="56"/>
  <c r="G219" i="56"/>
  <c r="P219" i="56"/>
  <c r="AK219" i="56"/>
  <c r="H219" i="56"/>
  <c r="Q219" i="56"/>
  <c r="AL219" i="56"/>
  <c r="I219" i="56"/>
  <c r="R219" i="56"/>
  <c r="AM219" i="56"/>
  <c r="J219" i="56"/>
  <c r="S219" i="56"/>
  <c r="AN219" i="56"/>
  <c r="K219" i="56"/>
  <c r="T219" i="56"/>
  <c r="AO219" i="56"/>
  <c r="D220" i="56"/>
  <c r="M220" i="56"/>
  <c r="AH220" i="56"/>
  <c r="N220" i="56"/>
  <c r="AI220" i="56"/>
  <c r="F220" i="56"/>
  <c r="O220" i="56"/>
  <c r="AJ220" i="56"/>
  <c r="G220" i="56"/>
  <c r="P220" i="56"/>
  <c r="AK220" i="56"/>
  <c r="H220" i="56"/>
  <c r="Q220" i="56"/>
  <c r="AL220" i="56"/>
  <c r="I220" i="56"/>
  <c r="R220" i="56"/>
  <c r="AM220" i="56"/>
  <c r="J220" i="56"/>
  <c r="S220" i="56"/>
  <c r="AN220" i="56"/>
  <c r="K220" i="56"/>
  <c r="T220" i="56"/>
  <c r="AO220" i="56"/>
  <c r="D221" i="56"/>
  <c r="M221" i="56"/>
  <c r="AH221" i="56"/>
  <c r="N221" i="56"/>
  <c r="AI221" i="56"/>
  <c r="F221" i="56"/>
  <c r="O221" i="56"/>
  <c r="AJ221" i="56"/>
  <c r="G221" i="56"/>
  <c r="P221" i="56"/>
  <c r="AK221" i="56"/>
  <c r="H221" i="56"/>
  <c r="Q221" i="56"/>
  <c r="AL221" i="56"/>
  <c r="I221" i="56"/>
  <c r="R221" i="56"/>
  <c r="AM221" i="56"/>
  <c r="J221" i="56"/>
  <c r="S221" i="56"/>
  <c r="AN221" i="56"/>
  <c r="K221" i="56"/>
  <c r="T221" i="56"/>
  <c r="AO221" i="56"/>
  <c r="D222" i="56"/>
  <c r="M222" i="56"/>
  <c r="AH222" i="56"/>
  <c r="N222" i="56"/>
  <c r="AI222" i="56"/>
  <c r="F222" i="56"/>
  <c r="O222" i="56"/>
  <c r="AJ222" i="56"/>
  <c r="G222" i="56"/>
  <c r="P222" i="56"/>
  <c r="AK222" i="56"/>
  <c r="H222" i="56"/>
  <c r="Q222" i="56"/>
  <c r="AL222" i="56"/>
  <c r="I222" i="56"/>
  <c r="R222" i="56"/>
  <c r="AM222" i="56"/>
  <c r="J222" i="56"/>
  <c r="S222" i="56"/>
  <c r="AN222" i="56"/>
  <c r="K222" i="56"/>
  <c r="T222" i="56"/>
  <c r="AO222" i="56"/>
  <c r="D223" i="56"/>
  <c r="M223" i="56"/>
  <c r="AH223" i="56"/>
  <c r="N223" i="56"/>
  <c r="AI223" i="56"/>
  <c r="F223" i="56"/>
  <c r="O223" i="56"/>
  <c r="AJ223" i="56"/>
  <c r="G223" i="56"/>
  <c r="P223" i="56"/>
  <c r="AK223" i="56"/>
  <c r="H223" i="56"/>
  <c r="Q223" i="56"/>
  <c r="AL223" i="56"/>
  <c r="I223" i="56"/>
  <c r="R223" i="56"/>
  <c r="AM223" i="56"/>
  <c r="J223" i="56"/>
  <c r="S223" i="56"/>
  <c r="AN223" i="56"/>
  <c r="K223" i="56"/>
  <c r="T223" i="56"/>
  <c r="AO223" i="56"/>
  <c r="D224" i="56"/>
  <c r="M224" i="56"/>
  <c r="AH224" i="56"/>
  <c r="N224" i="56"/>
  <c r="AI224" i="56"/>
  <c r="F224" i="56"/>
  <c r="O224" i="56"/>
  <c r="AJ224" i="56"/>
  <c r="G224" i="56"/>
  <c r="P224" i="56"/>
  <c r="AK224" i="56"/>
  <c r="H224" i="56"/>
  <c r="Q224" i="56"/>
  <c r="AL224" i="56"/>
  <c r="I224" i="56"/>
  <c r="R224" i="56"/>
  <c r="AM224" i="56"/>
  <c r="J224" i="56"/>
  <c r="S224" i="56"/>
  <c r="AN224" i="56"/>
  <c r="K224" i="56"/>
  <c r="T224" i="56"/>
  <c r="AO224" i="56"/>
  <c r="D225" i="56"/>
  <c r="M225" i="56"/>
  <c r="AH225" i="56"/>
  <c r="N225" i="56"/>
  <c r="AI225" i="56"/>
  <c r="F225" i="56"/>
  <c r="O225" i="56"/>
  <c r="AJ225" i="56"/>
  <c r="G225" i="56"/>
  <c r="P225" i="56"/>
  <c r="AK225" i="56"/>
  <c r="H225" i="56"/>
  <c r="Q225" i="56"/>
  <c r="AL225" i="56"/>
  <c r="I225" i="56"/>
  <c r="R225" i="56"/>
  <c r="AM225" i="56"/>
  <c r="J225" i="56"/>
  <c r="S225" i="56"/>
  <c r="AN225" i="56"/>
  <c r="K225" i="56"/>
  <c r="T225" i="56"/>
  <c r="AO225" i="56"/>
  <c r="D226" i="56"/>
  <c r="M226" i="56"/>
  <c r="AH226" i="56"/>
  <c r="N226" i="56"/>
  <c r="AI226" i="56"/>
  <c r="F226" i="56"/>
  <c r="O226" i="56"/>
  <c r="AJ226" i="56"/>
  <c r="G226" i="56"/>
  <c r="P226" i="56"/>
  <c r="AK226" i="56"/>
  <c r="H226" i="56"/>
  <c r="Q226" i="56"/>
  <c r="AL226" i="56"/>
  <c r="I226" i="56"/>
  <c r="R226" i="56"/>
  <c r="AM226" i="56"/>
  <c r="J226" i="56"/>
  <c r="S226" i="56"/>
  <c r="AN226" i="56"/>
  <c r="K226" i="56"/>
  <c r="T226" i="56"/>
  <c r="AO226" i="56"/>
  <c r="D227" i="56"/>
  <c r="M227" i="56"/>
  <c r="AH227" i="56"/>
  <c r="N227" i="56"/>
  <c r="AI227" i="56"/>
  <c r="F227" i="56"/>
  <c r="O227" i="56"/>
  <c r="AJ227" i="56"/>
  <c r="G227" i="56"/>
  <c r="P227" i="56"/>
  <c r="AK227" i="56"/>
  <c r="H227" i="56"/>
  <c r="Q227" i="56"/>
  <c r="AL227" i="56"/>
  <c r="I227" i="56"/>
  <c r="R227" i="56"/>
  <c r="AM227" i="56"/>
  <c r="J227" i="56"/>
  <c r="S227" i="56"/>
  <c r="AN227" i="56"/>
  <c r="K227" i="56"/>
  <c r="T227" i="56"/>
  <c r="AO227" i="56"/>
  <c r="D228" i="56"/>
  <c r="M228" i="56"/>
  <c r="AH228" i="56"/>
  <c r="N228" i="56"/>
  <c r="AI228" i="56"/>
  <c r="F228" i="56"/>
  <c r="O228" i="56"/>
  <c r="AJ228" i="56"/>
  <c r="G228" i="56"/>
  <c r="P228" i="56"/>
  <c r="AK228" i="56"/>
  <c r="H228" i="56"/>
  <c r="Q228" i="56"/>
  <c r="AL228" i="56"/>
  <c r="I228" i="56"/>
  <c r="R228" i="56"/>
  <c r="AM228" i="56"/>
  <c r="J228" i="56"/>
  <c r="S228" i="56"/>
  <c r="AN228" i="56"/>
  <c r="K228" i="56"/>
  <c r="T228" i="56"/>
  <c r="AO228" i="56"/>
  <c r="D229" i="56"/>
  <c r="M229" i="56"/>
  <c r="AH229" i="56"/>
  <c r="N229" i="56"/>
  <c r="AI229" i="56"/>
  <c r="F229" i="56"/>
  <c r="O229" i="56"/>
  <c r="AJ229" i="56"/>
  <c r="G229" i="56"/>
  <c r="P229" i="56"/>
  <c r="AK229" i="56"/>
  <c r="H229" i="56"/>
  <c r="Q229" i="56"/>
  <c r="AL229" i="56"/>
  <c r="I229" i="56"/>
  <c r="R229" i="56"/>
  <c r="AM229" i="56"/>
  <c r="J229" i="56"/>
  <c r="S229" i="56"/>
  <c r="AN229" i="56"/>
  <c r="K229" i="56"/>
  <c r="T229" i="56"/>
  <c r="AO229" i="56"/>
  <c r="D230" i="56"/>
  <c r="M230" i="56"/>
  <c r="AH230" i="56"/>
  <c r="N230" i="56"/>
  <c r="AI230" i="56"/>
  <c r="F230" i="56"/>
  <c r="O230" i="56"/>
  <c r="AJ230" i="56"/>
  <c r="G230" i="56"/>
  <c r="P230" i="56"/>
  <c r="AK230" i="56"/>
  <c r="H230" i="56"/>
  <c r="Q230" i="56"/>
  <c r="AL230" i="56"/>
  <c r="I230" i="56"/>
  <c r="R230" i="56"/>
  <c r="AM230" i="56"/>
  <c r="J230" i="56"/>
  <c r="S230" i="56"/>
  <c r="AN230" i="56"/>
  <c r="K230" i="56"/>
  <c r="T230" i="56"/>
  <c r="AO230" i="56"/>
  <c r="D231" i="56"/>
  <c r="M231" i="56"/>
  <c r="AH231" i="56"/>
  <c r="N231" i="56"/>
  <c r="AI231" i="56"/>
  <c r="F231" i="56"/>
  <c r="O231" i="56"/>
  <c r="AJ231" i="56"/>
  <c r="G231" i="56"/>
  <c r="P231" i="56"/>
  <c r="AK231" i="56"/>
  <c r="H231" i="56"/>
  <c r="Q231" i="56"/>
  <c r="AL231" i="56"/>
  <c r="I231" i="56"/>
  <c r="R231" i="56"/>
  <c r="AM231" i="56"/>
  <c r="J231" i="56"/>
  <c r="S231" i="56"/>
  <c r="AN231" i="56"/>
  <c r="K231" i="56"/>
  <c r="T231" i="56"/>
  <c r="AO231" i="56"/>
  <c r="D232" i="56"/>
  <c r="M232" i="56"/>
  <c r="AH232" i="56"/>
  <c r="N232" i="56"/>
  <c r="AI232" i="56"/>
  <c r="F232" i="56"/>
  <c r="O232" i="56"/>
  <c r="AJ232" i="56"/>
  <c r="G232" i="56"/>
  <c r="P232" i="56"/>
  <c r="AK232" i="56"/>
  <c r="H232" i="56"/>
  <c r="Q232" i="56"/>
  <c r="AL232" i="56"/>
  <c r="I232" i="56"/>
  <c r="R232" i="56"/>
  <c r="AM232" i="56"/>
  <c r="J232" i="56"/>
  <c r="S232" i="56"/>
  <c r="AN232" i="56"/>
  <c r="K232" i="56"/>
  <c r="T232" i="56"/>
  <c r="AO232" i="56"/>
  <c r="D233" i="56"/>
  <c r="M233" i="56"/>
  <c r="AH233" i="56"/>
  <c r="N233" i="56"/>
  <c r="AI233" i="56"/>
  <c r="F233" i="56"/>
  <c r="O233" i="56"/>
  <c r="AJ233" i="56"/>
  <c r="G233" i="56"/>
  <c r="P233" i="56"/>
  <c r="AK233" i="56"/>
  <c r="H233" i="56"/>
  <c r="Q233" i="56"/>
  <c r="AL233" i="56"/>
  <c r="I233" i="56"/>
  <c r="R233" i="56"/>
  <c r="AM233" i="56"/>
  <c r="J233" i="56"/>
  <c r="S233" i="56"/>
  <c r="AN233" i="56"/>
  <c r="K233" i="56"/>
  <c r="T233" i="56"/>
  <c r="AO233" i="56"/>
  <c r="D234" i="56"/>
  <c r="M234" i="56"/>
  <c r="AH234" i="56"/>
  <c r="N234" i="56"/>
  <c r="AI234" i="56"/>
  <c r="F234" i="56"/>
  <c r="O234" i="56"/>
  <c r="AJ234" i="56"/>
  <c r="G234" i="56"/>
  <c r="P234" i="56"/>
  <c r="AK234" i="56"/>
  <c r="H234" i="56"/>
  <c r="Q234" i="56"/>
  <c r="AL234" i="56"/>
  <c r="I234" i="56"/>
  <c r="R234" i="56"/>
  <c r="AM234" i="56"/>
  <c r="J234" i="56"/>
  <c r="S234" i="56"/>
  <c r="AN234" i="56"/>
  <c r="K234" i="56"/>
  <c r="T234" i="56"/>
  <c r="AO234" i="56"/>
  <c r="D235" i="56"/>
  <c r="M235" i="56"/>
  <c r="AH235" i="56"/>
  <c r="N235" i="56"/>
  <c r="AI235" i="56"/>
  <c r="F235" i="56"/>
  <c r="O235" i="56"/>
  <c r="AJ235" i="56"/>
  <c r="G235" i="56"/>
  <c r="P235" i="56"/>
  <c r="AK235" i="56"/>
  <c r="H235" i="56"/>
  <c r="Q235" i="56"/>
  <c r="AL235" i="56"/>
  <c r="I235" i="56"/>
  <c r="R235" i="56"/>
  <c r="AM235" i="56"/>
  <c r="J235" i="56"/>
  <c r="S235" i="56"/>
  <c r="AN235" i="56"/>
  <c r="K235" i="56"/>
  <c r="T235" i="56"/>
  <c r="AO235" i="56"/>
  <c r="D236" i="56"/>
  <c r="M236" i="56"/>
  <c r="AH236" i="56"/>
  <c r="N236" i="56"/>
  <c r="AI236" i="56"/>
  <c r="F236" i="56"/>
  <c r="O236" i="56"/>
  <c r="AJ236" i="56"/>
  <c r="G236" i="56"/>
  <c r="P236" i="56"/>
  <c r="AK236" i="56"/>
  <c r="H236" i="56"/>
  <c r="Q236" i="56"/>
  <c r="AL236" i="56"/>
  <c r="I236" i="56"/>
  <c r="R236" i="56"/>
  <c r="AM236" i="56"/>
  <c r="J236" i="56"/>
  <c r="S236" i="56"/>
  <c r="AN236" i="56"/>
  <c r="K236" i="56"/>
  <c r="T236" i="56"/>
  <c r="AO236" i="56"/>
  <c r="D237" i="56"/>
  <c r="M237" i="56"/>
  <c r="AH237" i="56"/>
  <c r="N237" i="56"/>
  <c r="AI237" i="56"/>
  <c r="F237" i="56"/>
  <c r="O237" i="56"/>
  <c r="AJ237" i="56"/>
  <c r="G237" i="56"/>
  <c r="P237" i="56"/>
  <c r="AK237" i="56"/>
  <c r="H237" i="56"/>
  <c r="Q237" i="56"/>
  <c r="AL237" i="56"/>
  <c r="I237" i="56"/>
  <c r="R237" i="56"/>
  <c r="AM237" i="56"/>
  <c r="J237" i="56"/>
  <c r="S237" i="56"/>
  <c r="AN237" i="56"/>
  <c r="K237" i="56"/>
  <c r="T237" i="56"/>
  <c r="AO237" i="56"/>
  <c r="D238" i="56"/>
  <c r="M238" i="56"/>
  <c r="AH238" i="56"/>
  <c r="N238" i="56"/>
  <c r="AI238" i="56"/>
  <c r="F238" i="56"/>
  <c r="O238" i="56"/>
  <c r="AJ238" i="56"/>
  <c r="G238" i="56"/>
  <c r="P238" i="56"/>
  <c r="AK238" i="56"/>
  <c r="H238" i="56"/>
  <c r="Q238" i="56"/>
  <c r="AL238" i="56"/>
  <c r="I238" i="56"/>
  <c r="R238" i="56"/>
  <c r="AM238" i="56"/>
  <c r="J238" i="56"/>
  <c r="S238" i="56"/>
  <c r="AN238" i="56"/>
  <c r="K238" i="56"/>
  <c r="T238" i="56"/>
  <c r="AO238" i="56"/>
  <c r="M239" i="56"/>
  <c r="V40" i="56"/>
  <c r="V239" i="56"/>
  <c r="AH239" i="56"/>
  <c r="W239" i="56"/>
  <c r="AI239" i="56"/>
  <c r="O239" i="56"/>
  <c r="X40" i="56"/>
  <c r="X239" i="56"/>
  <c r="AJ239" i="56"/>
  <c r="P239" i="56"/>
  <c r="Y41" i="56"/>
  <c r="Y239" i="56"/>
  <c r="AK239" i="56"/>
  <c r="Q239" i="56"/>
  <c r="Z41" i="56"/>
  <c r="Z239" i="56"/>
  <c r="AL239" i="56"/>
  <c r="R239" i="56"/>
  <c r="AA239" i="56"/>
  <c r="AM239" i="56"/>
  <c r="S239" i="56"/>
  <c r="AB239" i="56"/>
  <c r="AN239" i="56"/>
  <c r="T239" i="56"/>
  <c r="AC42" i="56"/>
  <c r="AC239" i="56"/>
  <c r="AO239" i="56"/>
  <c r="M240" i="56"/>
  <c r="V240" i="56"/>
  <c r="AH240" i="56"/>
  <c r="W240" i="56"/>
  <c r="AI240" i="56"/>
  <c r="O240" i="56"/>
  <c r="X240" i="56"/>
  <c r="AJ240" i="56"/>
  <c r="P240" i="56"/>
  <c r="Y240" i="56"/>
  <c r="AK240" i="56"/>
  <c r="Q240" i="56"/>
  <c r="Z240" i="56"/>
  <c r="AL240" i="56"/>
  <c r="R240" i="56"/>
  <c r="AA240" i="56"/>
  <c r="AM240" i="56"/>
  <c r="S240" i="56"/>
  <c r="AB240" i="56"/>
  <c r="AN240" i="56"/>
  <c r="T240" i="56"/>
  <c r="AC240" i="56"/>
  <c r="AO240" i="56"/>
  <c r="M241" i="56"/>
  <c r="V241" i="56"/>
  <c r="AH241" i="56"/>
  <c r="W241" i="56"/>
  <c r="AI241" i="56"/>
  <c r="O241" i="56"/>
  <c r="X241" i="56"/>
  <c r="AJ241" i="56"/>
  <c r="P241" i="56"/>
  <c r="Y241" i="56"/>
  <c r="AK241" i="56"/>
  <c r="Q241" i="56"/>
  <c r="Z241" i="56"/>
  <c r="AL241" i="56"/>
  <c r="R241" i="56"/>
  <c r="AA241" i="56"/>
  <c r="AM241" i="56"/>
  <c r="S241" i="56"/>
  <c r="AB241" i="56"/>
  <c r="AN241" i="56"/>
  <c r="T241" i="56"/>
  <c r="AC241" i="56"/>
  <c r="AO241" i="56"/>
  <c r="M242" i="56"/>
  <c r="V242" i="56"/>
  <c r="AH242" i="56"/>
  <c r="W242" i="56"/>
  <c r="AI242" i="56"/>
  <c r="O242" i="56"/>
  <c r="X242" i="56"/>
  <c r="AJ242" i="56"/>
  <c r="P242" i="56"/>
  <c r="Y242" i="56"/>
  <c r="AK242" i="56"/>
  <c r="Q242" i="56"/>
  <c r="Z242" i="56"/>
  <c r="AL242" i="56"/>
  <c r="R242" i="56"/>
  <c r="AA242" i="56"/>
  <c r="AM242" i="56"/>
  <c r="S242" i="56"/>
  <c r="AB242" i="56"/>
  <c r="AN242" i="56"/>
  <c r="T242" i="56"/>
  <c r="AC242" i="56"/>
  <c r="AO242" i="56"/>
  <c r="M243" i="56"/>
  <c r="V243" i="56"/>
  <c r="AH243" i="56"/>
  <c r="W243" i="56"/>
  <c r="AI243" i="56"/>
  <c r="O243" i="56"/>
  <c r="X243" i="56"/>
  <c r="AJ243" i="56"/>
  <c r="P243" i="56"/>
  <c r="Y243" i="56"/>
  <c r="AK243" i="56"/>
  <c r="Q243" i="56"/>
  <c r="Z243" i="56"/>
  <c r="AL243" i="56"/>
  <c r="R243" i="56"/>
  <c r="AA243" i="56"/>
  <c r="AM243" i="56"/>
  <c r="S243" i="56"/>
  <c r="AB243" i="56"/>
  <c r="AN243" i="56"/>
  <c r="T243" i="56"/>
  <c r="AC243" i="56"/>
  <c r="AO243" i="56"/>
  <c r="M244" i="56"/>
  <c r="V244" i="56"/>
  <c r="AH244" i="56"/>
  <c r="W244" i="56"/>
  <c r="AI244" i="56"/>
  <c r="O244" i="56"/>
  <c r="X244" i="56"/>
  <c r="AJ244" i="56"/>
  <c r="P244" i="56"/>
  <c r="Y244" i="56"/>
  <c r="AK244" i="56"/>
  <c r="Q244" i="56"/>
  <c r="Z244" i="56"/>
  <c r="AL244" i="56"/>
  <c r="R244" i="56"/>
  <c r="AA244" i="56"/>
  <c r="AM244" i="56"/>
  <c r="S244" i="56"/>
  <c r="AB244" i="56"/>
  <c r="AN244" i="56"/>
  <c r="T244" i="56"/>
  <c r="AC244" i="56"/>
  <c r="AO244" i="56"/>
  <c r="M245" i="56"/>
  <c r="V245" i="56"/>
  <c r="AH245" i="56"/>
  <c r="W245" i="56"/>
  <c r="AI245" i="56"/>
  <c r="O245" i="56"/>
  <c r="X245" i="56"/>
  <c r="AJ245" i="56"/>
  <c r="P245" i="56"/>
  <c r="Y245" i="56"/>
  <c r="AK245" i="56"/>
  <c r="Q245" i="56"/>
  <c r="Z245" i="56"/>
  <c r="AL245" i="56"/>
  <c r="R245" i="56"/>
  <c r="AA245" i="56"/>
  <c r="AM245" i="56"/>
  <c r="S245" i="56"/>
  <c r="AB245" i="56"/>
  <c r="AN245" i="56"/>
  <c r="T245" i="56"/>
  <c r="AC245" i="56"/>
  <c r="AO245" i="56"/>
  <c r="M246" i="56"/>
  <c r="V246" i="56"/>
  <c r="AH246" i="56"/>
  <c r="W246" i="56"/>
  <c r="AI246" i="56"/>
  <c r="O246" i="56"/>
  <c r="X246" i="56"/>
  <c r="AJ246" i="56"/>
  <c r="P246" i="56"/>
  <c r="Y246" i="56"/>
  <c r="AK246" i="56"/>
  <c r="Q246" i="56"/>
  <c r="Z246" i="56"/>
  <c r="AL246" i="56"/>
  <c r="R246" i="56"/>
  <c r="AA246" i="56"/>
  <c r="AM246" i="56"/>
  <c r="S246" i="56"/>
  <c r="AB246" i="56"/>
  <c r="AN246" i="56"/>
  <c r="T246" i="56"/>
  <c r="AC246" i="56"/>
  <c r="AO246" i="56"/>
  <c r="M247" i="56"/>
  <c r="V247" i="56"/>
  <c r="AH247" i="56"/>
  <c r="W247" i="56"/>
  <c r="AI247" i="56"/>
  <c r="O247" i="56"/>
  <c r="X247" i="56"/>
  <c r="AJ247" i="56"/>
  <c r="P247" i="56"/>
  <c r="Y247" i="56"/>
  <c r="AK247" i="56"/>
  <c r="Q247" i="56"/>
  <c r="Z247" i="56"/>
  <c r="AL247" i="56"/>
  <c r="R247" i="56"/>
  <c r="AA247" i="56"/>
  <c r="AM247" i="56"/>
  <c r="S247" i="56"/>
  <c r="AB247" i="56"/>
  <c r="AN247" i="56"/>
  <c r="T247" i="56"/>
  <c r="AC247" i="56"/>
  <c r="AO247" i="56"/>
  <c r="M248" i="56"/>
  <c r="V248" i="56"/>
  <c r="AH248" i="56"/>
  <c r="W248" i="56"/>
  <c r="AI248" i="56"/>
  <c r="O248" i="56"/>
  <c r="X248" i="56"/>
  <c r="AJ248" i="56"/>
  <c r="P248" i="56"/>
  <c r="Y248" i="56"/>
  <c r="AK248" i="56"/>
  <c r="Q248" i="56"/>
  <c r="Z248" i="56"/>
  <c r="AL248" i="56"/>
  <c r="R248" i="56"/>
  <c r="AA248" i="56"/>
  <c r="AM248" i="56"/>
  <c r="S248" i="56"/>
  <c r="AB248" i="56"/>
  <c r="AN248" i="56"/>
  <c r="T248" i="56"/>
  <c r="AC248" i="56"/>
  <c r="AO248" i="56"/>
  <c r="M249" i="56"/>
  <c r="V249" i="56"/>
  <c r="AH249" i="56"/>
  <c r="W249" i="56"/>
  <c r="AI249" i="56"/>
  <c r="O249" i="56"/>
  <c r="X249" i="56"/>
  <c r="AJ249" i="56"/>
  <c r="P249" i="56"/>
  <c r="Y249" i="56"/>
  <c r="AK249" i="56"/>
  <c r="Q249" i="56"/>
  <c r="Z249" i="56"/>
  <c r="AL249" i="56"/>
  <c r="R249" i="56"/>
  <c r="AA249" i="56"/>
  <c r="AM249" i="56"/>
  <c r="S249" i="56"/>
  <c r="AB249" i="56"/>
  <c r="AN249" i="56"/>
  <c r="T249" i="56"/>
  <c r="AC249" i="56"/>
  <c r="AO249" i="56"/>
  <c r="M250" i="56"/>
  <c r="V250" i="56"/>
  <c r="AH250" i="56"/>
  <c r="W250" i="56"/>
  <c r="AI250" i="56"/>
  <c r="O250" i="56"/>
  <c r="X250" i="56"/>
  <c r="AJ250" i="56"/>
  <c r="P250" i="56"/>
  <c r="Y250" i="56"/>
  <c r="AK250" i="56"/>
  <c r="Q250" i="56"/>
  <c r="Z250" i="56"/>
  <c r="AL250" i="56"/>
  <c r="R250" i="56"/>
  <c r="AA250" i="56"/>
  <c r="AM250" i="56"/>
  <c r="S250" i="56"/>
  <c r="AB250" i="56"/>
  <c r="AN250" i="56"/>
  <c r="T250" i="56"/>
  <c r="AC250" i="56"/>
  <c r="AO250" i="56"/>
  <c r="M251" i="56"/>
  <c r="V251" i="56"/>
  <c r="AH251" i="56"/>
  <c r="W251" i="56"/>
  <c r="AI251" i="56"/>
  <c r="O251" i="56"/>
  <c r="X251" i="56"/>
  <c r="AJ251" i="56"/>
  <c r="P251" i="56"/>
  <c r="Y251" i="56"/>
  <c r="AK251" i="56"/>
  <c r="Q251" i="56"/>
  <c r="Z251" i="56"/>
  <c r="AL251" i="56"/>
  <c r="R251" i="56"/>
  <c r="AA251" i="56"/>
  <c r="AM251" i="56"/>
  <c r="S251" i="56"/>
  <c r="AB251" i="56"/>
  <c r="AN251" i="56"/>
  <c r="T251" i="56"/>
  <c r="AC251" i="56"/>
  <c r="AO251" i="56"/>
  <c r="M252" i="56"/>
  <c r="V252" i="56"/>
  <c r="AH252" i="56"/>
  <c r="W252" i="56"/>
  <c r="AI252" i="56"/>
  <c r="O252" i="56"/>
  <c r="X252" i="56"/>
  <c r="AJ252" i="56"/>
  <c r="P252" i="56"/>
  <c r="Y252" i="56"/>
  <c r="AK252" i="56"/>
  <c r="Q252" i="56"/>
  <c r="Z252" i="56"/>
  <c r="AL252" i="56"/>
  <c r="R252" i="56"/>
  <c r="AA252" i="56"/>
  <c r="AM252" i="56"/>
  <c r="S252" i="56"/>
  <c r="AB252" i="56"/>
  <c r="AN252" i="56"/>
  <c r="T252" i="56"/>
  <c r="AC252" i="56"/>
  <c r="AO252" i="56"/>
  <c r="M253" i="56"/>
  <c r="V253" i="56"/>
  <c r="AH253" i="56"/>
  <c r="W253" i="56"/>
  <c r="AI253" i="56"/>
  <c r="O253" i="56"/>
  <c r="X253" i="56"/>
  <c r="AJ253" i="56"/>
  <c r="P253" i="56"/>
  <c r="Y253" i="56"/>
  <c r="AK253" i="56"/>
  <c r="Q253" i="56"/>
  <c r="Z253" i="56"/>
  <c r="AL253" i="56"/>
  <c r="R253" i="56"/>
  <c r="AA253" i="56"/>
  <c r="AM253" i="56"/>
  <c r="S253" i="56"/>
  <c r="AB253" i="56"/>
  <c r="AN253" i="56"/>
  <c r="T253" i="56"/>
  <c r="AC253" i="56"/>
  <c r="AO253" i="56"/>
  <c r="M254" i="56"/>
  <c r="V254" i="56"/>
  <c r="AH254" i="56"/>
  <c r="W254" i="56"/>
  <c r="AI254" i="56"/>
  <c r="O254" i="56"/>
  <c r="X254" i="56"/>
  <c r="AJ254" i="56"/>
  <c r="P254" i="56"/>
  <c r="Y254" i="56"/>
  <c r="AK254" i="56"/>
  <c r="Q254" i="56"/>
  <c r="Z254" i="56"/>
  <c r="AL254" i="56"/>
  <c r="R254" i="56"/>
  <c r="AA254" i="56"/>
  <c r="AM254" i="56"/>
  <c r="S254" i="56"/>
  <c r="AB254" i="56"/>
  <c r="AN254" i="56"/>
  <c r="T254" i="56"/>
  <c r="AC254" i="56"/>
  <c r="AO254" i="56"/>
  <c r="M255" i="56"/>
  <c r="V255" i="56"/>
  <c r="AH255" i="56"/>
  <c r="W255" i="56"/>
  <c r="AI255" i="56"/>
  <c r="O255" i="56"/>
  <c r="X255" i="56"/>
  <c r="AJ255" i="56"/>
  <c r="P255" i="56"/>
  <c r="Y255" i="56"/>
  <c r="AK255" i="56"/>
  <c r="Q255" i="56"/>
  <c r="Z255" i="56"/>
  <c r="AL255" i="56"/>
  <c r="R255" i="56"/>
  <c r="AA255" i="56"/>
  <c r="AM255" i="56"/>
  <c r="S255" i="56"/>
  <c r="AB255" i="56"/>
  <c r="AN255" i="56"/>
  <c r="T255" i="56"/>
  <c r="AC255" i="56"/>
  <c r="AO255" i="56"/>
  <c r="M256" i="56"/>
  <c r="V256" i="56"/>
  <c r="AH256" i="56"/>
  <c r="W256" i="56"/>
  <c r="AI256" i="56"/>
  <c r="O256" i="56"/>
  <c r="X256" i="56"/>
  <c r="AJ256" i="56"/>
  <c r="P256" i="56"/>
  <c r="Y256" i="56"/>
  <c r="AK256" i="56"/>
  <c r="Q256" i="56"/>
  <c r="Z256" i="56"/>
  <c r="AL256" i="56"/>
  <c r="R256" i="56"/>
  <c r="AA256" i="56"/>
  <c r="AM256" i="56"/>
  <c r="S256" i="56"/>
  <c r="AB256" i="56"/>
  <c r="AN256" i="56"/>
  <c r="T256" i="56"/>
  <c r="AC256" i="56"/>
  <c r="AO256" i="56"/>
  <c r="M257" i="56"/>
  <c r="V257" i="56"/>
  <c r="AH257" i="56"/>
  <c r="W257" i="56"/>
  <c r="AI257" i="56"/>
  <c r="O257" i="56"/>
  <c r="X257" i="56"/>
  <c r="AJ257" i="56"/>
  <c r="P257" i="56"/>
  <c r="Y257" i="56"/>
  <c r="AK257" i="56"/>
  <c r="Q257" i="56"/>
  <c r="Z257" i="56"/>
  <c r="AL257" i="56"/>
  <c r="R257" i="56"/>
  <c r="AA257" i="56"/>
  <c r="AM257" i="56"/>
  <c r="S257" i="56"/>
  <c r="AB257" i="56"/>
  <c r="AN257" i="56"/>
  <c r="T257" i="56"/>
  <c r="AC257" i="56"/>
  <c r="AO257" i="56"/>
  <c r="M258" i="56"/>
  <c r="V258" i="56"/>
  <c r="AH258" i="56"/>
  <c r="W258" i="56"/>
  <c r="AI258" i="56"/>
  <c r="O258" i="56"/>
  <c r="X258" i="56"/>
  <c r="AJ258" i="56"/>
  <c r="P258" i="56"/>
  <c r="Y258" i="56"/>
  <c r="AK258" i="56"/>
  <c r="Q258" i="56"/>
  <c r="Z258" i="56"/>
  <c r="AL258" i="56"/>
  <c r="R258" i="56"/>
  <c r="AA258" i="56"/>
  <c r="AM258" i="56"/>
  <c r="S258" i="56"/>
  <c r="AB258" i="56"/>
  <c r="AN258" i="56"/>
  <c r="T258" i="56"/>
  <c r="AC258" i="56"/>
  <c r="AO258" i="56"/>
  <c r="M259" i="56"/>
  <c r="V259" i="56"/>
  <c r="AH259" i="56"/>
  <c r="W259" i="56"/>
  <c r="AI259" i="56"/>
  <c r="O259" i="56"/>
  <c r="X259" i="56"/>
  <c r="AJ259" i="56"/>
  <c r="P259" i="56"/>
  <c r="Y259" i="56"/>
  <c r="AK259" i="56"/>
  <c r="Q259" i="56"/>
  <c r="Z259" i="56"/>
  <c r="AL259" i="56"/>
  <c r="R259" i="56"/>
  <c r="AA259" i="56"/>
  <c r="AM259" i="56"/>
  <c r="S259" i="56"/>
  <c r="AB259" i="56"/>
  <c r="AN259" i="56"/>
  <c r="T259" i="56"/>
  <c r="AC259" i="56"/>
  <c r="AO259" i="56"/>
  <c r="M260" i="56"/>
  <c r="V260" i="56"/>
  <c r="AH260" i="56"/>
  <c r="W260" i="56"/>
  <c r="AI260" i="56"/>
  <c r="O260" i="56"/>
  <c r="X260" i="56"/>
  <c r="AJ260" i="56"/>
  <c r="P260" i="56"/>
  <c r="Y260" i="56"/>
  <c r="AK260" i="56"/>
  <c r="Q260" i="56"/>
  <c r="Z260" i="56"/>
  <c r="AL260" i="56"/>
  <c r="R260" i="56"/>
  <c r="AA260" i="56"/>
  <c r="AM260" i="56"/>
  <c r="S260" i="56"/>
  <c r="AB260" i="56"/>
  <c r="AN260" i="56"/>
  <c r="T260" i="56"/>
  <c r="AC260" i="56"/>
  <c r="AO260" i="56"/>
  <c r="M261" i="56"/>
  <c r="V261" i="56"/>
  <c r="AH261" i="56"/>
  <c r="W261" i="56"/>
  <c r="AI261" i="56"/>
  <c r="O261" i="56"/>
  <c r="X261" i="56"/>
  <c r="AJ261" i="56"/>
  <c r="P261" i="56"/>
  <c r="Y261" i="56"/>
  <c r="AK261" i="56"/>
  <c r="Q261" i="56"/>
  <c r="Z261" i="56"/>
  <c r="AL261" i="56"/>
  <c r="R261" i="56"/>
  <c r="AA261" i="56"/>
  <c r="AM261" i="56"/>
  <c r="S261" i="56"/>
  <c r="AB261" i="56"/>
  <c r="AN261" i="56"/>
  <c r="T261" i="56"/>
  <c r="AC261" i="56"/>
  <c r="AO261" i="56"/>
  <c r="M262" i="56"/>
  <c r="V262" i="56"/>
  <c r="AH262" i="56"/>
  <c r="W262" i="56"/>
  <c r="AI262" i="56"/>
  <c r="O262" i="56"/>
  <c r="X262" i="56"/>
  <c r="AJ262" i="56"/>
  <c r="P262" i="56"/>
  <c r="Y262" i="56"/>
  <c r="AK262" i="56"/>
  <c r="Q262" i="56"/>
  <c r="Z262" i="56"/>
  <c r="AL262" i="56"/>
  <c r="R262" i="56"/>
  <c r="AA262" i="56"/>
  <c r="AM262" i="56"/>
  <c r="S262" i="56"/>
  <c r="AB262" i="56"/>
  <c r="AN262" i="56"/>
  <c r="T262" i="56"/>
  <c r="AC262" i="56"/>
  <c r="AO262" i="56"/>
  <c r="M263" i="56"/>
  <c r="V263" i="56"/>
  <c r="AH263" i="56"/>
  <c r="W263" i="56"/>
  <c r="AI263" i="56"/>
  <c r="O263" i="56"/>
  <c r="X263" i="56"/>
  <c r="AJ263" i="56"/>
  <c r="P263" i="56"/>
  <c r="Y263" i="56"/>
  <c r="AK263" i="56"/>
  <c r="Q263" i="56"/>
  <c r="Z263" i="56"/>
  <c r="AL263" i="56"/>
  <c r="R263" i="56"/>
  <c r="AA263" i="56"/>
  <c r="AM263" i="56"/>
  <c r="S263" i="56"/>
  <c r="AB263" i="56"/>
  <c r="AN263" i="56"/>
  <c r="T263" i="56"/>
  <c r="AC263" i="56"/>
  <c r="AO263" i="56"/>
  <c r="M264" i="56"/>
  <c r="V264" i="56"/>
  <c r="AH264" i="56"/>
  <c r="W264" i="56"/>
  <c r="AI264" i="56"/>
  <c r="O264" i="56"/>
  <c r="X264" i="56"/>
  <c r="AJ264" i="56"/>
  <c r="P264" i="56"/>
  <c r="Y264" i="56"/>
  <c r="AK264" i="56"/>
  <c r="Q264" i="56"/>
  <c r="Z264" i="56"/>
  <c r="AL264" i="56"/>
  <c r="R264" i="56"/>
  <c r="AA264" i="56"/>
  <c r="AM264" i="56"/>
  <c r="S264" i="56"/>
  <c r="AB264" i="56"/>
  <c r="AN264" i="56"/>
  <c r="T264" i="56"/>
  <c r="AC264" i="56"/>
  <c r="AO264" i="56"/>
  <c r="M265" i="56"/>
  <c r="V265" i="56"/>
  <c r="AH265" i="56"/>
  <c r="W265" i="56"/>
  <c r="AI265" i="56"/>
  <c r="O265" i="56"/>
  <c r="X265" i="56"/>
  <c r="AJ265" i="56"/>
  <c r="P265" i="56"/>
  <c r="Y265" i="56"/>
  <c r="AK265" i="56"/>
  <c r="Q265" i="56"/>
  <c r="Z265" i="56"/>
  <c r="AL265" i="56"/>
  <c r="R265" i="56"/>
  <c r="AA265" i="56"/>
  <c r="AM265" i="56"/>
  <c r="S265" i="56"/>
  <c r="AB265" i="56"/>
  <c r="AN265" i="56"/>
  <c r="T265" i="56"/>
  <c r="AC265" i="56"/>
  <c r="AO265" i="56"/>
  <c r="M266" i="56"/>
  <c r="V266" i="56"/>
  <c r="AH266" i="56"/>
  <c r="W266" i="56"/>
  <c r="AI266" i="56"/>
  <c r="O266" i="56"/>
  <c r="X266" i="56"/>
  <c r="AJ266" i="56"/>
  <c r="P266" i="56"/>
  <c r="Y266" i="56"/>
  <c r="AK266" i="56"/>
  <c r="Q266" i="56"/>
  <c r="Z266" i="56"/>
  <c r="AL266" i="56"/>
  <c r="R266" i="56"/>
  <c r="AA266" i="56"/>
  <c r="AM266" i="56"/>
  <c r="S266" i="56"/>
  <c r="AB266" i="56"/>
  <c r="AN266" i="56"/>
  <c r="T266" i="56"/>
  <c r="AC266" i="56"/>
  <c r="AO266" i="56"/>
  <c r="M267" i="56"/>
  <c r="V267" i="56"/>
  <c r="AH267" i="56"/>
  <c r="W267" i="56"/>
  <c r="AI267" i="56"/>
  <c r="O267" i="56"/>
  <c r="X267" i="56"/>
  <c r="AJ267" i="56"/>
  <c r="P267" i="56"/>
  <c r="Y267" i="56"/>
  <c r="AK267" i="56"/>
  <c r="Q267" i="56"/>
  <c r="Z267" i="56"/>
  <c r="AL267" i="56"/>
  <c r="R267" i="56"/>
  <c r="AA267" i="56"/>
  <c r="AM267" i="56"/>
  <c r="S267" i="56"/>
  <c r="AB267" i="56"/>
  <c r="AN267" i="56"/>
  <c r="T267" i="56"/>
  <c r="AC267" i="56"/>
  <c r="AO267" i="56"/>
  <c r="M268" i="56"/>
  <c r="V268" i="56"/>
  <c r="AH268" i="56"/>
  <c r="W268" i="56"/>
  <c r="AI268" i="56"/>
  <c r="O268" i="56"/>
  <c r="X268" i="56"/>
  <c r="AJ268" i="56"/>
  <c r="P268" i="56"/>
  <c r="Y268" i="56"/>
  <c r="AK268" i="56"/>
  <c r="Q268" i="56"/>
  <c r="Z268" i="56"/>
  <c r="AL268" i="56"/>
  <c r="R268" i="56"/>
  <c r="AA268" i="56"/>
  <c r="AM268" i="56"/>
  <c r="S268" i="56"/>
  <c r="AB268" i="56"/>
  <c r="AN268" i="56"/>
  <c r="T268" i="56"/>
  <c r="AC268" i="56"/>
  <c r="AO268" i="56"/>
  <c r="M269" i="56"/>
  <c r="V269" i="56"/>
  <c r="AH269" i="56"/>
  <c r="W269" i="56"/>
  <c r="AI269" i="56"/>
  <c r="O269" i="56"/>
  <c r="X269" i="56"/>
  <c r="AJ269" i="56"/>
  <c r="P269" i="56"/>
  <c r="Y269" i="56"/>
  <c r="AK269" i="56"/>
  <c r="Q269" i="56"/>
  <c r="Z269" i="56"/>
  <c r="AL269" i="56"/>
  <c r="R269" i="56"/>
  <c r="AA269" i="56"/>
  <c r="AM269" i="56"/>
  <c r="S269" i="56"/>
  <c r="AB269" i="56"/>
  <c r="AN269" i="56"/>
  <c r="T269" i="56"/>
  <c r="AC269" i="56"/>
  <c r="AO269" i="56"/>
  <c r="M270" i="56"/>
  <c r="V270" i="56"/>
  <c r="AH270" i="56"/>
  <c r="W270" i="56"/>
  <c r="AI270" i="56"/>
  <c r="O270" i="56"/>
  <c r="X270" i="56"/>
  <c r="AJ270" i="56"/>
  <c r="P270" i="56"/>
  <c r="Y270" i="56"/>
  <c r="AK270" i="56"/>
  <c r="Q270" i="56"/>
  <c r="Z270" i="56"/>
  <c r="AL270" i="56"/>
  <c r="R270" i="56"/>
  <c r="AA270" i="56"/>
  <c r="AM270" i="56"/>
  <c r="S270" i="56"/>
  <c r="AB270" i="56"/>
  <c r="AN270" i="56"/>
  <c r="T270" i="56"/>
  <c r="AC270" i="56"/>
  <c r="AO270" i="56"/>
  <c r="M271" i="56"/>
  <c r="V271" i="56"/>
  <c r="AH271" i="56"/>
  <c r="W271" i="56"/>
  <c r="AI271" i="56"/>
  <c r="O271" i="56"/>
  <c r="X271" i="56"/>
  <c r="AJ271" i="56"/>
  <c r="P271" i="56"/>
  <c r="Y271" i="56"/>
  <c r="AK271" i="56"/>
  <c r="Q271" i="56"/>
  <c r="Z271" i="56"/>
  <c r="AL271" i="56"/>
  <c r="R271" i="56"/>
  <c r="AA271" i="56"/>
  <c r="AM271" i="56"/>
  <c r="S271" i="56"/>
  <c r="AB271" i="56"/>
  <c r="AN271" i="56"/>
  <c r="T271" i="56"/>
  <c r="AC271" i="56"/>
  <c r="AO271" i="56"/>
  <c r="M272" i="56"/>
  <c r="V272" i="56"/>
  <c r="AH272" i="56"/>
  <c r="W272" i="56"/>
  <c r="AI272" i="56"/>
  <c r="O272" i="56"/>
  <c r="X272" i="56"/>
  <c r="AJ272" i="56"/>
  <c r="P272" i="56"/>
  <c r="Y272" i="56"/>
  <c r="AK272" i="56"/>
  <c r="Q272" i="56"/>
  <c r="Z272" i="56"/>
  <c r="AL272" i="56"/>
  <c r="R272" i="56"/>
  <c r="AA272" i="56"/>
  <c r="AM272" i="56"/>
  <c r="S272" i="56"/>
  <c r="AB272" i="56"/>
  <c r="AN272" i="56"/>
  <c r="T272" i="56"/>
  <c r="AC272" i="56"/>
  <c r="AO272" i="56"/>
  <c r="M273" i="56"/>
  <c r="V273" i="56"/>
  <c r="AH273" i="56"/>
  <c r="W273" i="56"/>
  <c r="AI273" i="56"/>
  <c r="O273" i="56"/>
  <c r="X273" i="56"/>
  <c r="AJ273" i="56"/>
  <c r="P273" i="56"/>
  <c r="Y273" i="56"/>
  <c r="AK273" i="56"/>
  <c r="Q273" i="56"/>
  <c r="Z273" i="56"/>
  <c r="AL273" i="56"/>
  <c r="R273" i="56"/>
  <c r="AA273" i="56"/>
  <c r="AM273" i="56"/>
  <c r="S273" i="56"/>
  <c r="AB273" i="56"/>
  <c r="AN273" i="56"/>
  <c r="T273" i="56"/>
  <c r="AC273" i="56"/>
  <c r="AO273" i="56"/>
  <c r="M274" i="56"/>
  <c r="V274" i="56"/>
  <c r="AH274" i="56"/>
  <c r="W274" i="56"/>
  <c r="AI274" i="56"/>
  <c r="O274" i="56"/>
  <c r="X274" i="56"/>
  <c r="AJ274" i="56"/>
  <c r="P274" i="56"/>
  <c r="Y274" i="56"/>
  <c r="AK274" i="56"/>
  <c r="Q274" i="56"/>
  <c r="Z274" i="56"/>
  <c r="AL274" i="56"/>
  <c r="R274" i="56"/>
  <c r="AA274" i="56"/>
  <c r="AM274" i="56"/>
  <c r="S274" i="56"/>
  <c r="AB274" i="56"/>
  <c r="AN274" i="56"/>
  <c r="T274" i="56"/>
  <c r="AC274" i="56"/>
  <c r="AO274" i="56"/>
  <c r="M275" i="56"/>
  <c r="V275" i="56"/>
  <c r="AH275" i="56"/>
  <c r="W275" i="56"/>
  <c r="AI275" i="56"/>
  <c r="O275" i="56"/>
  <c r="X275" i="56"/>
  <c r="AJ275" i="56"/>
  <c r="P275" i="56"/>
  <c r="Y275" i="56"/>
  <c r="AK275" i="56"/>
  <c r="Q275" i="56"/>
  <c r="Z275" i="56"/>
  <c r="AL275" i="56"/>
  <c r="R275" i="56"/>
  <c r="AA275" i="56"/>
  <c r="AM275" i="56"/>
  <c r="S275" i="56"/>
  <c r="AB275" i="56"/>
  <c r="AN275" i="56"/>
  <c r="T275" i="56"/>
  <c r="AC275" i="56"/>
  <c r="AO275" i="56"/>
  <c r="M276" i="56"/>
  <c r="V276" i="56"/>
  <c r="AH276" i="56"/>
  <c r="W276" i="56"/>
  <c r="AI276" i="56"/>
  <c r="O276" i="56"/>
  <c r="X276" i="56"/>
  <c r="AJ276" i="56"/>
  <c r="P276" i="56"/>
  <c r="Y276" i="56"/>
  <c r="AK276" i="56"/>
  <c r="Q276" i="56"/>
  <c r="Z276" i="56"/>
  <c r="AL276" i="56"/>
  <c r="R276" i="56"/>
  <c r="AA276" i="56"/>
  <c r="AM276" i="56"/>
  <c r="S276" i="56"/>
  <c r="AB276" i="56"/>
  <c r="AN276" i="56"/>
  <c r="T276" i="56"/>
  <c r="AC276" i="56"/>
  <c r="AO276" i="56"/>
  <c r="M277" i="56"/>
  <c r="V277" i="56"/>
  <c r="AH277" i="56"/>
  <c r="W277" i="56"/>
  <c r="AI277" i="56"/>
  <c r="O277" i="56"/>
  <c r="X277" i="56"/>
  <c r="AJ277" i="56"/>
  <c r="P277" i="56"/>
  <c r="Y277" i="56"/>
  <c r="AK277" i="56"/>
  <c r="Q277" i="56"/>
  <c r="Z277" i="56"/>
  <c r="AL277" i="56"/>
  <c r="R277" i="56"/>
  <c r="AA277" i="56"/>
  <c r="AM277" i="56"/>
  <c r="S277" i="56"/>
  <c r="AB277" i="56"/>
  <c r="AN277" i="56"/>
  <c r="T277" i="56"/>
  <c r="AC277" i="56"/>
  <c r="AO277" i="56"/>
  <c r="M278" i="56"/>
  <c r="V278" i="56"/>
  <c r="AH278" i="56"/>
  <c r="W278" i="56"/>
  <c r="AI278" i="56"/>
  <c r="O278" i="56"/>
  <c r="X278" i="56"/>
  <c r="AJ278" i="56"/>
  <c r="P278" i="56"/>
  <c r="Y278" i="56"/>
  <c r="AK278" i="56"/>
  <c r="Q278" i="56"/>
  <c r="Z278" i="56"/>
  <c r="AL278" i="56"/>
  <c r="R278" i="56"/>
  <c r="AA278" i="56"/>
  <c r="AM278" i="56"/>
  <c r="S278" i="56"/>
  <c r="AB278" i="56"/>
  <c r="AN278" i="56"/>
  <c r="T278" i="56"/>
  <c r="AC278" i="56"/>
  <c r="AO278" i="56"/>
  <c r="M279" i="56"/>
  <c r="V279" i="56"/>
  <c r="AH279" i="56"/>
  <c r="W279" i="56"/>
  <c r="AI279" i="56"/>
  <c r="O279" i="56"/>
  <c r="X279" i="56"/>
  <c r="AJ279" i="56"/>
  <c r="P279" i="56"/>
  <c r="Y279" i="56"/>
  <c r="AK279" i="56"/>
  <c r="Q279" i="56"/>
  <c r="Z279" i="56"/>
  <c r="AL279" i="56"/>
  <c r="R279" i="56"/>
  <c r="AA279" i="56"/>
  <c r="AM279" i="56"/>
  <c r="S279" i="56"/>
  <c r="AB279" i="56"/>
  <c r="AN279" i="56"/>
  <c r="T279" i="56"/>
  <c r="AC279" i="56"/>
  <c r="AO279" i="56"/>
  <c r="M280" i="56"/>
  <c r="V280" i="56"/>
  <c r="AH280" i="56"/>
  <c r="W280" i="56"/>
  <c r="AI280" i="56"/>
  <c r="O280" i="56"/>
  <c r="X280" i="56"/>
  <c r="AJ280" i="56"/>
  <c r="P280" i="56"/>
  <c r="Y280" i="56"/>
  <c r="AK280" i="56"/>
  <c r="Q280" i="56"/>
  <c r="Z280" i="56"/>
  <c r="AL280" i="56"/>
  <c r="R280" i="56"/>
  <c r="AA280" i="56"/>
  <c r="AM280" i="56"/>
  <c r="S280" i="56"/>
  <c r="AB280" i="56"/>
  <c r="AN280" i="56"/>
  <c r="T280" i="56"/>
  <c r="AC280" i="56"/>
  <c r="AO280" i="56"/>
  <c r="M281" i="56"/>
  <c r="V281" i="56"/>
  <c r="AH281" i="56"/>
  <c r="W281" i="56"/>
  <c r="AI281" i="56"/>
  <c r="O281" i="56"/>
  <c r="X281" i="56"/>
  <c r="AJ281" i="56"/>
  <c r="P281" i="56"/>
  <c r="Y281" i="56"/>
  <c r="AK281" i="56"/>
  <c r="Q281" i="56"/>
  <c r="Z281" i="56"/>
  <c r="AL281" i="56"/>
  <c r="R281" i="56"/>
  <c r="AA281" i="56"/>
  <c r="AM281" i="56"/>
  <c r="S281" i="56"/>
  <c r="AB281" i="56"/>
  <c r="AN281" i="56"/>
  <c r="T281" i="56"/>
  <c r="AC281" i="56"/>
  <c r="AO281" i="56"/>
  <c r="M282" i="56"/>
  <c r="V282" i="56"/>
  <c r="AH282" i="56"/>
  <c r="W282" i="56"/>
  <c r="AI282" i="56"/>
  <c r="O282" i="56"/>
  <c r="X282" i="56"/>
  <c r="AJ282" i="56"/>
  <c r="P282" i="56"/>
  <c r="Y282" i="56"/>
  <c r="AK282" i="56"/>
  <c r="Q282" i="56"/>
  <c r="Z282" i="56"/>
  <c r="AL282" i="56"/>
  <c r="R282" i="56"/>
  <c r="AA282" i="56"/>
  <c r="AM282" i="56"/>
  <c r="S282" i="56"/>
  <c r="AB282" i="56"/>
  <c r="AN282" i="56"/>
  <c r="T282" i="56"/>
  <c r="AC282" i="56"/>
  <c r="AO282" i="56"/>
  <c r="M283" i="56"/>
  <c r="V283" i="56"/>
  <c r="AH283" i="56"/>
  <c r="W283" i="56"/>
  <c r="AI283" i="56"/>
  <c r="O283" i="56"/>
  <c r="X283" i="56"/>
  <c r="AJ283" i="56"/>
  <c r="P283" i="56"/>
  <c r="Y283" i="56"/>
  <c r="AK283" i="56"/>
  <c r="Q283" i="56"/>
  <c r="Z283" i="56"/>
  <c r="AL283" i="56"/>
  <c r="R283" i="56"/>
  <c r="AA283" i="56"/>
  <c r="AM283" i="56"/>
  <c r="S283" i="56"/>
  <c r="AB283" i="56"/>
  <c r="AN283" i="56"/>
  <c r="T283" i="56"/>
  <c r="AC283" i="56"/>
  <c r="AO283" i="56"/>
  <c r="M284" i="56"/>
  <c r="V284" i="56"/>
  <c r="AH284" i="56"/>
  <c r="W284" i="56"/>
  <c r="AI284" i="56"/>
  <c r="O284" i="56"/>
  <c r="X284" i="56"/>
  <c r="AJ284" i="56"/>
  <c r="P284" i="56"/>
  <c r="Y284" i="56"/>
  <c r="AK284" i="56"/>
  <c r="Q284" i="56"/>
  <c r="Z284" i="56"/>
  <c r="AL284" i="56"/>
  <c r="R284" i="56"/>
  <c r="AA284" i="56"/>
  <c r="AM284" i="56"/>
  <c r="S284" i="56"/>
  <c r="AB284" i="56"/>
  <c r="AN284" i="56"/>
  <c r="T284" i="56"/>
  <c r="AC284" i="56"/>
  <c r="AO284" i="56"/>
  <c r="M285" i="56"/>
  <c r="V285" i="56"/>
  <c r="AH285" i="56"/>
  <c r="W285" i="56"/>
  <c r="AI285" i="56"/>
  <c r="O285" i="56"/>
  <c r="X285" i="56"/>
  <c r="AJ285" i="56"/>
  <c r="P285" i="56"/>
  <c r="Y285" i="56"/>
  <c r="AK285" i="56"/>
  <c r="Q285" i="56"/>
  <c r="Z285" i="56"/>
  <c r="AL285" i="56"/>
  <c r="R285" i="56"/>
  <c r="AA285" i="56"/>
  <c r="AM285" i="56"/>
  <c r="S285" i="56"/>
  <c r="AB285" i="56"/>
  <c r="AN285" i="56"/>
  <c r="T285" i="56"/>
  <c r="AC285" i="56"/>
  <c r="AO285" i="56"/>
  <c r="M286" i="56"/>
  <c r="V286" i="56"/>
  <c r="AH286" i="56"/>
  <c r="W286" i="56"/>
  <c r="AI286" i="56"/>
  <c r="O286" i="56"/>
  <c r="X286" i="56"/>
  <c r="AJ286" i="56"/>
  <c r="P286" i="56"/>
  <c r="Y286" i="56"/>
  <c r="AK286" i="56"/>
  <c r="Q286" i="56"/>
  <c r="Z286" i="56"/>
  <c r="AL286" i="56"/>
  <c r="R286" i="56"/>
  <c r="AA286" i="56"/>
  <c r="AM286" i="56"/>
  <c r="S286" i="56"/>
  <c r="AB286" i="56"/>
  <c r="AN286" i="56"/>
  <c r="T286" i="56"/>
  <c r="AC286" i="56"/>
  <c r="AO286" i="56"/>
  <c r="M287" i="56"/>
  <c r="V287" i="56"/>
  <c r="AH287" i="56"/>
  <c r="W287" i="56"/>
  <c r="AI287" i="56"/>
  <c r="O287" i="56"/>
  <c r="X287" i="56"/>
  <c r="AJ287" i="56"/>
  <c r="P287" i="56"/>
  <c r="Y287" i="56"/>
  <c r="AK287" i="56"/>
  <c r="Q287" i="56"/>
  <c r="Z287" i="56"/>
  <c r="AL287" i="56"/>
  <c r="R287" i="56"/>
  <c r="AA287" i="56"/>
  <c r="AM287" i="56"/>
  <c r="S287" i="56"/>
  <c r="AB287" i="56"/>
  <c r="AN287" i="56"/>
  <c r="T287" i="56"/>
  <c r="AC287" i="56"/>
  <c r="AO287" i="56"/>
  <c r="M288" i="56"/>
  <c r="V288" i="56"/>
  <c r="AH288" i="56"/>
  <c r="W288" i="56"/>
  <c r="AI288" i="56"/>
  <c r="O288" i="56"/>
  <c r="X288" i="56"/>
  <c r="AJ288" i="56"/>
  <c r="P288" i="56"/>
  <c r="Y288" i="56"/>
  <c r="AK288" i="56"/>
  <c r="Q288" i="56"/>
  <c r="Z288" i="56"/>
  <c r="AL288" i="56"/>
  <c r="R288" i="56"/>
  <c r="AA288" i="56"/>
  <c r="AM288" i="56"/>
  <c r="S288" i="56"/>
  <c r="AB288" i="56"/>
  <c r="AN288" i="56"/>
  <c r="T288" i="56"/>
  <c r="AC288" i="56"/>
  <c r="AO288" i="56"/>
  <c r="M289" i="56"/>
  <c r="V289" i="56"/>
  <c r="AH289" i="56"/>
  <c r="W289" i="56"/>
  <c r="AI289" i="56"/>
  <c r="O289" i="56"/>
  <c r="X289" i="56"/>
  <c r="AJ289" i="56"/>
  <c r="P289" i="56"/>
  <c r="Y289" i="56"/>
  <c r="AK289" i="56"/>
  <c r="Q289" i="56"/>
  <c r="Z289" i="56"/>
  <c r="AL289" i="56"/>
  <c r="R289" i="56"/>
  <c r="AA289" i="56"/>
  <c r="AM289" i="56"/>
  <c r="S289" i="56"/>
  <c r="AB289" i="56"/>
  <c r="AN289" i="56"/>
  <c r="T289" i="56"/>
  <c r="AC289" i="56"/>
  <c r="AO289" i="56"/>
  <c r="M290" i="56"/>
  <c r="V290" i="56"/>
  <c r="AH290" i="56"/>
  <c r="W290" i="56"/>
  <c r="AI290" i="56"/>
  <c r="O290" i="56"/>
  <c r="X290" i="56"/>
  <c r="AJ290" i="56"/>
  <c r="P290" i="56"/>
  <c r="Y290" i="56"/>
  <c r="AK290" i="56"/>
  <c r="Q290" i="56"/>
  <c r="Z290" i="56"/>
  <c r="AL290" i="56"/>
  <c r="R290" i="56"/>
  <c r="AA290" i="56"/>
  <c r="AM290" i="56"/>
  <c r="S290" i="56"/>
  <c r="AB290" i="56"/>
  <c r="AN290" i="56"/>
  <c r="T290" i="56"/>
  <c r="AC290" i="56"/>
  <c r="AO290" i="56"/>
  <c r="M291" i="56"/>
  <c r="V291" i="56"/>
  <c r="AH291" i="56"/>
  <c r="W291" i="56"/>
  <c r="AI291" i="56"/>
  <c r="O291" i="56"/>
  <c r="X291" i="56"/>
  <c r="AJ291" i="56"/>
  <c r="P291" i="56"/>
  <c r="Y291" i="56"/>
  <c r="AK291" i="56"/>
  <c r="Q291" i="56"/>
  <c r="Z291" i="56"/>
  <c r="AL291" i="56"/>
  <c r="R291" i="56"/>
  <c r="AA291" i="56"/>
  <c r="AM291" i="56"/>
  <c r="S291" i="56"/>
  <c r="AB291" i="56"/>
  <c r="AN291" i="56"/>
  <c r="T291" i="56"/>
  <c r="AC291" i="56"/>
  <c r="AO291" i="56"/>
  <c r="M292" i="56"/>
  <c r="V292" i="56"/>
  <c r="AH292" i="56"/>
  <c r="W292" i="56"/>
  <c r="AI292" i="56"/>
  <c r="O292" i="56"/>
  <c r="X292" i="56"/>
  <c r="AJ292" i="56"/>
  <c r="P292" i="56"/>
  <c r="Y292" i="56"/>
  <c r="AK292" i="56"/>
  <c r="Q292" i="56"/>
  <c r="Z292" i="56"/>
  <c r="AL292" i="56"/>
  <c r="R292" i="56"/>
  <c r="AA292" i="56"/>
  <c r="AM292" i="56"/>
  <c r="S292" i="56"/>
  <c r="AB292" i="56"/>
  <c r="AN292" i="56"/>
  <c r="T292" i="56"/>
  <c r="AC292" i="56"/>
  <c r="AO292" i="56"/>
  <c r="M293" i="56"/>
  <c r="V293" i="56"/>
  <c r="AH293" i="56"/>
  <c r="W293" i="56"/>
  <c r="AI293" i="56"/>
  <c r="O293" i="56"/>
  <c r="X293" i="56"/>
  <c r="AJ293" i="56"/>
  <c r="P293" i="56"/>
  <c r="Y293" i="56"/>
  <c r="AK293" i="56"/>
  <c r="Q293" i="56"/>
  <c r="Z293" i="56"/>
  <c r="AL293" i="56"/>
  <c r="R293" i="56"/>
  <c r="AA293" i="56"/>
  <c r="AM293" i="56"/>
  <c r="S293" i="56"/>
  <c r="AB293" i="56"/>
  <c r="AN293" i="56"/>
  <c r="T293" i="56"/>
  <c r="AC293" i="56"/>
  <c r="AO293" i="56"/>
  <c r="M294" i="56"/>
  <c r="V294" i="56"/>
  <c r="AH294" i="56"/>
  <c r="W294" i="56"/>
  <c r="AI294" i="56"/>
  <c r="O294" i="56"/>
  <c r="X294" i="56"/>
  <c r="AJ294" i="56"/>
  <c r="P294" i="56"/>
  <c r="Y294" i="56"/>
  <c r="AK294" i="56"/>
  <c r="Q294" i="56"/>
  <c r="Z294" i="56"/>
  <c r="AL294" i="56"/>
  <c r="R294" i="56"/>
  <c r="AA294" i="56"/>
  <c r="AM294" i="56"/>
  <c r="S294" i="56"/>
  <c r="AB294" i="56"/>
  <c r="AN294" i="56"/>
  <c r="T294" i="56"/>
  <c r="AC294" i="56"/>
  <c r="AO294" i="56"/>
  <c r="M295" i="56"/>
  <c r="V295" i="56"/>
  <c r="AH295" i="56"/>
  <c r="W295" i="56"/>
  <c r="AI295" i="56"/>
  <c r="O295" i="56"/>
  <c r="X295" i="56"/>
  <c r="AJ295" i="56"/>
  <c r="P295" i="56"/>
  <c r="Y295" i="56"/>
  <c r="AK295" i="56"/>
  <c r="Q295" i="56"/>
  <c r="Z295" i="56"/>
  <c r="AL295" i="56"/>
  <c r="R295" i="56"/>
  <c r="AA295" i="56"/>
  <c r="AM295" i="56"/>
  <c r="S295" i="56"/>
  <c r="AB295" i="56"/>
  <c r="AN295" i="56"/>
  <c r="T295" i="56"/>
  <c r="AC295" i="56"/>
  <c r="AO295" i="56"/>
  <c r="M296" i="56"/>
  <c r="V296" i="56"/>
  <c r="AH296" i="56"/>
  <c r="W296" i="56"/>
  <c r="AI296" i="56"/>
  <c r="O296" i="56"/>
  <c r="X296" i="56"/>
  <c r="AJ296" i="56"/>
  <c r="P296" i="56"/>
  <c r="Y296" i="56"/>
  <c r="AK296" i="56"/>
  <c r="Q296" i="56"/>
  <c r="Z296" i="56"/>
  <c r="AL296" i="56"/>
  <c r="R296" i="56"/>
  <c r="AA296" i="56"/>
  <c r="AM296" i="56"/>
  <c r="S296" i="56"/>
  <c r="AB296" i="56"/>
  <c r="AN296" i="56"/>
  <c r="T296" i="56"/>
  <c r="AC296" i="56"/>
  <c r="AO296" i="56"/>
  <c r="M297" i="56"/>
  <c r="V297" i="56"/>
  <c r="AH297" i="56"/>
  <c r="W297" i="56"/>
  <c r="AI297" i="56"/>
  <c r="O297" i="56"/>
  <c r="X297" i="56"/>
  <c r="AJ297" i="56"/>
  <c r="P297" i="56"/>
  <c r="Y297" i="56"/>
  <c r="AK297" i="56"/>
  <c r="Q297" i="56"/>
  <c r="Z297" i="56"/>
  <c r="AL297" i="56"/>
  <c r="R297" i="56"/>
  <c r="AA297" i="56"/>
  <c r="AM297" i="56"/>
  <c r="S297" i="56"/>
  <c r="AB297" i="56"/>
  <c r="AN297" i="56"/>
  <c r="T297" i="56"/>
  <c r="AC297" i="56"/>
  <c r="AO297" i="56"/>
  <c r="M298" i="56"/>
  <c r="V298" i="56"/>
  <c r="AH298" i="56"/>
  <c r="W298" i="56"/>
  <c r="AI298" i="56"/>
  <c r="O298" i="56"/>
  <c r="X298" i="56"/>
  <c r="AJ298" i="56"/>
  <c r="P298" i="56"/>
  <c r="Y298" i="56"/>
  <c r="AK298" i="56"/>
  <c r="Q298" i="56"/>
  <c r="Z298" i="56"/>
  <c r="AL298" i="56"/>
  <c r="R298" i="56"/>
  <c r="AA298" i="56"/>
  <c r="AM298" i="56"/>
  <c r="S298" i="56"/>
  <c r="AB298" i="56"/>
  <c r="AN298" i="56"/>
  <c r="T298" i="56"/>
  <c r="AC298" i="56"/>
  <c r="AO298" i="56"/>
  <c r="M299" i="56"/>
  <c r="V299" i="56"/>
  <c r="AH299" i="56"/>
  <c r="W299" i="56"/>
  <c r="AI299" i="56"/>
  <c r="O299" i="56"/>
  <c r="X299" i="56"/>
  <c r="AJ299" i="56"/>
  <c r="P299" i="56"/>
  <c r="Y299" i="56"/>
  <c r="AK299" i="56"/>
  <c r="Q299" i="56"/>
  <c r="Z299" i="56"/>
  <c r="AL299" i="56"/>
  <c r="R299" i="56"/>
  <c r="AA299" i="56"/>
  <c r="AM299" i="56"/>
  <c r="S299" i="56"/>
  <c r="AB299" i="56"/>
  <c r="AN299" i="56"/>
  <c r="T299" i="56"/>
  <c r="AC299" i="56"/>
  <c r="AO299" i="56"/>
  <c r="M300" i="56"/>
  <c r="V300" i="56"/>
  <c r="AH300" i="56"/>
  <c r="W300" i="56"/>
  <c r="AI300" i="56"/>
  <c r="O300" i="56"/>
  <c r="X300" i="56"/>
  <c r="AJ300" i="56"/>
  <c r="P300" i="56"/>
  <c r="Y300" i="56"/>
  <c r="AK300" i="56"/>
  <c r="Q300" i="56"/>
  <c r="Z300" i="56"/>
  <c r="AL300" i="56"/>
  <c r="R300" i="56"/>
  <c r="AA300" i="56"/>
  <c r="AM300" i="56"/>
  <c r="S300" i="56"/>
  <c r="AB300" i="56"/>
  <c r="AN300" i="56"/>
  <c r="T300" i="56"/>
  <c r="AC300" i="56"/>
  <c r="AO300" i="56"/>
  <c r="M301" i="56"/>
  <c r="V301" i="56"/>
  <c r="AH301" i="56"/>
  <c r="W301" i="56"/>
  <c r="AI301" i="56"/>
  <c r="O301" i="56"/>
  <c r="X301" i="56"/>
  <c r="AJ301" i="56"/>
  <c r="P301" i="56"/>
  <c r="Y301" i="56"/>
  <c r="AK301" i="56"/>
  <c r="Q301" i="56"/>
  <c r="Z301" i="56"/>
  <c r="AL301" i="56"/>
  <c r="R301" i="56"/>
  <c r="AA301" i="56"/>
  <c r="AM301" i="56"/>
  <c r="S301" i="56"/>
  <c r="AB301" i="56"/>
  <c r="AN301" i="56"/>
  <c r="T301" i="56"/>
  <c r="AC301" i="56"/>
  <c r="AO301" i="56"/>
  <c r="M302" i="56"/>
  <c r="V302" i="56"/>
  <c r="AH302" i="56"/>
  <c r="W302" i="56"/>
  <c r="AI302" i="56"/>
  <c r="O302" i="56"/>
  <c r="X302" i="56"/>
  <c r="AJ302" i="56"/>
  <c r="P302" i="56"/>
  <c r="Y302" i="56"/>
  <c r="AK302" i="56"/>
  <c r="Q302" i="56"/>
  <c r="Z302" i="56"/>
  <c r="AL302" i="56"/>
  <c r="R302" i="56"/>
  <c r="AA302" i="56"/>
  <c r="AM302" i="56"/>
  <c r="S302" i="56"/>
  <c r="AB302" i="56"/>
  <c r="AN302" i="56"/>
  <c r="T302" i="56"/>
  <c r="AC302" i="56"/>
  <c r="AO302" i="56"/>
  <c r="M303" i="56"/>
  <c r="V303" i="56"/>
  <c r="AH303" i="56"/>
  <c r="W303" i="56"/>
  <c r="AI303" i="56"/>
  <c r="O303" i="56"/>
  <c r="X303" i="56"/>
  <c r="AJ303" i="56"/>
  <c r="P303" i="56"/>
  <c r="Y303" i="56"/>
  <c r="AK303" i="56"/>
  <c r="Q303" i="56"/>
  <c r="Z303" i="56"/>
  <c r="AL303" i="56"/>
  <c r="R303" i="56"/>
  <c r="AA303" i="56"/>
  <c r="AM303" i="56"/>
  <c r="S303" i="56"/>
  <c r="AB303" i="56"/>
  <c r="AN303" i="56"/>
  <c r="T303" i="56"/>
  <c r="AC303" i="56"/>
  <c r="AO303" i="56"/>
  <c r="M304" i="56"/>
  <c r="V304" i="56"/>
  <c r="AH304" i="56"/>
  <c r="W304" i="56"/>
  <c r="AI304" i="56"/>
  <c r="O304" i="56"/>
  <c r="X304" i="56"/>
  <c r="AJ304" i="56"/>
  <c r="P304" i="56"/>
  <c r="Y304" i="56"/>
  <c r="AK304" i="56"/>
  <c r="Q304" i="56"/>
  <c r="Z304" i="56"/>
  <c r="AL304" i="56"/>
  <c r="R304" i="56"/>
  <c r="AA304" i="56"/>
  <c r="AM304" i="56"/>
  <c r="S304" i="56"/>
  <c r="AB304" i="56"/>
  <c r="AN304" i="56"/>
  <c r="T304" i="56"/>
  <c r="AC304" i="56"/>
  <c r="AO304" i="56"/>
  <c r="M305" i="56"/>
  <c r="V305" i="56"/>
  <c r="AH305" i="56"/>
  <c r="W305" i="56"/>
  <c r="AI305" i="56"/>
  <c r="O305" i="56"/>
  <c r="X305" i="56"/>
  <c r="AJ305" i="56"/>
  <c r="P305" i="56"/>
  <c r="Y305" i="56"/>
  <c r="AK305" i="56"/>
  <c r="Q305" i="56"/>
  <c r="Z305" i="56"/>
  <c r="AL305" i="56"/>
  <c r="R305" i="56"/>
  <c r="AA305" i="56"/>
  <c r="AM305" i="56"/>
  <c r="S305" i="56"/>
  <c r="AB305" i="56"/>
  <c r="AN305" i="56"/>
  <c r="T305" i="56"/>
  <c r="AC305" i="56"/>
  <c r="AO305" i="56"/>
  <c r="M306" i="56"/>
  <c r="V306" i="56"/>
  <c r="AH306" i="56"/>
  <c r="W306" i="56"/>
  <c r="AI306" i="56"/>
  <c r="O306" i="56"/>
  <c r="X306" i="56"/>
  <c r="AJ306" i="56"/>
  <c r="P306" i="56"/>
  <c r="Y306" i="56"/>
  <c r="AK306" i="56"/>
  <c r="Q306" i="56"/>
  <c r="Z306" i="56"/>
  <c r="AL306" i="56"/>
  <c r="R306" i="56"/>
  <c r="AA306" i="56"/>
  <c r="AM306" i="56"/>
  <c r="S306" i="56"/>
  <c r="AB306" i="56"/>
  <c r="AN306" i="56"/>
  <c r="T306" i="56"/>
  <c r="AC306" i="56"/>
  <c r="AO306" i="56"/>
  <c r="M307" i="56"/>
  <c r="V307" i="56"/>
  <c r="AH307" i="56"/>
  <c r="W307" i="56"/>
  <c r="AI307" i="56"/>
  <c r="O307" i="56"/>
  <c r="X307" i="56"/>
  <c r="AJ307" i="56"/>
  <c r="P307" i="56"/>
  <c r="Y307" i="56"/>
  <c r="AK307" i="56"/>
  <c r="Q307" i="56"/>
  <c r="Z307" i="56"/>
  <c r="AL307" i="56"/>
  <c r="R307" i="56"/>
  <c r="AA307" i="56"/>
  <c r="AM307" i="56"/>
  <c r="S307" i="56"/>
  <c r="AB307" i="56"/>
  <c r="AN307" i="56"/>
  <c r="T307" i="56"/>
  <c r="AC307" i="56"/>
  <c r="AO307" i="56"/>
  <c r="M308" i="56"/>
  <c r="V308" i="56"/>
  <c r="AH308" i="56"/>
  <c r="W308" i="56"/>
  <c r="AI308" i="56"/>
  <c r="O308" i="56"/>
  <c r="X308" i="56"/>
  <c r="AJ308" i="56"/>
  <c r="P308" i="56"/>
  <c r="Y308" i="56"/>
  <c r="AK308" i="56"/>
  <c r="Q308" i="56"/>
  <c r="Z308" i="56"/>
  <c r="AL308" i="56"/>
  <c r="R308" i="56"/>
  <c r="AA308" i="56"/>
  <c r="AM308" i="56"/>
  <c r="S308" i="56"/>
  <c r="AB308" i="56"/>
  <c r="AN308" i="56"/>
  <c r="T308" i="56"/>
  <c r="AC308" i="56"/>
  <c r="AO308" i="56"/>
  <c r="M309" i="56"/>
  <c r="V309" i="56"/>
  <c r="AH309" i="56"/>
  <c r="W309" i="56"/>
  <c r="AI309" i="56"/>
  <c r="O309" i="56"/>
  <c r="X309" i="56"/>
  <c r="AJ309" i="56"/>
  <c r="P309" i="56"/>
  <c r="Y309" i="56"/>
  <c r="AK309" i="56"/>
  <c r="Q309" i="56"/>
  <c r="Z309" i="56"/>
  <c r="AL309" i="56"/>
  <c r="R309" i="56"/>
  <c r="AA309" i="56"/>
  <c r="AM309" i="56"/>
  <c r="S309" i="56"/>
  <c r="AB309" i="56"/>
  <c r="AN309" i="56"/>
  <c r="T309" i="56"/>
  <c r="AC309" i="56"/>
  <c r="AO309" i="56"/>
  <c r="M310" i="56"/>
  <c r="V310" i="56"/>
  <c r="AH310" i="56"/>
  <c r="W310" i="56"/>
  <c r="AI310" i="56"/>
  <c r="O310" i="56"/>
  <c r="X310" i="56"/>
  <c r="AJ310" i="56"/>
  <c r="P310" i="56"/>
  <c r="Y310" i="56"/>
  <c r="AK310" i="56"/>
  <c r="Q310" i="56"/>
  <c r="Z310" i="56"/>
  <c r="AL310" i="56"/>
  <c r="R310" i="56"/>
  <c r="AA310" i="56"/>
  <c r="AM310" i="56"/>
  <c r="S310" i="56"/>
  <c r="AB310" i="56"/>
  <c r="AN310" i="56"/>
  <c r="T310" i="56"/>
  <c r="AC310" i="56"/>
  <c r="AO310" i="56"/>
  <c r="M311" i="56"/>
  <c r="V311" i="56"/>
  <c r="AH311" i="56"/>
  <c r="W311" i="56"/>
  <c r="AI311" i="56"/>
  <c r="O311" i="56"/>
  <c r="X311" i="56"/>
  <c r="AJ311" i="56"/>
  <c r="P311" i="56"/>
  <c r="Y311" i="56"/>
  <c r="AK311" i="56"/>
  <c r="Q311" i="56"/>
  <c r="Z311" i="56"/>
  <c r="AL311" i="56"/>
  <c r="R311" i="56"/>
  <c r="AA311" i="56"/>
  <c r="AM311" i="56"/>
  <c r="S311" i="56"/>
  <c r="AB311" i="56"/>
  <c r="AN311" i="56"/>
  <c r="T311" i="56"/>
  <c r="AC311" i="56"/>
  <c r="AO311" i="56"/>
  <c r="M312" i="56"/>
  <c r="V312" i="56"/>
  <c r="AH312" i="56"/>
  <c r="W312" i="56"/>
  <c r="AI312" i="56"/>
  <c r="O312" i="56"/>
  <c r="X312" i="56"/>
  <c r="AJ312" i="56"/>
  <c r="P312" i="56"/>
  <c r="Y312" i="56"/>
  <c r="AK312" i="56"/>
  <c r="Q312" i="56"/>
  <c r="Z312" i="56"/>
  <c r="AL312" i="56"/>
  <c r="R312" i="56"/>
  <c r="AA312" i="56"/>
  <c r="AM312" i="56"/>
  <c r="S312" i="56"/>
  <c r="AB312" i="56"/>
  <c r="AN312" i="56"/>
  <c r="T312" i="56"/>
  <c r="AC312" i="56"/>
  <c r="AO312" i="56"/>
  <c r="M313" i="56"/>
  <c r="V313" i="56"/>
  <c r="AH313" i="56"/>
  <c r="W313" i="56"/>
  <c r="AI313" i="56"/>
  <c r="O313" i="56"/>
  <c r="X313" i="56"/>
  <c r="AJ313" i="56"/>
  <c r="P313" i="56"/>
  <c r="Y313" i="56"/>
  <c r="AK313" i="56"/>
  <c r="Q313" i="56"/>
  <c r="Z313" i="56"/>
  <c r="AL313" i="56"/>
  <c r="R313" i="56"/>
  <c r="AA313" i="56"/>
  <c r="AM313" i="56"/>
  <c r="S313" i="56"/>
  <c r="AB313" i="56"/>
  <c r="AN313" i="56"/>
  <c r="T313" i="56"/>
  <c r="AC313" i="56"/>
  <c r="AO313" i="56"/>
  <c r="M314" i="56"/>
  <c r="V314" i="56"/>
  <c r="AH314" i="56"/>
  <c r="W314" i="56"/>
  <c r="AI314" i="56"/>
  <c r="O314" i="56"/>
  <c r="X314" i="56"/>
  <c r="AJ314" i="56"/>
  <c r="P314" i="56"/>
  <c r="Y314" i="56"/>
  <c r="AK314" i="56"/>
  <c r="Q314" i="56"/>
  <c r="Z314" i="56"/>
  <c r="AL314" i="56"/>
  <c r="R314" i="56"/>
  <c r="AA314" i="56"/>
  <c r="AM314" i="56"/>
  <c r="S314" i="56"/>
  <c r="AB314" i="56"/>
  <c r="AN314" i="56"/>
  <c r="T314" i="56"/>
  <c r="AC314" i="56"/>
  <c r="AO314" i="56"/>
  <c r="M315" i="56"/>
  <c r="V315" i="56"/>
  <c r="AH315" i="56"/>
  <c r="W315" i="56"/>
  <c r="AI315" i="56"/>
  <c r="O315" i="56"/>
  <c r="X315" i="56"/>
  <c r="AJ315" i="56"/>
  <c r="P315" i="56"/>
  <c r="Y315" i="56"/>
  <c r="AK315" i="56"/>
  <c r="Q315" i="56"/>
  <c r="Z315" i="56"/>
  <c r="AL315" i="56"/>
  <c r="R315" i="56"/>
  <c r="AA315" i="56"/>
  <c r="AM315" i="56"/>
  <c r="S315" i="56"/>
  <c r="AB315" i="56"/>
  <c r="AN315" i="56"/>
  <c r="T315" i="56"/>
  <c r="AC315" i="56"/>
  <c r="AO315" i="56"/>
  <c r="M316" i="56"/>
  <c r="V316" i="56"/>
  <c r="AH316" i="56"/>
  <c r="W316" i="56"/>
  <c r="AI316" i="56"/>
  <c r="O316" i="56"/>
  <c r="X316" i="56"/>
  <c r="AJ316" i="56"/>
  <c r="P316" i="56"/>
  <c r="Y316" i="56"/>
  <c r="AK316" i="56"/>
  <c r="Q316" i="56"/>
  <c r="Z316" i="56"/>
  <c r="AL316" i="56"/>
  <c r="R316" i="56"/>
  <c r="AA316" i="56"/>
  <c r="AM316" i="56"/>
  <c r="S316" i="56"/>
  <c r="AB316" i="56"/>
  <c r="AN316" i="56"/>
  <c r="T316" i="56"/>
  <c r="AC316" i="56"/>
  <c r="AO316" i="56"/>
  <c r="M317" i="56"/>
  <c r="V317" i="56"/>
  <c r="AH317" i="56"/>
  <c r="W317" i="56"/>
  <c r="AI317" i="56"/>
  <c r="O317" i="56"/>
  <c r="X317" i="56"/>
  <c r="AJ317" i="56"/>
  <c r="P317" i="56"/>
  <c r="Y317" i="56"/>
  <c r="AK317" i="56"/>
  <c r="Q317" i="56"/>
  <c r="Z317" i="56"/>
  <c r="AL317" i="56"/>
  <c r="R317" i="56"/>
  <c r="AA317" i="56"/>
  <c r="AM317" i="56"/>
  <c r="S317" i="56"/>
  <c r="AB317" i="56"/>
  <c r="AN317" i="56"/>
  <c r="T317" i="56"/>
  <c r="AC317" i="56"/>
  <c r="AO317" i="56"/>
  <c r="M318" i="56"/>
  <c r="V318" i="56"/>
  <c r="AH318" i="56"/>
  <c r="W318" i="56"/>
  <c r="AI318" i="56"/>
  <c r="O318" i="56"/>
  <c r="X318" i="56"/>
  <c r="AJ318" i="56"/>
  <c r="P318" i="56"/>
  <c r="Y318" i="56"/>
  <c r="AK318" i="56"/>
  <c r="Q318" i="56"/>
  <c r="Z318" i="56"/>
  <c r="AL318" i="56"/>
  <c r="R318" i="56"/>
  <c r="AA318" i="56"/>
  <c r="AM318" i="56"/>
  <c r="S318" i="56"/>
  <c r="AB318" i="56"/>
  <c r="AN318" i="56"/>
  <c r="T318" i="56"/>
  <c r="AC318" i="56"/>
  <c r="AO318" i="56"/>
  <c r="B26" i="56"/>
  <c r="C159" i="56"/>
  <c r="C160" i="56"/>
  <c r="C161" i="56"/>
  <c r="C162" i="56"/>
  <c r="C163" i="56"/>
  <c r="C164" i="56"/>
  <c r="C165" i="56"/>
  <c r="C166" i="56"/>
  <c r="C167" i="56"/>
  <c r="C168" i="56"/>
  <c r="C169" i="56"/>
  <c r="C170" i="56"/>
  <c r="C171" i="56"/>
  <c r="C172" i="56"/>
  <c r="C173" i="56"/>
  <c r="C174" i="56"/>
  <c r="C175" i="56"/>
  <c r="C176" i="56"/>
  <c r="C177" i="56"/>
  <c r="C178" i="56"/>
  <c r="B179" i="56"/>
  <c r="C179" i="56"/>
  <c r="B180" i="56"/>
  <c r="C180" i="56"/>
  <c r="B181" i="56"/>
  <c r="C181" i="56"/>
  <c r="B182" i="56"/>
  <c r="C182" i="56"/>
  <c r="B183" i="56"/>
  <c r="C183" i="56"/>
  <c r="B184" i="56"/>
  <c r="C184" i="56"/>
  <c r="B185" i="56"/>
  <c r="C185" i="56"/>
  <c r="B186" i="56"/>
  <c r="C186" i="56"/>
  <c r="B187" i="56"/>
  <c r="C187" i="56"/>
  <c r="B188" i="56"/>
  <c r="C188" i="56"/>
  <c r="B189" i="56"/>
  <c r="C189" i="56"/>
  <c r="B190" i="56"/>
  <c r="C190" i="56"/>
  <c r="B191" i="56"/>
  <c r="C191" i="56"/>
  <c r="B192" i="56"/>
  <c r="C192" i="56"/>
  <c r="B193" i="56"/>
  <c r="C193" i="56"/>
  <c r="B194" i="56"/>
  <c r="C194" i="56"/>
  <c r="B195" i="56"/>
  <c r="C195" i="56"/>
  <c r="B196" i="56"/>
  <c r="C196" i="56"/>
  <c r="B197" i="56"/>
  <c r="C197" i="56"/>
  <c r="B198" i="56"/>
  <c r="C198" i="56"/>
  <c r="B199" i="56"/>
  <c r="C199" i="56"/>
  <c r="B200" i="56"/>
  <c r="C200" i="56"/>
  <c r="B201" i="56"/>
  <c r="C201" i="56"/>
  <c r="B202" i="56"/>
  <c r="C202" i="56"/>
  <c r="B203" i="56"/>
  <c r="C203" i="56"/>
  <c r="B204" i="56"/>
  <c r="C204" i="56"/>
  <c r="B205" i="56"/>
  <c r="C205" i="56"/>
  <c r="B206" i="56"/>
  <c r="C206" i="56"/>
  <c r="B207" i="56"/>
  <c r="C207" i="56"/>
  <c r="B208" i="56"/>
  <c r="C208" i="56"/>
  <c r="B209" i="56"/>
  <c r="C209" i="56"/>
  <c r="B210" i="56"/>
  <c r="C210" i="56"/>
  <c r="B211" i="56"/>
  <c r="C211" i="56"/>
  <c r="B212" i="56"/>
  <c r="C212" i="56"/>
  <c r="B213" i="56"/>
  <c r="C213" i="56"/>
  <c r="B214" i="56"/>
  <c r="C214" i="56"/>
  <c r="B215" i="56"/>
  <c r="C215" i="56"/>
  <c r="B216" i="56"/>
  <c r="C216" i="56"/>
  <c r="B217" i="56"/>
  <c r="C217" i="56"/>
  <c r="B218" i="56"/>
  <c r="C218" i="56"/>
  <c r="B219" i="56"/>
  <c r="C219" i="56"/>
  <c r="B220" i="56"/>
  <c r="C220" i="56"/>
  <c r="B221" i="56"/>
  <c r="C221" i="56"/>
  <c r="B222" i="56"/>
  <c r="C222" i="56"/>
  <c r="B223" i="56"/>
  <c r="C223" i="56"/>
  <c r="B224" i="56"/>
  <c r="C224" i="56"/>
  <c r="B225" i="56"/>
  <c r="C225" i="56"/>
  <c r="B226" i="56"/>
  <c r="C226" i="56"/>
  <c r="B227" i="56"/>
  <c r="C227" i="56"/>
  <c r="B228" i="56"/>
  <c r="C228" i="56"/>
  <c r="B229" i="56"/>
  <c r="C229" i="56"/>
  <c r="B230" i="56"/>
  <c r="C230" i="56"/>
  <c r="B231" i="56"/>
  <c r="C231" i="56"/>
  <c r="B232" i="56"/>
  <c r="C232" i="56"/>
  <c r="B233" i="56"/>
  <c r="C233" i="56"/>
  <c r="B234" i="56"/>
  <c r="C234" i="56"/>
  <c r="B235" i="56"/>
  <c r="C235" i="56"/>
  <c r="B236" i="56"/>
  <c r="C236" i="56"/>
  <c r="B237" i="56"/>
  <c r="C237" i="56"/>
  <c r="B238" i="56"/>
  <c r="C238" i="56"/>
  <c r="B239" i="56"/>
  <c r="C239" i="56"/>
  <c r="B240" i="56"/>
  <c r="C240" i="56"/>
  <c r="B241" i="56"/>
  <c r="C241" i="56"/>
  <c r="B242" i="56"/>
  <c r="C242" i="56"/>
  <c r="B243" i="56"/>
  <c r="C243" i="56"/>
  <c r="B244" i="56"/>
  <c r="C244" i="56"/>
  <c r="B245" i="56"/>
  <c r="C245" i="56"/>
  <c r="B246" i="56"/>
  <c r="C246" i="56"/>
  <c r="B247" i="56"/>
  <c r="C247" i="56"/>
  <c r="B248" i="56"/>
  <c r="C248" i="56"/>
  <c r="B249" i="56"/>
  <c r="C249" i="56"/>
  <c r="B250" i="56"/>
  <c r="C250" i="56"/>
  <c r="B251" i="56"/>
  <c r="C251" i="56"/>
  <c r="B252" i="56"/>
  <c r="C252" i="56"/>
  <c r="B253" i="56"/>
  <c r="C253" i="56"/>
  <c r="B254" i="56"/>
  <c r="C254" i="56"/>
  <c r="B255" i="56"/>
  <c r="C255" i="56"/>
  <c r="B256" i="56"/>
  <c r="C256" i="56"/>
  <c r="B257" i="56"/>
  <c r="C257" i="56"/>
  <c r="B258" i="56"/>
  <c r="C258" i="56"/>
  <c r="B259" i="56"/>
  <c r="C259" i="56"/>
  <c r="B260" i="56"/>
  <c r="C260" i="56"/>
  <c r="B261" i="56"/>
  <c r="C261" i="56"/>
  <c r="B262" i="56"/>
  <c r="C262" i="56"/>
  <c r="B263" i="56"/>
  <c r="C263" i="56"/>
  <c r="B264" i="56"/>
  <c r="C264" i="56"/>
  <c r="B265" i="56"/>
  <c r="C265" i="56"/>
  <c r="B266" i="56"/>
  <c r="C266" i="56"/>
  <c r="B267" i="56"/>
  <c r="C267" i="56"/>
  <c r="B268" i="56"/>
  <c r="C268" i="56"/>
  <c r="B269" i="56"/>
  <c r="C269" i="56"/>
  <c r="B270" i="56"/>
  <c r="C270" i="56"/>
  <c r="B271" i="56"/>
  <c r="C271" i="56"/>
  <c r="B272" i="56"/>
  <c r="C272" i="56"/>
  <c r="B273" i="56"/>
  <c r="C273" i="56"/>
  <c r="B274" i="56"/>
  <c r="C274" i="56"/>
  <c r="B275" i="56"/>
  <c r="C275" i="56"/>
  <c r="B276" i="56"/>
  <c r="C276" i="56"/>
  <c r="B277" i="56"/>
  <c r="C277" i="56"/>
  <c r="B278" i="56"/>
  <c r="C278" i="56"/>
  <c r="B279" i="56"/>
  <c r="C279" i="56"/>
  <c r="B280" i="56"/>
  <c r="C280" i="56"/>
  <c r="B281" i="56"/>
  <c r="C281" i="56"/>
  <c r="B282" i="56"/>
  <c r="C282" i="56"/>
  <c r="B283" i="56"/>
  <c r="C283" i="56"/>
  <c r="B284" i="56"/>
  <c r="C284" i="56"/>
  <c r="B285" i="56"/>
  <c r="C285" i="56"/>
  <c r="B286" i="56"/>
  <c r="C286" i="56"/>
  <c r="B287" i="56"/>
  <c r="C287" i="56"/>
  <c r="B288" i="56"/>
  <c r="C288" i="56"/>
  <c r="B289" i="56"/>
  <c r="C289" i="56"/>
  <c r="B290" i="56"/>
  <c r="C290" i="56"/>
  <c r="B291" i="56"/>
  <c r="C291" i="56"/>
  <c r="B292" i="56"/>
  <c r="C292" i="56"/>
  <c r="B293" i="56"/>
  <c r="C293" i="56"/>
  <c r="B294" i="56"/>
  <c r="C294" i="56"/>
  <c r="B295" i="56"/>
  <c r="C295" i="56"/>
  <c r="B296" i="56"/>
  <c r="C296" i="56"/>
  <c r="B297" i="56"/>
  <c r="C297" i="56"/>
  <c r="B298" i="56"/>
  <c r="C298" i="56"/>
  <c r="B299" i="56"/>
  <c r="C299" i="56"/>
  <c r="B300" i="56"/>
  <c r="C300" i="56"/>
  <c r="B301" i="56"/>
  <c r="C301" i="56"/>
  <c r="B302" i="56"/>
  <c r="C302" i="56"/>
  <c r="B303" i="56"/>
  <c r="C303" i="56"/>
  <c r="B304" i="56"/>
  <c r="C304" i="56"/>
  <c r="B305" i="56"/>
  <c r="C305" i="56"/>
  <c r="B306" i="56"/>
  <c r="C306" i="56"/>
  <c r="B307" i="56"/>
  <c r="C307" i="56"/>
  <c r="B308" i="56"/>
  <c r="C308" i="56"/>
  <c r="B309" i="56"/>
  <c r="C309" i="56"/>
  <c r="B310" i="56"/>
  <c r="C310" i="56"/>
  <c r="B311" i="56"/>
  <c r="C311" i="56"/>
  <c r="B312" i="56"/>
  <c r="C312" i="56"/>
  <c r="B313" i="56"/>
  <c r="C313" i="56"/>
  <c r="B314" i="56"/>
  <c r="C314" i="56"/>
  <c r="B315" i="56"/>
  <c r="C315" i="56"/>
  <c r="B316" i="56"/>
  <c r="C316" i="56"/>
  <c r="B317" i="56"/>
  <c r="C317" i="56"/>
  <c r="B318" i="56"/>
  <c r="C318" i="56"/>
  <c r="B21" i="56"/>
  <c r="D26" i="56"/>
  <c r="B25" i="56"/>
  <c r="B20" i="56"/>
  <c r="D25" i="56"/>
  <c r="E26" i="56"/>
  <c r="C24" i="56"/>
  <c r="B19" i="56"/>
  <c r="C19" i="56"/>
  <c r="D24" i="56"/>
  <c r="E24" i="56"/>
  <c r="C78" i="55"/>
  <c r="AJ78" i="55"/>
  <c r="C79" i="55"/>
  <c r="AJ79" i="55"/>
  <c r="C80" i="55"/>
  <c r="AJ80" i="55"/>
  <c r="C81" i="55"/>
  <c r="AJ81" i="55"/>
  <c r="C82" i="55"/>
  <c r="AJ82" i="55"/>
  <c r="C83" i="55"/>
  <c r="AJ83" i="55"/>
  <c r="C84" i="55"/>
  <c r="AJ84" i="55"/>
  <c r="C85" i="55"/>
  <c r="AJ85" i="55"/>
  <c r="C86" i="55"/>
  <c r="AJ86" i="55"/>
  <c r="C87" i="55"/>
  <c r="AJ87" i="55"/>
  <c r="C88" i="55"/>
  <c r="AJ88" i="55"/>
  <c r="C89" i="55"/>
  <c r="AJ89" i="55"/>
  <c r="C90" i="55"/>
  <c r="AJ90" i="55"/>
  <c r="C91" i="55"/>
  <c r="AJ91" i="55"/>
  <c r="C92" i="55"/>
  <c r="AJ92" i="55"/>
  <c r="C93" i="55"/>
  <c r="AJ93" i="55"/>
  <c r="C94" i="55"/>
  <c r="AJ94" i="55"/>
  <c r="C95" i="55"/>
  <c r="AJ95" i="55"/>
  <c r="C96" i="55"/>
  <c r="AJ96" i="55"/>
  <c r="C97" i="55"/>
  <c r="AJ97" i="55"/>
  <c r="C98" i="55"/>
  <c r="AJ98" i="55"/>
  <c r="C99" i="55"/>
  <c r="AJ99" i="55"/>
  <c r="C100" i="55"/>
  <c r="AJ100" i="55"/>
  <c r="C101" i="55"/>
  <c r="AJ101" i="55"/>
  <c r="C102" i="55"/>
  <c r="AJ102" i="55"/>
  <c r="C103" i="55"/>
  <c r="AJ103" i="55"/>
  <c r="C104" i="55"/>
  <c r="AJ104" i="55"/>
  <c r="C105" i="55"/>
  <c r="AJ105" i="55"/>
  <c r="C106" i="55"/>
  <c r="AJ106" i="55"/>
  <c r="C107" i="55"/>
  <c r="AJ107" i="55"/>
  <c r="C108" i="55"/>
  <c r="AJ108" i="55"/>
  <c r="C109" i="55"/>
  <c r="AJ109" i="55"/>
  <c r="C110" i="55"/>
  <c r="AJ110" i="55"/>
  <c r="C111" i="55"/>
  <c r="AJ111" i="55"/>
  <c r="C112" i="55"/>
  <c r="AJ112" i="55"/>
  <c r="C113" i="55"/>
  <c r="AJ113" i="55"/>
  <c r="C114" i="55"/>
  <c r="AJ114" i="55"/>
  <c r="C115" i="55"/>
  <c r="AJ115" i="55"/>
  <c r="C116" i="55"/>
  <c r="AJ116" i="55"/>
  <c r="C117" i="55"/>
  <c r="AJ117" i="55"/>
  <c r="C118" i="55"/>
  <c r="AJ118" i="55"/>
  <c r="C119" i="55"/>
  <c r="AJ119" i="55"/>
  <c r="C158" i="55"/>
  <c r="C120" i="55"/>
  <c r="AJ120" i="55"/>
  <c r="C121" i="55"/>
  <c r="AJ121" i="55"/>
  <c r="C122" i="55"/>
  <c r="AJ122" i="55"/>
  <c r="C123" i="55"/>
  <c r="AJ123" i="55"/>
  <c r="C124" i="55"/>
  <c r="AJ124" i="55"/>
  <c r="C125" i="55"/>
  <c r="AJ125" i="55"/>
  <c r="C126" i="55"/>
  <c r="AJ126" i="55"/>
  <c r="C127" i="55"/>
  <c r="AJ127" i="55"/>
  <c r="C128" i="55"/>
  <c r="AJ128" i="55"/>
  <c r="C129" i="55"/>
  <c r="AJ129" i="55"/>
  <c r="C130" i="55"/>
  <c r="AJ130" i="55"/>
  <c r="C131" i="55"/>
  <c r="AJ131" i="55"/>
  <c r="C132" i="55"/>
  <c r="AJ132" i="55"/>
  <c r="C133" i="55"/>
  <c r="AJ133" i="55"/>
  <c r="C134" i="55"/>
  <c r="AJ134" i="55"/>
  <c r="C135" i="55"/>
  <c r="AJ135" i="55"/>
  <c r="C136" i="55"/>
  <c r="AJ136" i="55"/>
  <c r="C137" i="55"/>
  <c r="AJ137" i="55"/>
  <c r="C138" i="55"/>
  <c r="AJ138" i="55"/>
  <c r="C139" i="55"/>
  <c r="AJ139" i="55"/>
  <c r="C140" i="55"/>
  <c r="AJ140" i="55"/>
  <c r="C141" i="55"/>
  <c r="AJ141" i="55"/>
  <c r="C142" i="55"/>
  <c r="AJ142" i="55"/>
  <c r="C143" i="55"/>
  <c r="AJ143" i="55"/>
  <c r="C144" i="55"/>
  <c r="AJ144" i="55"/>
  <c r="C145" i="55"/>
  <c r="AJ145" i="55"/>
  <c r="C146" i="55"/>
  <c r="AJ146" i="55"/>
  <c r="C147" i="55"/>
  <c r="AJ147" i="55"/>
  <c r="C148" i="55"/>
  <c r="AJ148" i="55"/>
  <c r="C149" i="55"/>
  <c r="AJ149" i="55"/>
  <c r="C150" i="55"/>
  <c r="AJ150" i="55"/>
  <c r="C151" i="55"/>
  <c r="AJ151" i="55"/>
  <c r="C152" i="55"/>
  <c r="AJ152" i="55"/>
  <c r="C153" i="55"/>
  <c r="AJ153" i="55"/>
  <c r="C154" i="55"/>
  <c r="AJ154" i="55"/>
  <c r="C155" i="55"/>
  <c r="AJ155" i="55"/>
  <c r="C156" i="55"/>
  <c r="AJ156" i="55"/>
  <c r="C157" i="55"/>
  <c r="AJ157" i="55"/>
  <c r="AJ158" i="55"/>
  <c r="D40" i="55"/>
  <c r="D118" i="55"/>
  <c r="AK118" i="55"/>
  <c r="AL118" i="55"/>
  <c r="F40" i="55"/>
  <c r="F118" i="55"/>
  <c r="AM118" i="55"/>
  <c r="G41" i="55"/>
  <c r="G118" i="55"/>
  <c r="AN118" i="55"/>
  <c r="H41" i="55"/>
  <c r="H118" i="55"/>
  <c r="AO118" i="55"/>
  <c r="I118" i="55"/>
  <c r="AP118" i="55"/>
  <c r="J118" i="55"/>
  <c r="AQ118" i="55"/>
  <c r="K42" i="55"/>
  <c r="K118" i="55"/>
  <c r="AR118" i="55"/>
  <c r="D119" i="55"/>
  <c r="AK119" i="55"/>
  <c r="AL119" i="55"/>
  <c r="F119" i="55"/>
  <c r="AM119" i="55"/>
  <c r="G119" i="55"/>
  <c r="AN119" i="55"/>
  <c r="H119" i="55"/>
  <c r="AO119" i="55"/>
  <c r="I119" i="55"/>
  <c r="AP119" i="55"/>
  <c r="J119" i="55"/>
  <c r="AQ119" i="55"/>
  <c r="K119" i="55"/>
  <c r="AR119" i="55"/>
  <c r="D120" i="55"/>
  <c r="AK120" i="55"/>
  <c r="AL120" i="55"/>
  <c r="F120" i="55"/>
  <c r="AM120" i="55"/>
  <c r="G120" i="55"/>
  <c r="AN120" i="55"/>
  <c r="H120" i="55"/>
  <c r="AO120" i="55"/>
  <c r="I120" i="55"/>
  <c r="AP120" i="55"/>
  <c r="J120" i="55"/>
  <c r="AQ120" i="55"/>
  <c r="K120" i="55"/>
  <c r="AR120" i="55"/>
  <c r="D121" i="55"/>
  <c r="AK121" i="55"/>
  <c r="AL121" i="55"/>
  <c r="F121" i="55"/>
  <c r="AM121" i="55"/>
  <c r="G121" i="55"/>
  <c r="AN121" i="55"/>
  <c r="H121" i="55"/>
  <c r="AO121" i="55"/>
  <c r="I121" i="55"/>
  <c r="AP121" i="55"/>
  <c r="J121" i="55"/>
  <c r="AQ121" i="55"/>
  <c r="K121" i="55"/>
  <c r="AR121" i="55"/>
  <c r="D122" i="55"/>
  <c r="AK122" i="55"/>
  <c r="AL122" i="55"/>
  <c r="F122" i="55"/>
  <c r="AM122" i="55"/>
  <c r="G122" i="55"/>
  <c r="AN122" i="55"/>
  <c r="H122" i="55"/>
  <c r="AO122" i="55"/>
  <c r="I122" i="55"/>
  <c r="AP122" i="55"/>
  <c r="J122" i="55"/>
  <c r="AQ122" i="55"/>
  <c r="K122" i="55"/>
  <c r="AR122" i="55"/>
  <c r="D123" i="55"/>
  <c r="AK123" i="55"/>
  <c r="AL123" i="55"/>
  <c r="F123" i="55"/>
  <c r="AM123" i="55"/>
  <c r="G123" i="55"/>
  <c r="AN123" i="55"/>
  <c r="H123" i="55"/>
  <c r="AO123" i="55"/>
  <c r="I123" i="55"/>
  <c r="AP123" i="55"/>
  <c r="J123" i="55"/>
  <c r="AQ123" i="55"/>
  <c r="K123" i="55"/>
  <c r="AR123" i="55"/>
  <c r="D124" i="55"/>
  <c r="AK124" i="55"/>
  <c r="AL124" i="55"/>
  <c r="F124" i="55"/>
  <c r="AM124" i="55"/>
  <c r="G124" i="55"/>
  <c r="AN124" i="55"/>
  <c r="H124" i="55"/>
  <c r="AO124" i="55"/>
  <c r="I124" i="55"/>
  <c r="AP124" i="55"/>
  <c r="J124" i="55"/>
  <c r="AQ124" i="55"/>
  <c r="K124" i="55"/>
  <c r="AR124" i="55"/>
  <c r="D125" i="55"/>
  <c r="AK125" i="55"/>
  <c r="AL125" i="55"/>
  <c r="F125" i="55"/>
  <c r="AM125" i="55"/>
  <c r="G125" i="55"/>
  <c r="AN125" i="55"/>
  <c r="H125" i="55"/>
  <c r="AO125" i="55"/>
  <c r="I125" i="55"/>
  <c r="AP125" i="55"/>
  <c r="J125" i="55"/>
  <c r="AQ125" i="55"/>
  <c r="K125" i="55"/>
  <c r="AR125" i="55"/>
  <c r="D126" i="55"/>
  <c r="AK126" i="55"/>
  <c r="AL126" i="55"/>
  <c r="F126" i="55"/>
  <c r="AM126" i="55"/>
  <c r="G126" i="55"/>
  <c r="AN126" i="55"/>
  <c r="H126" i="55"/>
  <c r="AO126" i="55"/>
  <c r="I126" i="55"/>
  <c r="AP126" i="55"/>
  <c r="J126" i="55"/>
  <c r="AQ126" i="55"/>
  <c r="K126" i="55"/>
  <c r="AR126" i="55"/>
  <c r="D127" i="55"/>
  <c r="AK127" i="55"/>
  <c r="AL127" i="55"/>
  <c r="F127" i="55"/>
  <c r="AM127" i="55"/>
  <c r="G127" i="55"/>
  <c r="AN127" i="55"/>
  <c r="H127" i="55"/>
  <c r="AO127" i="55"/>
  <c r="I127" i="55"/>
  <c r="AP127" i="55"/>
  <c r="J127" i="55"/>
  <c r="AQ127" i="55"/>
  <c r="K127" i="55"/>
  <c r="AR127" i="55"/>
  <c r="D128" i="55"/>
  <c r="AK128" i="55"/>
  <c r="AL128" i="55"/>
  <c r="F128" i="55"/>
  <c r="AM128" i="55"/>
  <c r="G128" i="55"/>
  <c r="AN128" i="55"/>
  <c r="H128" i="55"/>
  <c r="AO128" i="55"/>
  <c r="I128" i="55"/>
  <c r="AP128" i="55"/>
  <c r="J128" i="55"/>
  <c r="AQ128" i="55"/>
  <c r="K128" i="55"/>
  <c r="AR128" i="55"/>
  <c r="D129" i="55"/>
  <c r="AK129" i="55"/>
  <c r="AL129" i="55"/>
  <c r="F129" i="55"/>
  <c r="AM129" i="55"/>
  <c r="G129" i="55"/>
  <c r="AN129" i="55"/>
  <c r="H129" i="55"/>
  <c r="AO129" i="55"/>
  <c r="I129" i="55"/>
  <c r="AP129" i="55"/>
  <c r="J129" i="55"/>
  <c r="AQ129" i="55"/>
  <c r="K129" i="55"/>
  <c r="AR129" i="55"/>
  <c r="D130" i="55"/>
  <c r="AK130" i="55"/>
  <c r="AL130" i="55"/>
  <c r="F130" i="55"/>
  <c r="AM130" i="55"/>
  <c r="G130" i="55"/>
  <c r="AN130" i="55"/>
  <c r="H130" i="55"/>
  <c r="AO130" i="55"/>
  <c r="I130" i="55"/>
  <c r="AP130" i="55"/>
  <c r="J130" i="55"/>
  <c r="AQ130" i="55"/>
  <c r="K130" i="55"/>
  <c r="AR130" i="55"/>
  <c r="D131" i="55"/>
  <c r="AK131" i="55"/>
  <c r="AL131" i="55"/>
  <c r="F131" i="55"/>
  <c r="AM131" i="55"/>
  <c r="G131" i="55"/>
  <c r="AN131" i="55"/>
  <c r="H131" i="55"/>
  <c r="AO131" i="55"/>
  <c r="I131" i="55"/>
  <c r="AP131" i="55"/>
  <c r="J131" i="55"/>
  <c r="AQ131" i="55"/>
  <c r="K131" i="55"/>
  <c r="AR131" i="55"/>
  <c r="D132" i="55"/>
  <c r="AK132" i="55"/>
  <c r="AL132" i="55"/>
  <c r="F132" i="55"/>
  <c r="AM132" i="55"/>
  <c r="G132" i="55"/>
  <c r="AN132" i="55"/>
  <c r="H132" i="55"/>
  <c r="AO132" i="55"/>
  <c r="I132" i="55"/>
  <c r="AP132" i="55"/>
  <c r="J132" i="55"/>
  <c r="AQ132" i="55"/>
  <c r="K132" i="55"/>
  <c r="AR132" i="55"/>
  <c r="D133" i="55"/>
  <c r="AK133" i="55"/>
  <c r="AL133" i="55"/>
  <c r="F133" i="55"/>
  <c r="AM133" i="55"/>
  <c r="G133" i="55"/>
  <c r="AN133" i="55"/>
  <c r="H133" i="55"/>
  <c r="AO133" i="55"/>
  <c r="I133" i="55"/>
  <c r="AP133" i="55"/>
  <c r="J133" i="55"/>
  <c r="AQ133" i="55"/>
  <c r="K133" i="55"/>
  <c r="AR133" i="55"/>
  <c r="D134" i="55"/>
  <c r="AK134" i="55"/>
  <c r="AL134" i="55"/>
  <c r="F134" i="55"/>
  <c r="AM134" i="55"/>
  <c r="G134" i="55"/>
  <c r="AN134" i="55"/>
  <c r="H134" i="55"/>
  <c r="AO134" i="55"/>
  <c r="I134" i="55"/>
  <c r="AP134" i="55"/>
  <c r="J134" i="55"/>
  <c r="AQ134" i="55"/>
  <c r="K134" i="55"/>
  <c r="AR134" i="55"/>
  <c r="D135" i="55"/>
  <c r="AK135" i="55"/>
  <c r="AL135" i="55"/>
  <c r="F135" i="55"/>
  <c r="AM135" i="55"/>
  <c r="G135" i="55"/>
  <c r="AN135" i="55"/>
  <c r="H135" i="55"/>
  <c r="AO135" i="55"/>
  <c r="I135" i="55"/>
  <c r="AP135" i="55"/>
  <c r="J135" i="55"/>
  <c r="AQ135" i="55"/>
  <c r="K135" i="55"/>
  <c r="AR135" i="55"/>
  <c r="D136" i="55"/>
  <c r="AK136" i="55"/>
  <c r="AL136" i="55"/>
  <c r="F136" i="55"/>
  <c r="AM136" i="55"/>
  <c r="G136" i="55"/>
  <c r="AN136" i="55"/>
  <c r="H136" i="55"/>
  <c r="AO136" i="55"/>
  <c r="I136" i="55"/>
  <c r="AP136" i="55"/>
  <c r="J136" i="55"/>
  <c r="AQ136" i="55"/>
  <c r="K136" i="55"/>
  <c r="AR136" i="55"/>
  <c r="D137" i="55"/>
  <c r="AK137" i="55"/>
  <c r="AL137" i="55"/>
  <c r="F137" i="55"/>
  <c r="AM137" i="55"/>
  <c r="G137" i="55"/>
  <c r="AN137" i="55"/>
  <c r="H137" i="55"/>
  <c r="AO137" i="55"/>
  <c r="I137" i="55"/>
  <c r="AP137" i="55"/>
  <c r="J137" i="55"/>
  <c r="AQ137" i="55"/>
  <c r="K137" i="55"/>
  <c r="AR137" i="55"/>
  <c r="D138" i="55"/>
  <c r="AK138" i="55"/>
  <c r="AL138" i="55"/>
  <c r="F138" i="55"/>
  <c r="AM138" i="55"/>
  <c r="G138" i="55"/>
  <c r="AN138" i="55"/>
  <c r="H138" i="55"/>
  <c r="AO138" i="55"/>
  <c r="I138" i="55"/>
  <c r="AP138" i="55"/>
  <c r="J138" i="55"/>
  <c r="AQ138" i="55"/>
  <c r="K138" i="55"/>
  <c r="AR138" i="55"/>
  <c r="D139" i="55"/>
  <c r="AK139" i="55"/>
  <c r="AL139" i="55"/>
  <c r="F139" i="55"/>
  <c r="AM139" i="55"/>
  <c r="G139" i="55"/>
  <c r="AN139" i="55"/>
  <c r="H139" i="55"/>
  <c r="AO139" i="55"/>
  <c r="I139" i="55"/>
  <c r="AP139" i="55"/>
  <c r="J139" i="55"/>
  <c r="AQ139" i="55"/>
  <c r="K139" i="55"/>
  <c r="AR139" i="55"/>
  <c r="D140" i="55"/>
  <c r="AK140" i="55"/>
  <c r="AL140" i="55"/>
  <c r="F140" i="55"/>
  <c r="AM140" i="55"/>
  <c r="G140" i="55"/>
  <c r="AN140" i="55"/>
  <c r="H140" i="55"/>
  <c r="AO140" i="55"/>
  <c r="I140" i="55"/>
  <c r="AP140" i="55"/>
  <c r="J140" i="55"/>
  <c r="AQ140" i="55"/>
  <c r="K140" i="55"/>
  <c r="AR140" i="55"/>
  <c r="D141" i="55"/>
  <c r="AK141" i="55"/>
  <c r="AL141" i="55"/>
  <c r="F141" i="55"/>
  <c r="AM141" i="55"/>
  <c r="G141" i="55"/>
  <c r="AN141" i="55"/>
  <c r="H141" i="55"/>
  <c r="AO141" i="55"/>
  <c r="I141" i="55"/>
  <c r="AP141" i="55"/>
  <c r="J141" i="55"/>
  <c r="AQ141" i="55"/>
  <c r="K141" i="55"/>
  <c r="AR141" i="55"/>
  <c r="D142" i="55"/>
  <c r="AK142" i="55"/>
  <c r="AL142" i="55"/>
  <c r="F142" i="55"/>
  <c r="AM142" i="55"/>
  <c r="G142" i="55"/>
  <c r="AN142" i="55"/>
  <c r="H142" i="55"/>
  <c r="AO142" i="55"/>
  <c r="I142" i="55"/>
  <c r="AP142" i="55"/>
  <c r="J142" i="55"/>
  <c r="AQ142" i="55"/>
  <c r="K142" i="55"/>
  <c r="AR142" i="55"/>
  <c r="D143" i="55"/>
  <c r="AK143" i="55"/>
  <c r="AL143" i="55"/>
  <c r="F143" i="55"/>
  <c r="AM143" i="55"/>
  <c r="G143" i="55"/>
  <c r="AN143" i="55"/>
  <c r="H143" i="55"/>
  <c r="AO143" i="55"/>
  <c r="I143" i="55"/>
  <c r="AP143" i="55"/>
  <c r="J143" i="55"/>
  <c r="AQ143" i="55"/>
  <c r="K143" i="55"/>
  <c r="AR143" i="55"/>
  <c r="D144" i="55"/>
  <c r="AK144" i="55"/>
  <c r="AL144" i="55"/>
  <c r="F144" i="55"/>
  <c r="AM144" i="55"/>
  <c r="G144" i="55"/>
  <c r="AN144" i="55"/>
  <c r="H144" i="55"/>
  <c r="AO144" i="55"/>
  <c r="I144" i="55"/>
  <c r="AP144" i="55"/>
  <c r="J144" i="55"/>
  <c r="AQ144" i="55"/>
  <c r="K144" i="55"/>
  <c r="AR144" i="55"/>
  <c r="D145" i="55"/>
  <c r="AK145" i="55"/>
  <c r="AL145" i="55"/>
  <c r="F145" i="55"/>
  <c r="AM145" i="55"/>
  <c r="G145" i="55"/>
  <c r="AN145" i="55"/>
  <c r="H145" i="55"/>
  <c r="AO145" i="55"/>
  <c r="I145" i="55"/>
  <c r="AP145" i="55"/>
  <c r="J145" i="55"/>
  <c r="AQ145" i="55"/>
  <c r="K145" i="55"/>
  <c r="AR145" i="55"/>
  <c r="D146" i="55"/>
  <c r="AK146" i="55"/>
  <c r="AL146" i="55"/>
  <c r="F146" i="55"/>
  <c r="AM146" i="55"/>
  <c r="G146" i="55"/>
  <c r="AN146" i="55"/>
  <c r="H146" i="55"/>
  <c r="AO146" i="55"/>
  <c r="I146" i="55"/>
  <c r="AP146" i="55"/>
  <c r="J146" i="55"/>
  <c r="AQ146" i="55"/>
  <c r="K146" i="55"/>
  <c r="AR146" i="55"/>
  <c r="D147" i="55"/>
  <c r="AK147" i="55"/>
  <c r="AL147" i="55"/>
  <c r="F147" i="55"/>
  <c r="AM147" i="55"/>
  <c r="G147" i="55"/>
  <c r="AN147" i="55"/>
  <c r="H147" i="55"/>
  <c r="AO147" i="55"/>
  <c r="I147" i="55"/>
  <c r="AP147" i="55"/>
  <c r="J147" i="55"/>
  <c r="AQ147" i="55"/>
  <c r="K147" i="55"/>
  <c r="AR147" i="55"/>
  <c r="D148" i="55"/>
  <c r="AK148" i="55"/>
  <c r="AL148" i="55"/>
  <c r="F148" i="55"/>
  <c r="AM148" i="55"/>
  <c r="G148" i="55"/>
  <c r="AN148" i="55"/>
  <c r="H148" i="55"/>
  <c r="AO148" i="55"/>
  <c r="I148" i="55"/>
  <c r="AP148" i="55"/>
  <c r="J148" i="55"/>
  <c r="AQ148" i="55"/>
  <c r="K148" i="55"/>
  <c r="AR148" i="55"/>
  <c r="D149" i="55"/>
  <c r="AK149" i="55"/>
  <c r="AL149" i="55"/>
  <c r="F149" i="55"/>
  <c r="AM149" i="55"/>
  <c r="G149" i="55"/>
  <c r="AN149" i="55"/>
  <c r="H149" i="55"/>
  <c r="AO149" i="55"/>
  <c r="I149" i="55"/>
  <c r="AP149" i="55"/>
  <c r="J149" i="55"/>
  <c r="AQ149" i="55"/>
  <c r="K149" i="55"/>
  <c r="AR149" i="55"/>
  <c r="D150" i="55"/>
  <c r="AK150" i="55"/>
  <c r="AL150" i="55"/>
  <c r="F150" i="55"/>
  <c r="AM150" i="55"/>
  <c r="G150" i="55"/>
  <c r="AN150" i="55"/>
  <c r="H150" i="55"/>
  <c r="AO150" i="55"/>
  <c r="I150" i="55"/>
  <c r="AP150" i="55"/>
  <c r="J150" i="55"/>
  <c r="AQ150" i="55"/>
  <c r="K150" i="55"/>
  <c r="AR150" i="55"/>
  <c r="D151" i="55"/>
  <c r="AK151" i="55"/>
  <c r="AL151" i="55"/>
  <c r="F151" i="55"/>
  <c r="AM151" i="55"/>
  <c r="G151" i="55"/>
  <c r="AN151" i="55"/>
  <c r="H151" i="55"/>
  <c r="AO151" i="55"/>
  <c r="I151" i="55"/>
  <c r="AP151" i="55"/>
  <c r="J151" i="55"/>
  <c r="AQ151" i="55"/>
  <c r="K151" i="55"/>
  <c r="AR151" i="55"/>
  <c r="D152" i="55"/>
  <c r="AK152" i="55"/>
  <c r="AL152" i="55"/>
  <c r="F152" i="55"/>
  <c r="AM152" i="55"/>
  <c r="G152" i="55"/>
  <c r="AN152" i="55"/>
  <c r="H152" i="55"/>
  <c r="AO152" i="55"/>
  <c r="I152" i="55"/>
  <c r="AP152" i="55"/>
  <c r="J152" i="55"/>
  <c r="AQ152" i="55"/>
  <c r="K152" i="55"/>
  <c r="AR152" i="55"/>
  <c r="D153" i="55"/>
  <c r="AK153" i="55"/>
  <c r="AL153" i="55"/>
  <c r="F153" i="55"/>
  <c r="AM153" i="55"/>
  <c r="G153" i="55"/>
  <c r="AN153" i="55"/>
  <c r="H153" i="55"/>
  <c r="AO153" i="55"/>
  <c r="I153" i="55"/>
  <c r="AP153" i="55"/>
  <c r="J153" i="55"/>
  <c r="AQ153" i="55"/>
  <c r="K153" i="55"/>
  <c r="AR153" i="55"/>
  <c r="D154" i="55"/>
  <c r="AK154" i="55"/>
  <c r="AL154" i="55"/>
  <c r="F154" i="55"/>
  <c r="AM154" i="55"/>
  <c r="G154" i="55"/>
  <c r="AN154" i="55"/>
  <c r="H154" i="55"/>
  <c r="AO154" i="55"/>
  <c r="I154" i="55"/>
  <c r="AP154" i="55"/>
  <c r="J154" i="55"/>
  <c r="AQ154" i="55"/>
  <c r="K154" i="55"/>
  <c r="AR154" i="55"/>
  <c r="D155" i="55"/>
  <c r="AK155" i="55"/>
  <c r="AL155" i="55"/>
  <c r="F155" i="55"/>
  <c r="AM155" i="55"/>
  <c r="G155" i="55"/>
  <c r="AN155" i="55"/>
  <c r="H155" i="55"/>
  <c r="AO155" i="55"/>
  <c r="I155" i="55"/>
  <c r="AP155" i="55"/>
  <c r="J155" i="55"/>
  <c r="AQ155" i="55"/>
  <c r="K155" i="55"/>
  <c r="AR155" i="55"/>
  <c r="D156" i="55"/>
  <c r="AK156" i="55"/>
  <c r="AL156" i="55"/>
  <c r="F156" i="55"/>
  <c r="AM156" i="55"/>
  <c r="G156" i="55"/>
  <c r="AN156" i="55"/>
  <c r="H156" i="55"/>
  <c r="AO156" i="55"/>
  <c r="I156" i="55"/>
  <c r="AP156" i="55"/>
  <c r="J156" i="55"/>
  <c r="AQ156" i="55"/>
  <c r="K156" i="55"/>
  <c r="AR156" i="55"/>
  <c r="D157" i="55"/>
  <c r="AK157" i="55"/>
  <c r="AL157" i="55"/>
  <c r="F157" i="55"/>
  <c r="AM157" i="55"/>
  <c r="G157" i="55"/>
  <c r="AN157" i="55"/>
  <c r="H157" i="55"/>
  <c r="AO157" i="55"/>
  <c r="I157" i="55"/>
  <c r="AP157" i="55"/>
  <c r="J157" i="55"/>
  <c r="AQ157" i="55"/>
  <c r="K157" i="55"/>
  <c r="AR157" i="55"/>
  <c r="D158" i="55"/>
  <c r="M158" i="55"/>
  <c r="AK158" i="55"/>
  <c r="N158" i="55"/>
  <c r="AL158" i="55"/>
  <c r="F158" i="55"/>
  <c r="O158" i="55"/>
  <c r="AM158" i="55"/>
  <c r="G158" i="55"/>
  <c r="P158" i="55"/>
  <c r="AN158" i="55"/>
  <c r="H158" i="55"/>
  <c r="Q158" i="55"/>
  <c r="AO158" i="55"/>
  <c r="I158" i="55"/>
  <c r="R158" i="55"/>
  <c r="AP158" i="55"/>
  <c r="J158" i="55"/>
  <c r="S158" i="55"/>
  <c r="AQ158" i="55"/>
  <c r="K158" i="55"/>
  <c r="T42" i="55"/>
  <c r="T158" i="55"/>
  <c r="AR158" i="55"/>
  <c r="D159" i="55"/>
  <c r="M159" i="55"/>
  <c r="AK159" i="55"/>
  <c r="N159" i="55"/>
  <c r="AL159" i="55"/>
  <c r="F159" i="55"/>
  <c r="O159" i="55"/>
  <c r="AM159" i="55"/>
  <c r="G159" i="55"/>
  <c r="P159" i="55"/>
  <c r="AN159" i="55"/>
  <c r="H159" i="55"/>
  <c r="Q159" i="55"/>
  <c r="AO159" i="55"/>
  <c r="I159" i="55"/>
  <c r="R159" i="55"/>
  <c r="AP159" i="55"/>
  <c r="J159" i="55"/>
  <c r="S159" i="55"/>
  <c r="AQ159" i="55"/>
  <c r="K159" i="55"/>
  <c r="T159" i="55"/>
  <c r="AR159" i="55"/>
  <c r="D160" i="55"/>
  <c r="M160" i="55"/>
  <c r="AK160" i="55"/>
  <c r="N160" i="55"/>
  <c r="AL160" i="55"/>
  <c r="F160" i="55"/>
  <c r="O160" i="55"/>
  <c r="AM160" i="55"/>
  <c r="G160" i="55"/>
  <c r="P160" i="55"/>
  <c r="AN160" i="55"/>
  <c r="H160" i="55"/>
  <c r="Q160" i="55"/>
  <c r="AO160" i="55"/>
  <c r="I160" i="55"/>
  <c r="R160" i="55"/>
  <c r="AP160" i="55"/>
  <c r="J160" i="55"/>
  <c r="S160" i="55"/>
  <c r="AQ160" i="55"/>
  <c r="K160" i="55"/>
  <c r="T160" i="55"/>
  <c r="AR160" i="55"/>
  <c r="D161" i="55"/>
  <c r="M161" i="55"/>
  <c r="AK161" i="55"/>
  <c r="N161" i="55"/>
  <c r="AL161" i="55"/>
  <c r="F161" i="55"/>
  <c r="O161" i="55"/>
  <c r="AM161" i="55"/>
  <c r="G161" i="55"/>
  <c r="P161" i="55"/>
  <c r="AN161" i="55"/>
  <c r="H161" i="55"/>
  <c r="Q161" i="55"/>
  <c r="AO161" i="55"/>
  <c r="I161" i="55"/>
  <c r="R161" i="55"/>
  <c r="AP161" i="55"/>
  <c r="J161" i="55"/>
  <c r="S161" i="55"/>
  <c r="AQ161" i="55"/>
  <c r="K161" i="55"/>
  <c r="T161" i="55"/>
  <c r="AR161" i="55"/>
  <c r="D162" i="55"/>
  <c r="M162" i="55"/>
  <c r="AK162" i="55"/>
  <c r="N162" i="55"/>
  <c r="AL162" i="55"/>
  <c r="F162" i="55"/>
  <c r="O162" i="55"/>
  <c r="AM162" i="55"/>
  <c r="G162" i="55"/>
  <c r="P162" i="55"/>
  <c r="AN162" i="55"/>
  <c r="H162" i="55"/>
  <c r="Q162" i="55"/>
  <c r="AO162" i="55"/>
  <c r="I162" i="55"/>
  <c r="R162" i="55"/>
  <c r="AP162" i="55"/>
  <c r="J162" i="55"/>
  <c r="S162" i="55"/>
  <c r="AQ162" i="55"/>
  <c r="K162" i="55"/>
  <c r="T162" i="55"/>
  <c r="AR162" i="55"/>
  <c r="D163" i="55"/>
  <c r="M163" i="55"/>
  <c r="AK163" i="55"/>
  <c r="N163" i="55"/>
  <c r="AL163" i="55"/>
  <c r="F163" i="55"/>
  <c r="O163" i="55"/>
  <c r="AM163" i="55"/>
  <c r="G163" i="55"/>
  <c r="P163" i="55"/>
  <c r="AN163" i="55"/>
  <c r="H163" i="55"/>
  <c r="Q163" i="55"/>
  <c r="AO163" i="55"/>
  <c r="I163" i="55"/>
  <c r="R163" i="55"/>
  <c r="AP163" i="55"/>
  <c r="J163" i="55"/>
  <c r="S163" i="55"/>
  <c r="AQ163" i="55"/>
  <c r="K163" i="55"/>
  <c r="T163" i="55"/>
  <c r="AR163" i="55"/>
  <c r="D164" i="55"/>
  <c r="M164" i="55"/>
  <c r="AK164" i="55"/>
  <c r="N164" i="55"/>
  <c r="AL164" i="55"/>
  <c r="F164" i="55"/>
  <c r="O164" i="55"/>
  <c r="AM164" i="55"/>
  <c r="G164" i="55"/>
  <c r="P164" i="55"/>
  <c r="AN164" i="55"/>
  <c r="H164" i="55"/>
  <c r="Q164" i="55"/>
  <c r="AO164" i="55"/>
  <c r="I164" i="55"/>
  <c r="R164" i="55"/>
  <c r="AP164" i="55"/>
  <c r="J164" i="55"/>
  <c r="S164" i="55"/>
  <c r="AQ164" i="55"/>
  <c r="K164" i="55"/>
  <c r="T164" i="55"/>
  <c r="AR164" i="55"/>
  <c r="D165" i="55"/>
  <c r="M165" i="55"/>
  <c r="AK165" i="55"/>
  <c r="N165" i="55"/>
  <c r="AL165" i="55"/>
  <c r="F165" i="55"/>
  <c r="O165" i="55"/>
  <c r="AM165" i="55"/>
  <c r="G165" i="55"/>
  <c r="P165" i="55"/>
  <c r="AN165" i="55"/>
  <c r="H165" i="55"/>
  <c r="Q165" i="55"/>
  <c r="AO165" i="55"/>
  <c r="I165" i="55"/>
  <c r="R165" i="55"/>
  <c r="AP165" i="55"/>
  <c r="J165" i="55"/>
  <c r="S165" i="55"/>
  <c r="AQ165" i="55"/>
  <c r="K165" i="55"/>
  <c r="T165" i="55"/>
  <c r="AR165" i="55"/>
  <c r="D166" i="55"/>
  <c r="M166" i="55"/>
  <c r="AK166" i="55"/>
  <c r="N166" i="55"/>
  <c r="AL166" i="55"/>
  <c r="F166" i="55"/>
  <c r="O166" i="55"/>
  <c r="AM166" i="55"/>
  <c r="G166" i="55"/>
  <c r="P166" i="55"/>
  <c r="AN166" i="55"/>
  <c r="H166" i="55"/>
  <c r="Q166" i="55"/>
  <c r="AO166" i="55"/>
  <c r="I166" i="55"/>
  <c r="R166" i="55"/>
  <c r="AP166" i="55"/>
  <c r="J166" i="55"/>
  <c r="S166" i="55"/>
  <c r="AQ166" i="55"/>
  <c r="K166" i="55"/>
  <c r="T166" i="55"/>
  <c r="AR166" i="55"/>
  <c r="D167" i="55"/>
  <c r="M167" i="55"/>
  <c r="AK167" i="55"/>
  <c r="N167" i="55"/>
  <c r="AL167" i="55"/>
  <c r="F167" i="55"/>
  <c r="O167" i="55"/>
  <c r="AM167" i="55"/>
  <c r="G167" i="55"/>
  <c r="P167" i="55"/>
  <c r="AN167" i="55"/>
  <c r="H167" i="55"/>
  <c r="Q167" i="55"/>
  <c r="AO167" i="55"/>
  <c r="I167" i="55"/>
  <c r="R167" i="55"/>
  <c r="AP167" i="55"/>
  <c r="J167" i="55"/>
  <c r="S167" i="55"/>
  <c r="AQ167" i="55"/>
  <c r="K167" i="55"/>
  <c r="T167" i="55"/>
  <c r="AR167" i="55"/>
  <c r="D168" i="55"/>
  <c r="M168" i="55"/>
  <c r="AK168" i="55"/>
  <c r="N168" i="55"/>
  <c r="AL168" i="55"/>
  <c r="F168" i="55"/>
  <c r="O168" i="55"/>
  <c r="AM168" i="55"/>
  <c r="G168" i="55"/>
  <c r="P168" i="55"/>
  <c r="AN168" i="55"/>
  <c r="H168" i="55"/>
  <c r="Q168" i="55"/>
  <c r="AO168" i="55"/>
  <c r="I168" i="55"/>
  <c r="R168" i="55"/>
  <c r="AP168" i="55"/>
  <c r="J168" i="55"/>
  <c r="S168" i="55"/>
  <c r="AQ168" i="55"/>
  <c r="K168" i="55"/>
  <c r="T168" i="55"/>
  <c r="AR168" i="55"/>
  <c r="D169" i="55"/>
  <c r="M169" i="55"/>
  <c r="AK169" i="55"/>
  <c r="N169" i="55"/>
  <c r="AL169" i="55"/>
  <c r="F169" i="55"/>
  <c r="O169" i="55"/>
  <c r="AM169" i="55"/>
  <c r="G169" i="55"/>
  <c r="P169" i="55"/>
  <c r="AN169" i="55"/>
  <c r="H169" i="55"/>
  <c r="Q169" i="55"/>
  <c r="AO169" i="55"/>
  <c r="I169" i="55"/>
  <c r="R169" i="55"/>
  <c r="AP169" i="55"/>
  <c r="J169" i="55"/>
  <c r="S169" i="55"/>
  <c r="AQ169" i="55"/>
  <c r="K169" i="55"/>
  <c r="T169" i="55"/>
  <c r="AR169" i="55"/>
  <c r="D170" i="55"/>
  <c r="M170" i="55"/>
  <c r="AK170" i="55"/>
  <c r="N170" i="55"/>
  <c r="AL170" i="55"/>
  <c r="F170" i="55"/>
  <c r="O170" i="55"/>
  <c r="AM170" i="55"/>
  <c r="G170" i="55"/>
  <c r="P170" i="55"/>
  <c r="AN170" i="55"/>
  <c r="H170" i="55"/>
  <c r="Q170" i="55"/>
  <c r="AO170" i="55"/>
  <c r="I170" i="55"/>
  <c r="R170" i="55"/>
  <c r="AP170" i="55"/>
  <c r="J170" i="55"/>
  <c r="S170" i="55"/>
  <c r="AQ170" i="55"/>
  <c r="K170" i="55"/>
  <c r="T170" i="55"/>
  <c r="AR170" i="55"/>
  <c r="D171" i="55"/>
  <c r="M171" i="55"/>
  <c r="AK171" i="55"/>
  <c r="N171" i="55"/>
  <c r="AL171" i="55"/>
  <c r="F171" i="55"/>
  <c r="O171" i="55"/>
  <c r="AM171" i="55"/>
  <c r="G171" i="55"/>
  <c r="P171" i="55"/>
  <c r="AN171" i="55"/>
  <c r="H171" i="55"/>
  <c r="Q171" i="55"/>
  <c r="AO171" i="55"/>
  <c r="I171" i="55"/>
  <c r="R171" i="55"/>
  <c r="AP171" i="55"/>
  <c r="J171" i="55"/>
  <c r="S171" i="55"/>
  <c r="AQ171" i="55"/>
  <c r="K171" i="55"/>
  <c r="T171" i="55"/>
  <c r="AR171" i="55"/>
  <c r="D172" i="55"/>
  <c r="M172" i="55"/>
  <c r="AK172" i="55"/>
  <c r="N172" i="55"/>
  <c r="AL172" i="55"/>
  <c r="F172" i="55"/>
  <c r="O172" i="55"/>
  <c r="AM172" i="55"/>
  <c r="G172" i="55"/>
  <c r="P172" i="55"/>
  <c r="AN172" i="55"/>
  <c r="H172" i="55"/>
  <c r="Q172" i="55"/>
  <c r="AO172" i="55"/>
  <c r="I172" i="55"/>
  <c r="R172" i="55"/>
  <c r="AP172" i="55"/>
  <c r="J172" i="55"/>
  <c r="S172" i="55"/>
  <c r="AQ172" i="55"/>
  <c r="K172" i="55"/>
  <c r="T172" i="55"/>
  <c r="AR172" i="55"/>
  <c r="D173" i="55"/>
  <c r="M173" i="55"/>
  <c r="AK173" i="55"/>
  <c r="N173" i="55"/>
  <c r="AL173" i="55"/>
  <c r="F173" i="55"/>
  <c r="O173" i="55"/>
  <c r="AM173" i="55"/>
  <c r="G173" i="55"/>
  <c r="P173" i="55"/>
  <c r="AN173" i="55"/>
  <c r="H173" i="55"/>
  <c r="Q173" i="55"/>
  <c r="AO173" i="55"/>
  <c r="I173" i="55"/>
  <c r="R173" i="55"/>
  <c r="AP173" i="55"/>
  <c r="J173" i="55"/>
  <c r="S173" i="55"/>
  <c r="AQ173" i="55"/>
  <c r="K173" i="55"/>
  <c r="T173" i="55"/>
  <c r="AR173" i="55"/>
  <c r="D174" i="55"/>
  <c r="M174" i="55"/>
  <c r="AK174" i="55"/>
  <c r="N174" i="55"/>
  <c r="AL174" i="55"/>
  <c r="F174" i="55"/>
  <c r="O174" i="55"/>
  <c r="AM174" i="55"/>
  <c r="G174" i="55"/>
  <c r="P174" i="55"/>
  <c r="AN174" i="55"/>
  <c r="H174" i="55"/>
  <c r="Q174" i="55"/>
  <c r="AO174" i="55"/>
  <c r="I174" i="55"/>
  <c r="R174" i="55"/>
  <c r="AP174" i="55"/>
  <c r="J174" i="55"/>
  <c r="S174" i="55"/>
  <c r="AQ174" i="55"/>
  <c r="K174" i="55"/>
  <c r="T174" i="55"/>
  <c r="AR174" i="55"/>
  <c r="D175" i="55"/>
  <c r="M175" i="55"/>
  <c r="AK175" i="55"/>
  <c r="N175" i="55"/>
  <c r="AL175" i="55"/>
  <c r="F175" i="55"/>
  <c r="O175" i="55"/>
  <c r="AM175" i="55"/>
  <c r="G175" i="55"/>
  <c r="P175" i="55"/>
  <c r="AN175" i="55"/>
  <c r="H175" i="55"/>
  <c r="Q175" i="55"/>
  <c r="AO175" i="55"/>
  <c r="I175" i="55"/>
  <c r="R175" i="55"/>
  <c r="AP175" i="55"/>
  <c r="J175" i="55"/>
  <c r="S175" i="55"/>
  <c r="AQ175" i="55"/>
  <c r="K175" i="55"/>
  <c r="T175" i="55"/>
  <c r="AR175" i="55"/>
  <c r="D176" i="55"/>
  <c r="M176" i="55"/>
  <c r="AK176" i="55"/>
  <c r="N176" i="55"/>
  <c r="AL176" i="55"/>
  <c r="F176" i="55"/>
  <c r="O176" i="55"/>
  <c r="AM176" i="55"/>
  <c r="G176" i="55"/>
  <c r="P176" i="55"/>
  <c r="AN176" i="55"/>
  <c r="H176" i="55"/>
  <c r="Q176" i="55"/>
  <c r="AO176" i="55"/>
  <c r="I176" i="55"/>
  <c r="R176" i="55"/>
  <c r="AP176" i="55"/>
  <c r="J176" i="55"/>
  <c r="S176" i="55"/>
  <c r="AQ176" i="55"/>
  <c r="K176" i="55"/>
  <c r="T176" i="55"/>
  <c r="AR176" i="55"/>
  <c r="D177" i="55"/>
  <c r="M177" i="55"/>
  <c r="AK177" i="55"/>
  <c r="N177" i="55"/>
  <c r="AL177" i="55"/>
  <c r="F177" i="55"/>
  <c r="O177" i="55"/>
  <c r="AM177" i="55"/>
  <c r="G177" i="55"/>
  <c r="P177" i="55"/>
  <c r="AN177" i="55"/>
  <c r="H177" i="55"/>
  <c r="Q177" i="55"/>
  <c r="AO177" i="55"/>
  <c r="I177" i="55"/>
  <c r="R177" i="55"/>
  <c r="AP177" i="55"/>
  <c r="J177" i="55"/>
  <c r="S177" i="55"/>
  <c r="AQ177" i="55"/>
  <c r="K177" i="55"/>
  <c r="T177" i="55"/>
  <c r="AR177" i="55"/>
  <c r="D178" i="55"/>
  <c r="M178" i="55"/>
  <c r="AK178" i="55"/>
  <c r="N178" i="55"/>
  <c r="AL178" i="55"/>
  <c r="F178" i="55"/>
  <c r="O178" i="55"/>
  <c r="AM178" i="55"/>
  <c r="G178" i="55"/>
  <c r="P178" i="55"/>
  <c r="AN178" i="55"/>
  <c r="H178" i="55"/>
  <c r="Q178" i="55"/>
  <c r="AO178" i="55"/>
  <c r="I178" i="55"/>
  <c r="R178" i="55"/>
  <c r="AP178" i="55"/>
  <c r="J178" i="55"/>
  <c r="S178" i="55"/>
  <c r="AQ178" i="55"/>
  <c r="K178" i="55"/>
  <c r="T178" i="55"/>
  <c r="AR178" i="55"/>
  <c r="D179" i="55"/>
  <c r="M179" i="55"/>
  <c r="AK179" i="55"/>
  <c r="N179" i="55"/>
  <c r="AL179" i="55"/>
  <c r="F179" i="55"/>
  <c r="O179" i="55"/>
  <c r="AM179" i="55"/>
  <c r="G179" i="55"/>
  <c r="P179" i="55"/>
  <c r="AN179" i="55"/>
  <c r="H179" i="55"/>
  <c r="Q179" i="55"/>
  <c r="AO179" i="55"/>
  <c r="I179" i="55"/>
  <c r="R179" i="55"/>
  <c r="AP179" i="55"/>
  <c r="J179" i="55"/>
  <c r="S179" i="55"/>
  <c r="AQ179" i="55"/>
  <c r="K179" i="55"/>
  <c r="T179" i="55"/>
  <c r="AR179" i="55"/>
  <c r="D180" i="55"/>
  <c r="M180" i="55"/>
  <c r="AK180" i="55"/>
  <c r="N180" i="55"/>
  <c r="AL180" i="55"/>
  <c r="F180" i="55"/>
  <c r="O180" i="55"/>
  <c r="AM180" i="55"/>
  <c r="G180" i="55"/>
  <c r="P180" i="55"/>
  <c r="AN180" i="55"/>
  <c r="H180" i="55"/>
  <c r="Q180" i="55"/>
  <c r="AO180" i="55"/>
  <c r="I180" i="55"/>
  <c r="R180" i="55"/>
  <c r="AP180" i="55"/>
  <c r="J180" i="55"/>
  <c r="S180" i="55"/>
  <c r="AQ180" i="55"/>
  <c r="K180" i="55"/>
  <c r="T180" i="55"/>
  <c r="AR180" i="55"/>
  <c r="D181" i="55"/>
  <c r="M181" i="55"/>
  <c r="AK181" i="55"/>
  <c r="N181" i="55"/>
  <c r="AL181" i="55"/>
  <c r="F181" i="55"/>
  <c r="O181" i="55"/>
  <c r="AM181" i="55"/>
  <c r="G181" i="55"/>
  <c r="P181" i="55"/>
  <c r="AN181" i="55"/>
  <c r="H181" i="55"/>
  <c r="Q181" i="55"/>
  <c r="AO181" i="55"/>
  <c r="I181" i="55"/>
  <c r="R181" i="55"/>
  <c r="AP181" i="55"/>
  <c r="J181" i="55"/>
  <c r="S181" i="55"/>
  <c r="AQ181" i="55"/>
  <c r="K181" i="55"/>
  <c r="T181" i="55"/>
  <c r="AR181" i="55"/>
  <c r="D182" i="55"/>
  <c r="M182" i="55"/>
  <c r="AK182" i="55"/>
  <c r="N182" i="55"/>
  <c r="AL182" i="55"/>
  <c r="F182" i="55"/>
  <c r="O182" i="55"/>
  <c r="AM182" i="55"/>
  <c r="G182" i="55"/>
  <c r="P182" i="55"/>
  <c r="AN182" i="55"/>
  <c r="H182" i="55"/>
  <c r="Q182" i="55"/>
  <c r="AO182" i="55"/>
  <c r="I182" i="55"/>
  <c r="R182" i="55"/>
  <c r="AP182" i="55"/>
  <c r="J182" i="55"/>
  <c r="S182" i="55"/>
  <c r="AQ182" i="55"/>
  <c r="K182" i="55"/>
  <c r="T182" i="55"/>
  <c r="AR182" i="55"/>
  <c r="D183" i="55"/>
  <c r="M183" i="55"/>
  <c r="AK183" i="55"/>
  <c r="N183" i="55"/>
  <c r="AL183" i="55"/>
  <c r="F183" i="55"/>
  <c r="O183" i="55"/>
  <c r="AM183" i="55"/>
  <c r="G183" i="55"/>
  <c r="P183" i="55"/>
  <c r="AN183" i="55"/>
  <c r="H183" i="55"/>
  <c r="Q183" i="55"/>
  <c r="AO183" i="55"/>
  <c r="I183" i="55"/>
  <c r="R183" i="55"/>
  <c r="AP183" i="55"/>
  <c r="J183" i="55"/>
  <c r="S183" i="55"/>
  <c r="AQ183" i="55"/>
  <c r="K183" i="55"/>
  <c r="T183" i="55"/>
  <c r="AR183" i="55"/>
  <c r="D184" i="55"/>
  <c r="M184" i="55"/>
  <c r="AK184" i="55"/>
  <c r="N184" i="55"/>
  <c r="AL184" i="55"/>
  <c r="F184" i="55"/>
  <c r="O184" i="55"/>
  <c r="AM184" i="55"/>
  <c r="G184" i="55"/>
  <c r="P184" i="55"/>
  <c r="AN184" i="55"/>
  <c r="H184" i="55"/>
  <c r="Q184" i="55"/>
  <c r="AO184" i="55"/>
  <c r="I184" i="55"/>
  <c r="R184" i="55"/>
  <c r="AP184" i="55"/>
  <c r="J184" i="55"/>
  <c r="S184" i="55"/>
  <c r="AQ184" i="55"/>
  <c r="K184" i="55"/>
  <c r="T184" i="55"/>
  <c r="AR184" i="55"/>
  <c r="D185" i="55"/>
  <c r="M185" i="55"/>
  <c r="AK185" i="55"/>
  <c r="N185" i="55"/>
  <c r="AL185" i="55"/>
  <c r="F185" i="55"/>
  <c r="O185" i="55"/>
  <c r="AM185" i="55"/>
  <c r="G185" i="55"/>
  <c r="P185" i="55"/>
  <c r="AN185" i="55"/>
  <c r="H185" i="55"/>
  <c r="Q185" i="55"/>
  <c r="AO185" i="55"/>
  <c r="I185" i="55"/>
  <c r="R185" i="55"/>
  <c r="AP185" i="55"/>
  <c r="J185" i="55"/>
  <c r="S185" i="55"/>
  <c r="AQ185" i="55"/>
  <c r="K185" i="55"/>
  <c r="T185" i="55"/>
  <c r="AR185" i="55"/>
  <c r="D186" i="55"/>
  <c r="M186" i="55"/>
  <c r="AK186" i="55"/>
  <c r="N186" i="55"/>
  <c r="AL186" i="55"/>
  <c r="F186" i="55"/>
  <c r="O186" i="55"/>
  <c r="AM186" i="55"/>
  <c r="G186" i="55"/>
  <c r="P186" i="55"/>
  <c r="AN186" i="55"/>
  <c r="H186" i="55"/>
  <c r="Q186" i="55"/>
  <c r="AO186" i="55"/>
  <c r="I186" i="55"/>
  <c r="R186" i="55"/>
  <c r="AP186" i="55"/>
  <c r="J186" i="55"/>
  <c r="S186" i="55"/>
  <c r="AQ186" i="55"/>
  <c r="K186" i="55"/>
  <c r="T186" i="55"/>
  <c r="AR186" i="55"/>
  <c r="D187" i="55"/>
  <c r="M187" i="55"/>
  <c r="AK187" i="55"/>
  <c r="N187" i="55"/>
  <c r="AL187" i="55"/>
  <c r="F187" i="55"/>
  <c r="O187" i="55"/>
  <c r="AM187" i="55"/>
  <c r="G187" i="55"/>
  <c r="P187" i="55"/>
  <c r="AN187" i="55"/>
  <c r="H187" i="55"/>
  <c r="Q187" i="55"/>
  <c r="AO187" i="55"/>
  <c r="I187" i="55"/>
  <c r="R187" i="55"/>
  <c r="AP187" i="55"/>
  <c r="J187" i="55"/>
  <c r="S187" i="55"/>
  <c r="AQ187" i="55"/>
  <c r="K187" i="55"/>
  <c r="T187" i="55"/>
  <c r="AR187" i="55"/>
  <c r="D188" i="55"/>
  <c r="M188" i="55"/>
  <c r="AK188" i="55"/>
  <c r="N188" i="55"/>
  <c r="AL188" i="55"/>
  <c r="F188" i="55"/>
  <c r="O188" i="55"/>
  <c r="AM188" i="55"/>
  <c r="G188" i="55"/>
  <c r="P188" i="55"/>
  <c r="AN188" i="55"/>
  <c r="H188" i="55"/>
  <c r="Q188" i="55"/>
  <c r="AO188" i="55"/>
  <c r="I188" i="55"/>
  <c r="R188" i="55"/>
  <c r="AP188" i="55"/>
  <c r="J188" i="55"/>
  <c r="S188" i="55"/>
  <c r="AQ188" i="55"/>
  <c r="K188" i="55"/>
  <c r="T188" i="55"/>
  <c r="AR188" i="55"/>
  <c r="D189" i="55"/>
  <c r="M189" i="55"/>
  <c r="AK189" i="55"/>
  <c r="N189" i="55"/>
  <c r="AL189" i="55"/>
  <c r="F189" i="55"/>
  <c r="O189" i="55"/>
  <c r="AM189" i="55"/>
  <c r="G189" i="55"/>
  <c r="P189" i="55"/>
  <c r="AN189" i="55"/>
  <c r="H189" i="55"/>
  <c r="Q189" i="55"/>
  <c r="AO189" i="55"/>
  <c r="I189" i="55"/>
  <c r="R189" i="55"/>
  <c r="AP189" i="55"/>
  <c r="J189" i="55"/>
  <c r="S189" i="55"/>
  <c r="AQ189" i="55"/>
  <c r="K189" i="55"/>
  <c r="T189" i="55"/>
  <c r="AR189" i="55"/>
  <c r="D190" i="55"/>
  <c r="M190" i="55"/>
  <c r="AK190" i="55"/>
  <c r="N190" i="55"/>
  <c r="AL190" i="55"/>
  <c r="F190" i="55"/>
  <c r="O190" i="55"/>
  <c r="AM190" i="55"/>
  <c r="G190" i="55"/>
  <c r="P190" i="55"/>
  <c r="AN190" i="55"/>
  <c r="H190" i="55"/>
  <c r="Q190" i="55"/>
  <c r="AO190" i="55"/>
  <c r="I190" i="55"/>
  <c r="R190" i="55"/>
  <c r="AP190" i="55"/>
  <c r="J190" i="55"/>
  <c r="S190" i="55"/>
  <c r="AQ190" i="55"/>
  <c r="K190" i="55"/>
  <c r="T190" i="55"/>
  <c r="AR190" i="55"/>
  <c r="D191" i="55"/>
  <c r="M191" i="55"/>
  <c r="AK191" i="55"/>
  <c r="N191" i="55"/>
  <c r="AL191" i="55"/>
  <c r="F191" i="55"/>
  <c r="O191" i="55"/>
  <c r="AM191" i="55"/>
  <c r="G191" i="55"/>
  <c r="P191" i="55"/>
  <c r="AN191" i="55"/>
  <c r="H191" i="55"/>
  <c r="Q191" i="55"/>
  <c r="AO191" i="55"/>
  <c r="I191" i="55"/>
  <c r="R191" i="55"/>
  <c r="AP191" i="55"/>
  <c r="J191" i="55"/>
  <c r="S191" i="55"/>
  <c r="AQ191" i="55"/>
  <c r="K191" i="55"/>
  <c r="T191" i="55"/>
  <c r="AR191" i="55"/>
  <c r="D192" i="55"/>
  <c r="M192" i="55"/>
  <c r="AK192" i="55"/>
  <c r="N192" i="55"/>
  <c r="AL192" i="55"/>
  <c r="F192" i="55"/>
  <c r="O192" i="55"/>
  <c r="AM192" i="55"/>
  <c r="G192" i="55"/>
  <c r="P192" i="55"/>
  <c r="AN192" i="55"/>
  <c r="H192" i="55"/>
  <c r="Q192" i="55"/>
  <c r="AO192" i="55"/>
  <c r="I192" i="55"/>
  <c r="R192" i="55"/>
  <c r="AP192" i="55"/>
  <c r="J192" i="55"/>
  <c r="S192" i="55"/>
  <c r="AQ192" i="55"/>
  <c r="K192" i="55"/>
  <c r="T192" i="55"/>
  <c r="AR192" i="55"/>
  <c r="D193" i="55"/>
  <c r="M193" i="55"/>
  <c r="AK193" i="55"/>
  <c r="N193" i="55"/>
  <c r="AL193" i="55"/>
  <c r="F193" i="55"/>
  <c r="O193" i="55"/>
  <c r="AM193" i="55"/>
  <c r="G193" i="55"/>
  <c r="P193" i="55"/>
  <c r="AN193" i="55"/>
  <c r="H193" i="55"/>
  <c r="Q193" i="55"/>
  <c r="AO193" i="55"/>
  <c r="I193" i="55"/>
  <c r="R193" i="55"/>
  <c r="AP193" i="55"/>
  <c r="J193" i="55"/>
  <c r="S193" i="55"/>
  <c r="AQ193" i="55"/>
  <c r="K193" i="55"/>
  <c r="T193" i="55"/>
  <c r="AR193" i="55"/>
  <c r="D194" i="55"/>
  <c r="M194" i="55"/>
  <c r="AK194" i="55"/>
  <c r="N194" i="55"/>
  <c r="AL194" i="55"/>
  <c r="F194" i="55"/>
  <c r="O194" i="55"/>
  <c r="AM194" i="55"/>
  <c r="G194" i="55"/>
  <c r="P194" i="55"/>
  <c r="AN194" i="55"/>
  <c r="H194" i="55"/>
  <c r="Q194" i="55"/>
  <c r="AO194" i="55"/>
  <c r="I194" i="55"/>
  <c r="R194" i="55"/>
  <c r="AP194" i="55"/>
  <c r="J194" i="55"/>
  <c r="S194" i="55"/>
  <c r="AQ194" i="55"/>
  <c r="K194" i="55"/>
  <c r="T194" i="55"/>
  <c r="AR194" i="55"/>
  <c r="D195" i="55"/>
  <c r="M195" i="55"/>
  <c r="AK195" i="55"/>
  <c r="N195" i="55"/>
  <c r="AL195" i="55"/>
  <c r="F195" i="55"/>
  <c r="O195" i="55"/>
  <c r="AM195" i="55"/>
  <c r="G195" i="55"/>
  <c r="P195" i="55"/>
  <c r="AN195" i="55"/>
  <c r="H195" i="55"/>
  <c r="Q195" i="55"/>
  <c r="AO195" i="55"/>
  <c r="I195" i="55"/>
  <c r="R195" i="55"/>
  <c r="AP195" i="55"/>
  <c r="J195" i="55"/>
  <c r="S195" i="55"/>
  <c r="AQ195" i="55"/>
  <c r="K195" i="55"/>
  <c r="T195" i="55"/>
  <c r="AR195" i="55"/>
  <c r="D196" i="55"/>
  <c r="M196" i="55"/>
  <c r="AK196" i="55"/>
  <c r="N196" i="55"/>
  <c r="AL196" i="55"/>
  <c r="F196" i="55"/>
  <c r="O196" i="55"/>
  <c r="AM196" i="55"/>
  <c r="G196" i="55"/>
  <c r="P196" i="55"/>
  <c r="AN196" i="55"/>
  <c r="H196" i="55"/>
  <c r="Q196" i="55"/>
  <c r="AO196" i="55"/>
  <c r="I196" i="55"/>
  <c r="R196" i="55"/>
  <c r="AP196" i="55"/>
  <c r="J196" i="55"/>
  <c r="S196" i="55"/>
  <c r="AQ196" i="55"/>
  <c r="K196" i="55"/>
  <c r="T196" i="55"/>
  <c r="AR196" i="55"/>
  <c r="D197" i="55"/>
  <c r="M197" i="55"/>
  <c r="AK197" i="55"/>
  <c r="N197" i="55"/>
  <c r="AL197" i="55"/>
  <c r="F197" i="55"/>
  <c r="O197" i="55"/>
  <c r="AM197" i="55"/>
  <c r="G197" i="55"/>
  <c r="P197" i="55"/>
  <c r="AN197" i="55"/>
  <c r="H197" i="55"/>
  <c r="Q197" i="55"/>
  <c r="AO197" i="55"/>
  <c r="I197" i="55"/>
  <c r="R197" i="55"/>
  <c r="AP197" i="55"/>
  <c r="J197" i="55"/>
  <c r="S197" i="55"/>
  <c r="AQ197" i="55"/>
  <c r="K197" i="55"/>
  <c r="T197" i="55"/>
  <c r="AR197" i="55"/>
  <c r="D198" i="55"/>
  <c r="M198" i="55"/>
  <c r="AK198" i="55"/>
  <c r="N198" i="55"/>
  <c r="AL198" i="55"/>
  <c r="F198" i="55"/>
  <c r="O198" i="55"/>
  <c r="AM198" i="55"/>
  <c r="G198" i="55"/>
  <c r="P198" i="55"/>
  <c r="AN198" i="55"/>
  <c r="H198" i="55"/>
  <c r="Q198" i="55"/>
  <c r="AO198" i="55"/>
  <c r="I198" i="55"/>
  <c r="R198" i="55"/>
  <c r="AP198" i="55"/>
  <c r="J198" i="55"/>
  <c r="S198" i="55"/>
  <c r="AQ198" i="55"/>
  <c r="K198" i="55"/>
  <c r="T198" i="55"/>
  <c r="AR198" i="55"/>
  <c r="D199" i="55"/>
  <c r="M199" i="55"/>
  <c r="AK199" i="55"/>
  <c r="N199" i="55"/>
  <c r="AL199" i="55"/>
  <c r="F199" i="55"/>
  <c r="O199" i="55"/>
  <c r="AM199" i="55"/>
  <c r="G199" i="55"/>
  <c r="P199" i="55"/>
  <c r="AN199" i="55"/>
  <c r="H199" i="55"/>
  <c r="Q199" i="55"/>
  <c r="AO199" i="55"/>
  <c r="I199" i="55"/>
  <c r="R199" i="55"/>
  <c r="AP199" i="55"/>
  <c r="J199" i="55"/>
  <c r="S199" i="55"/>
  <c r="AQ199" i="55"/>
  <c r="K199" i="55"/>
  <c r="T199" i="55"/>
  <c r="AR199" i="55"/>
  <c r="D200" i="55"/>
  <c r="M200" i="55"/>
  <c r="AK200" i="55"/>
  <c r="N200" i="55"/>
  <c r="AL200" i="55"/>
  <c r="F200" i="55"/>
  <c r="O200" i="55"/>
  <c r="AM200" i="55"/>
  <c r="G200" i="55"/>
  <c r="P200" i="55"/>
  <c r="AN200" i="55"/>
  <c r="H200" i="55"/>
  <c r="Q200" i="55"/>
  <c r="AO200" i="55"/>
  <c r="I200" i="55"/>
  <c r="R200" i="55"/>
  <c r="AP200" i="55"/>
  <c r="J200" i="55"/>
  <c r="S200" i="55"/>
  <c r="AQ200" i="55"/>
  <c r="K200" i="55"/>
  <c r="T200" i="55"/>
  <c r="AR200" i="55"/>
  <c r="D201" i="55"/>
  <c r="M201" i="55"/>
  <c r="AK201" i="55"/>
  <c r="N201" i="55"/>
  <c r="AL201" i="55"/>
  <c r="F201" i="55"/>
  <c r="O201" i="55"/>
  <c r="AM201" i="55"/>
  <c r="G201" i="55"/>
  <c r="P201" i="55"/>
  <c r="AN201" i="55"/>
  <c r="H201" i="55"/>
  <c r="Q201" i="55"/>
  <c r="AO201" i="55"/>
  <c r="I201" i="55"/>
  <c r="R201" i="55"/>
  <c r="AP201" i="55"/>
  <c r="J201" i="55"/>
  <c r="S201" i="55"/>
  <c r="AQ201" i="55"/>
  <c r="K201" i="55"/>
  <c r="T201" i="55"/>
  <c r="AR201" i="55"/>
  <c r="D202" i="55"/>
  <c r="M202" i="55"/>
  <c r="AK202" i="55"/>
  <c r="N202" i="55"/>
  <c r="AL202" i="55"/>
  <c r="F202" i="55"/>
  <c r="O202" i="55"/>
  <c r="AM202" i="55"/>
  <c r="G202" i="55"/>
  <c r="P202" i="55"/>
  <c r="AN202" i="55"/>
  <c r="H202" i="55"/>
  <c r="Q202" i="55"/>
  <c r="AO202" i="55"/>
  <c r="I202" i="55"/>
  <c r="R202" i="55"/>
  <c r="AP202" i="55"/>
  <c r="J202" i="55"/>
  <c r="S202" i="55"/>
  <c r="AQ202" i="55"/>
  <c r="K202" i="55"/>
  <c r="T202" i="55"/>
  <c r="AR202" i="55"/>
  <c r="D203" i="55"/>
  <c r="M203" i="55"/>
  <c r="AK203" i="55"/>
  <c r="N203" i="55"/>
  <c r="AL203" i="55"/>
  <c r="F203" i="55"/>
  <c r="O203" i="55"/>
  <c r="AM203" i="55"/>
  <c r="G203" i="55"/>
  <c r="P203" i="55"/>
  <c r="AN203" i="55"/>
  <c r="H203" i="55"/>
  <c r="Q203" i="55"/>
  <c r="AO203" i="55"/>
  <c r="I203" i="55"/>
  <c r="R203" i="55"/>
  <c r="AP203" i="55"/>
  <c r="J203" i="55"/>
  <c r="S203" i="55"/>
  <c r="AQ203" i="55"/>
  <c r="K203" i="55"/>
  <c r="T203" i="55"/>
  <c r="AR203" i="55"/>
  <c r="D204" i="55"/>
  <c r="M204" i="55"/>
  <c r="AK204" i="55"/>
  <c r="N204" i="55"/>
  <c r="AL204" i="55"/>
  <c r="F204" i="55"/>
  <c r="O204" i="55"/>
  <c r="AM204" i="55"/>
  <c r="G204" i="55"/>
  <c r="P204" i="55"/>
  <c r="AN204" i="55"/>
  <c r="H204" i="55"/>
  <c r="Q204" i="55"/>
  <c r="AO204" i="55"/>
  <c r="I204" i="55"/>
  <c r="R204" i="55"/>
  <c r="AP204" i="55"/>
  <c r="J204" i="55"/>
  <c r="S204" i="55"/>
  <c r="AQ204" i="55"/>
  <c r="K204" i="55"/>
  <c r="T204" i="55"/>
  <c r="AR204" i="55"/>
  <c r="D205" i="55"/>
  <c r="M205" i="55"/>
  <c r="AK205" i="55"/>
  <c r="N205" i="55"/>
  <c r="AL205" i="55"/>
  <c r="F205" i="55"/>
  <c r="O205" i="55"/>
  <c r="AM205" i="55"/>
  <c r="G205" i="55"/>
  <c r="P205" i="55"/>
  <c r="AN205" i="55"/>
  <c r="H205" i="55"/>
  <c r="Q205" i="55"/>
  <c r="AO205" i="55"/>
  <c r="I205" i="55"/>
  <c r="R205" i="55"/>
  <c r="AP205" i="55"/>
  <c r="J205" i="55"/>
  <c r="S205" i="55"/>
  <c r="AQ205" i="55"/>
  <c r="K205" i="55"/>
  <c r="T205" i="55"/>
  <c r="AR205" i="55"/>
  <c r="D206" i="55"/>
  <c r="M206" i="55"/>
  <c r="AK206" i="55"/>
  <c r="N206" i="55"/>
  <c r="AL206" i="55"/>
  <c r="F206" i="55"/>
  <c r="O206" i="55"/>
  <c r="AM206" i="55"/>
  <c r="G206" i="55"/>
  <c r="P206" i="55"/>
  <c r="AN206" i="55"/>
  <c r="H206" i="55"/>
  <c r="Q206" i="55"/>
  <c r="AO206" i="55"/>
  <c r="I206" i="55"/>
  <c r="R206" i="55"/>
  <c r="AP206" i="55"/>
  <c r="J206" i="55"/>
  <c r="S206" i="55"/>
  <c r="AQ206" i="55"/>
  <c r="K206" i="55"/>
  <c r="T206" i="55"/>
  <c r="AR206" i="55"/>
  <c r="D207" i="55"/>
  <c r="M207" i="55"/>
  <c r="AK207" i="55"/>
  <c r="N207" i="55"/>
  <c r="AL207" i="55"/>
  <c r="F207" i="55"/>
  <c r="O207" i="55"/>
  <c r="AM207" i="55"/>
  <c r="G207" i="55"/>
  <c r="P207" i="55"/>
  <c r="AN207" i="55"/>
  <c r="H207" i="55"/>
  <c r="Q207" i="55"/>
  <c r="AO207" i="55"/>
  <c r="I207" i="55"/>
  <c r="R207" i="55"/>
  <c r="AP207" i="55"/>
  <c r="J207" i="55"/>
  <c r="S207" i="55"/>
  <c r="AQ207" i="55"/>
  <c r="K207" i="55"/>
  <c r="T207" i="55"/>
  <c r="AR207" i="55"/>
  <c r="D208" i="55"/>
  <c r="M208" i="55"/>
  <c r="AK208" i="55"/>
  <c r="N208" i="55"/>
  <c r="AL208" i="55"/>
  <c r="F208" i="55"/>
  <c r="O208" i="55"/>
  <c r="AM208" i="55"/>
  <c r="G208" i="55"/>
  <c r="P208" i="55"/>
  <c r="AN208" i="55"/>
  <c r="H208" i="55"/>
  <c r="Q208" i="55"/>
  <c r="AO208" i="55"/>
  <c r="I208" i="55"/>
  <c r="R208" i="55"/>
  <c r="AP208" i="55"/>
  <c r="J208" i="55"/>
  <c r="S208" i="55"/>
  <c r="AQ208" i="55"/>
  <c r="K208" i="55"/>
  <c r="T208" i="55"/>
  <c r="AR208" i="55"/>
  <c r="D209" i="55"/>
  <c r="M209" i="55"/>
  <c r="AK209" i="55"/>
  <c r="N209" i="55"/>
  <c r="AL209" i="55"/>
  <c r="F209" i="55"/>
  <c r="O209" i="55"/>
  <c r="AM209" i="55"/>
  <c r="G209" i="55"/>
  <c r="P209" i="55"/>
  <c r="AN209" i="55"/>
  <c r="H209" i="55"/>
  <c r="Q209" i="55"/>
  <c r="AO209" i="55"/>
  <c r="I209" i="55"/>
  <c r="R209" i="55"/>
  <c r="AP209" i="55"/>
  <c r="J209" i="55"/>
  <c r="S209" i="55"/>
  <c r="AQ209" i="55"/>
  <c r="K209" i="55"/>
  <c r="T209" i="55"/>
  <c r="AR209" i="55"/>
  <c r="D210" i="55"/>
  <c r="M210" i="55"/>
  <c r="AK210" i="55"/>
  <c r="N210" i="55"/>
  <c r="AL210" i="55"/>
  <c r="F210" i="55"/>
  <c r="O210" i="55"/>
  <c r="AM210" i="55"/>
  <c r="G210" i="55"/>
  <c r="P210" i="55"/>
  <c r="AN210" i="55"/>
  <c r="H210" i="55"/>
  <c r="Q210" i="55"/>
  <c r="AO210" i="55"/>
  <c r="I210" i="55"/>
  <c r="R210" i="55"/>
  <c r="AP210" i="55"/>
  <c r="J210" i="55"/>
  <c r="S210" i="55"/>
  <c r="AQ210" i="55"/>
  <c r="K210" i="55"/>
  <c r="T210" i="55"/>
  <c r="AR210" i="55"/>
  <c r="D211" i="55"/>
  <c r="M211" i="55"/>
  <c r="AK211" i="55"/>
  <c r="N211" i="55"/>
  <c r="AL211" i="55"/>
  <c r="F211" i="55"/>
  <c r="O211" i="55"/>
  <c r="AM211" i="55"/>
  <c r="G211" i="55"/>
  <c r="P211" i="55"/>
  <c r="AN211" i="55"/>
  <c r="H211" i="55"/>
  <c r="Q211" i="55"/>
  <c r="AO211" i="55"/>
  <c r="I211" i="55"/>
  <c r="R211" i="55"/>
  <c r="AP211" i="55"/>
  <c r="J211" i="55"/>
  <c r="S211" i="55"/>
  <c r="AQ211" i="55"/>
  <c r="K211" i="55"/>
  <c r="T211" i="55"/>
  <c r="AR211" i="55"/>
  <c r="D212" i="55"/>
  <c r="M212" i="55"/>
  <c r="AK212" i="55"/>
  <c r="N212" i="55"/>
  <c r="AL212" i="55"/>
  <c r="F212" i="55"/>
  <c r="O212" i="55"/>
  <c r="AM212" i="55"/>
  <c r="G212" i="55"/>
  <c r="P212" i="55"/>
  <c r="AN212" i="55"/>
  <c r="H212" i="55"/>
  <c r="Q212" i="55"/>
  <c r="AO212" i="55"/>
  <c r="I212" i="55"/>
  <c r="R212" i="55"/>
  <c r="AP212" i="55"/>
  <c r="J212" i="55"/>
  <c r="S212" i="55"/>
  <c r="AQ212" i="55"/>
  <c r="K212" i="55"/>
  <c r="T212" i="55"/>
  <c r="AR212" i="55"/>
  <c r="D213" i="55"/>
  <c r="M213" i="55"/>
  <c r="AK213" i="55"/>
  <c r="N213" i="55"/>
  <c r="AL213" i="55"/>
  <c r="F213" i="55"/>
  <c r="O213" i="55"/>
  <c r="AM213" i="55"/>
  <c r="G213" i="55"/>
  <c r="P213" i="55"/>
  <c r="AN213" i="55"/>
  <c r="H213" i="55"/>
  <c r="Q213" i="55"/>
  <c r="AO213" i="55"/>
  <c r="I213" i="55"/>
  <c r="R213" i="55"/>
  <c r="AP213" i="55"/>
  <c r="J213" i="55"/>
  <c r="S213" i="55"/>
  <c r="AQ213" i="55"/>
  <c r="K213" i="55"/>
  <c r="T213" i="55"/>
  <c r="AR213" i="55"/>
  <c r="D214" i="55"/>
  <c r="M214" i="55"/>
  <c r="AK214" i="55"/>
  <c r="N214" i="55"/>
  <c r="AL214" i="55"/>
  <c r="F214" i="55"/>
  <c r="O214" i="55"/>
  <c r="AM214" i="55"/>
  <c r="G214" i="55"/>
  <c r="P214" i="55"/>
  <c r="AN214" i="55"/>
  <c r="H214" i="55"/>
  <c r="Q214" i="55"/>
  <c r="AO214" i="55"/>
  <c r="I214" i="55"/>
  <c r="R214" i="55"/>
  <c r="AP214" i="55"/>
  <c r="J214" i="55"/>
  <c r="S214" i="55"/>
  <c r="AQ214" i="55"/>
  <c r="K214" i="55"/>
  <c r="T214" i="55"/>
  <c r="AR214" i="55"/>
  <c r="D215" i="55"/>
  <c r="M215" i="55"/>
  <c r="AK215" i="55"/>
  <c r="N215" i="55"/>
  <c r="AL215" i="55"/>
  <c r="F215" i="55"/>
  <c r="O215" i="55"/>
  <c r="AM215" i="55"/>
  <c r="G215" i="55"/>
  <c r="P215" i="55"/>
  <c r="AN215" i="55"/>
  <c r="H215" i="55"/>
  <c r="Q215" i="55"/>
  <c r="AO215" i="55"/>
  <c r="I215" i="55"/>
  <c r="R215" i="55"/>
  <c r="AP215" i="55"/>
  <c r="J215" i="55"/>
  <c r="S215" i="55"/>
  <c r="AQ215" i="55"/>
  <c r="K215" i="55"/>
  <c r="T215" i="55"/>
  <c r="AR215" i="55"/>
  <c r="D216" i="55"/>
  <c r="M216" i="55"/>
  <c r="AK216" i="55"/>
  <c r="N216" i="55"/>
  <c r="AL216" i="55"/>
  <c r="F216" i="55"/>
  <c r="O216" i="55"/>
  <c r="AM216" i="55"/>
  <c r="G216" i="55"/>
  <c r="P216" i="55"/>
  <c r="AN216" i="55"/>
  <c r="H216" i="55"/>
  <c r="Q216" i="55"/>
  <c r="AO216" i="55"/>
  <c r="I216" i="55"/>
  <c r="R216" i="55"/>
  <c r="AP216" i="55"/>
  <c r="J216" i="55"/>
  <c r="S216" i="55"/>
  <c r="AQ216" i="55"/>
  <c r="K216" i="55"/>
  <c r="T216" i="55"/>
  <c r="AR216" i="55"/>
  <c r="D217" i="55"/>
  <c r="M217" i="55"/>
  <c r="AK217" i="55"/>
  <c r="N217" i="55"/>
  <c r="AL217" i="55"/>
  <c r="F217" i="55"/>
  <c r="O217" i="55"/>
  <c r="AM217" i="55"/>
  <c r="G217" i="55"/>
  <c r="P217" i="55"/>
  <c r="AN217" i="55"/>
  <c r="H217" i="55"/>
  <c r="Q217" i="55"/>
  <c r="AO217" i="55"/>
  <c r="I217" i="55"/>
  <c r="R217" i="55"/>
  <c r="AP217" i="55"/>
  <c r="J217" i="55"/>
  <c r="S217" i="55"/>
  <c r="AQ217" i="55"/>
  <c r="K217" i="55"/>
  <c r="T217" i="55"/>
  <c r="AR217" i="55"/>
  <c r="D218" i="55"/>
  <c r="M218" i="55"/>
  <c r="AK218" i="55"/>
  <c r="N218" i="55"/>
  <c r="AL218" i="55"/>
  <c r="F218" i="55"/>
  <c r="O218" i="55"/>
  <c r="AM218" i="55"/>
  <c r="G218" i="55"/>
  <c r="P218" i="55"/>
  <c r="AN218" i="55"/>
  <c r="H218" i="55"/>
  <c r="Q218" i="55"/>
  <c r="AO218" i="55"/>
  <c r="I218" i="55"/>
  <c r="R218" i="55"/>
  <c r="AP218" i="55"/>
  <c r="J218" i="55"/>
  <c r="S218" i="55"/>
  <c r="AQ218" i="55"/>
  <c r="K218" i="55"/>
  <c r="T218" i="55"/>
  <c r="AR218" i="55"/>
  <c r="D219" i="55"/>
  <c r="M219" i="55"/>
  <c r="AK219" i="55"/>
  <c r="N219" i="55"/>
  <c r="AL219" i="55"/>
  <c r="F219" i="55"/>
  <c r="O219" i="55"/>
  <c r="AM219" i="55"/>
  <c r="G219" i="55"/>
  <c r="P219" i="55"/>
  <c r="AN219" i="55"/>
  <c r="H219" i="55"/>
  <c r="Q219" i="55"/>
  <c r="AO219" i="55"/>
  <c r="I219" i="55"/>
  <c r="R219" i="55"/>
  <c r="AP219" i="55"/>
  <c r="J219" i="55"/>
  <c r="S219" i="55"/>
  <c r="AQ219" i="55"/>
  <c r="K219" i="55"/>
  <c r="T219" i="55"/>
  <c r="AR219" i="55"/>
  <c r="D220" i="55"/>
  <c r="M220" i="55"/>
  <c r="AK220" i="55"/>
  <c r="N220" i="55"/>
  <c r="AL220" i="55"/>
  <c r="F220" i="55"/>
  <c r="O220" i="55"/>
  <c r="AM220" i="55"/>
  <c r="G220" i="55"/>
  <c r="P220" i="55"/>
  <c r="AN220" i="55"/>
  <c r="H220" i="55"/>
  <c r="Q220" i="55"/>
  <c r="AO220" i="55"/>
  <c r="I220" i="55"/>
  <c r="R220" i="55"/>
  <c r="AP220" i="55"/>
  <c r="J220" i="55"/>
  <c r="S220" i="55"/>
  <c r="AQ220" i="55"/>
  <c r="K220" i="55"/>
  <c r="T220" i="55"/>
  <c r="AR220" i="55"/>
  <c r="D221" i="55"/>
  <c r="M221" i="55"/>
  <c r="AK221" i="55"/>
  <c r="N221" i="55"/>
  <c r="AL221" i="55"/>
  <c r="F221" i="55"/>
  <c r="O221" i="55"/>
  <c r="AM221" i="55"/>
  <c r="G221" i="55"/>
  <c r="P221" i="55"/>
  <c r="AN221" i="55"/>
  <c r="H221" i="55"/>
  <c r="Q221" i="55"/>
  <c r="AO221" i="55"/>
  <c r="I221" i="55"/>
  <c r="R221" i="55"/>
  <c r="AP221" i="55"/>
  <c r="J221" i="55"/>
  <c r="S221" i="55"/>
  <c r="AQ221" i="55"/>
  <c r="K221" i="55"/>
  <c r="T221" i="55"/>
  <c r="AR221" i="55"/>
  <c r="D222" i="55"/>
  <c r="M222" i="55"/>
  <c r="AK222" i="55"/>
  <c r="N222" i="55"/>
  <c r="AL222" i="55"/>
  <c r="F222" i="55"/>
  <c r="O222" i="55"/>
  <c r="AM222" i="55"/>
  <c r="G222" i="55"/>
  <c r="P222" i="55"/>
  <c r="AN222" i="55"/>
  <c r="H222" i="55"/>
  <c r="Q222" i="55"/>
  <c r="AO222" i="55"/>
  <c r="I222" i="55"/>
  <c r="R222" i="55"/>
  <c r="AP222" i="55"/>
  <c r="J222" i="55"/>
  <c r="S222" i="55"/>
  <c r="AQ222" i="55"/>
  <c r="K222" i="55"/>
  <c r="T222" i="55"/>
  <c r="AR222" i="55"/>
  <c r="D223" i="55"/>
  <c r="M223" i="55"/>
  <c r="AK223" i="55"/>
  <c r="N223" i="55"/>
  <c r="AL223" i="55"/>
  <c r="F223" i="55"/>
  <c r="O223" i="55"/>
  <c r="AM223" i="55"/>
  <c r="G223" i="55"/>
  <c r="P223" i="55"/>
  <c r="AN223" i="55"/>
  <c r="H223" i="55"/>
  <c r="Q223" i="55"/>
  <c r="AO223" i="55"/>
  <c r="I223" i="55"/>
  <c r="R223" i="55"/>
  <c r="AP223" i="55"/>
  <c r="J223" i="55"/>
  <c r="S223" i="55"/>
  <c r="AQ223" i="55"/>
  <c r="K223" i="55"/>
  <c r="T223" i="55"/>
  <c r="AR223" i="55"/>
  <c r="D224" i="55"/>
  <c r="M224" i="55"/>
  <c r="AK224" i="55"/>
  <c r="N224" i="55"/>
  <c r="AL224" i="55"/>
  <c r="F224" i="55"/>
  <c r="O224" i="55"/>
  <c r="AM224" i="55"/>
  <c r="G224" i="55"/>
  <c r="P224" i="55"/>
  <c r="AN224" i="55"/>
  <c r="H224" i="55"/>
  <c r="Q224" i="55"/>
  <c r="AO224" i="55"/>
  <c r="I224" i="55"/>
  <c r="R224" i="55"/>
  <c r="AP224" i="55"/>
  <c r="J224" i="55"/>
  <c r="S224" i="55"/>
  <c r="AQ224" i="55"/>
  <c r="K224" i="55"/>
  <c r="T224" i="55"/>
  <c r="AR224" i="55"/>
  <c r="D225" i="55"/>
  <c r="M225" i="55"/>
  <c r="AK225" i="55"/>
  <c r="N225" i="55"/>
  <c r="AL225" i="55"/>
  <c r="F225" i="55"/>
  <c r="O225" i="55"/>
  <c r="AM225" i="55"/>
  <c r="G225" i="55"/>
  <c r="P225" i="55"/>
  <c r="AN225" i="55"/>
  <c r="H225" i="55"/>
  <c r="Q225" i="55"/>
  <c r="AO225" i="55"/>
  <c r="I225" i="55"/>
  <c r="R225" i="55"/>
  <c r="AP225" i="55"/>
  <c r="J225" i="55"/>
  <c r="S225" i="55"/>
  <c r="AQ225" i="55"/>
  <c r="K225" i="55"/>
  <c r="T225" i="55"/>
  <c r="AR225" i="55"/>
  <c r="D226" i="55"/>
  <c r="M226" i="55"/>
  <c r="AK226" i="55"/>
  <c r="N226" i="55"/>
  <c r="AL226" i="55"/>
  <c r="F226" i="55"/>
  <c r="O226" i="55"/>
  <c r="AM226" i="55"/>
  <c r="G226" i="55"/>
  <c r="P226" i="55"/>
  <c r="AN226" i="55"/>
  <c r="H226" i="55"/>
  <c r="Q226" i="55"/>
  <c r="AO226" i="55"/>
  <c r="I226" i="55"/>
  <c r="R226" i="55"/>
  <c r="AP226" i="55"/>
  <c r="J226" i="55"/>
  <c r="S226" i="55"/>
  <c r="AQ226" i="55"/>
  <c r="K226" i="55"/>
  <c r="T226" i="55"/>
  <c r="AR226" i="55"/>
  <c r="D227" i="55"/>
  <c r="M227" i="55"/>
  <c r="AK227" i="55"/>
  <c r="N227" i="55"/>
  <c r="AL227" i="55"/>
  <c r="F227" i="55"/>
  <c r="O227" i="55"/>
  <c r="AM227" i="55"/>
  <c r="G227" i="55"/>
  <c r="P227" i="55"/>
  <c r="AN227" i="55"/>
  <c r="H227" i="55"/>
  <c r="Q227" i="55"/>
  <c r="AO227" i="55"/>
  <c r="I227" i="55"/>
  <c r="R227" i="55"/>
  <c r="AP227" i="55"/>
  <c r="J227" i="55"/>
  <c r="S227" i="55"/>
  <c r="AQ227" i="55"/>
  <c r="K227" i="55"/>
  <c r="T227" i="55"/>
  <c r="AR227" i="55"/>
  <c r="D228" i="55"/>
  <c r="M228" i="55"/>
  <c r="AK228" i="55"/>
  <c r="N228" i="55"/>
  <c r="AL228" i="55"/>
  <c r="F228" i="55"/>
  <c r="O228" i="55"/>
  <c r="AM228" i="55"/>
  <c r="G228" i="55"/>
  <c r="P228" i="55"/>
  <c r="AN228" i="55"/>
  <c r="H228" i="55"/>
  <c r="Q228" i="55"/>
  <c r="AO228" i="55"/>
  <c r="I228" i="55"/>
  <c r="R228" i="55"/>
  <c r="AP228" i="55"/>
  <c r="J228" i="55"/>
  <c r="S228" i="55"/>
  <c r="AQ228" i="55"/>
  <c r="K228" i="55"/>
  <c r="T228" i="55"/>
  <c r="AR228" i="55"/>
  <c r="D229" i="55"/>
  <c r="M229" i="55"/>
  <c r="AK229" i="55"/>
  <c r="N229" i="55"/>
  <c r="AL229" i="55"/>
  <c r="F229" i="55"/>
  <c r="O229" i="55"/>
  <c r="AM229" i="55"/>
  <c r="G229" i="55"/>
  <c r="P229" i="55"/>
  <c r="AN229" i="55"/>
  <c r="H229" i="55"/>
  <c r="Q229" i="55"/>
  <c r="AO229" i="55"/>
  <c r="I229" i="55"/>
  <c r="R229" i="55"/>
  <c r="AP229" i="55"/>
  <c r="J229" i="55"/>
  <c r="S229" i="55"/>
  <c r="AQ229" i="55"/>
  <c r="K229" i="55"/>
  <c r="T229" i="55"/>
  <c r="AR229" i="55"/>
  <c r="D230" i="55"/>
  <c r="M230" i="55"/>
  <c r="AK230" i="55"/>
  <c r="N230" i="55"/>
  <c r="AL230" i="55"/>
  <c r="F230" i="55"/>
  <c r="O230" i="55"/>
  <c r="AM230" i="55"/>
  <c r="G230" i="55"/>
  <c r="P230" i="55"/>
  <c r="AN230" i="55"/>
  <c r="H230" i="55"/>
  <c r="Q230" i="55"/>
  <c r="AO230" i="55"/>
  <c r="I230" i="55"/>
  <c r="R230" i="55"/>
  <c r="AP230" i="55"/>
  <c r="J230" i="55"/>
  <c r="S230" i="55"/>
  <c r="AQ230" i="55"/>
  <c r="K230" i="55"/>
  <c r="T230" i="55"/>
  <c r="AR230" i="55"/>
  <c r="D231" i="55"/>
  <c r="M231" i="55"/>
  <c r="AK231" i="55"/>
  <c r="N231" i="55"/>
  <c r="AL231" i="55"/>
  <c r="F231" i="55"/>
  <c r="O231" i="55"/>
  <c r="AM231" i="55"/>
  <c r="G231" i="55"/>
  <c r="P231" i="55"/>
  <c r="AN231" i="55"/>
  <c r="H231" i="55"/>
  <c r="Q231" i="55"/>
  <c r="AO231" i="55"/>
  <c r="I231" i="55"/>
  <c r="R231" i="55"/>
  <c r="AP231" i="55"/>
  <c r="J231" i="55"/>
  <c r="S231" i="55"/>
  <c r="AQ231" i="55"/>
  <c r="K231" i="55"/>
  <c r="T231" i="55"/>
  <c r="AR231" i="55"/>
  <c r="D232" i="55"/>
  <c r="M232" i="55"/>
  <c r="AK232" i="55"/>
  <c r="N232" i="55"/>
  <c r="AL232" i="55"/>
  <c r="F232" i="55"/>
  <c r="O232" i="55"/>
  <c r="AM232" i="55"/>
  <c r="G232" i="55"/>
  <c r="P232" i="55"/>
  <c r="AN232" i="55"/>
  <c r="H232" i="55"/>
  <c r="Q232" i="55"/>
  <c r="AO232" i="55"/>
  <c r="I232" i="55"/>
  <c r="R232" i="55"/>
  <c r="AP232" i="55"/>
  <c r="J232" i="55"/>
  <c r="S232" i="55"/>
  <c r="AQ232" i="55"/>
  <c r="K232" i="55"/>
  <c r="T232" i="55"/>
  <c r="AR232" i="55"/>
  <c r="D233" i="55"/>
  <c r="M233" i="55"/>
  <c r="AK233" i="55"/>
  <c r="N233" i="55"/>
  <c r="AL233" i="55"/>
  <c r="F233" i="55"/>
  <c r="O233" i="55"/>
  <c r="AM233" i="55"/>
  <c r="G233" i="55"/>
  <c r="P233" i="55"/>
  <c r="AN233" i="55"/>
  <c r="H233" i="55"/>
  <c r="Q233" i="55"/>
  <c r="AO233" i="55"/>
  <c r="I233" i="55"/>
  <c r="R233" i="55"/>
  <c r="AP233" i="55"/>
  <c r="J233" i="55"/>
  <c r="S233" i="55"/>
  <c r="AQ233" i="55"/>
  <c r="K233" i="55"/>
  <c r="T233" i="55"/>
  <c r="AR233" i="55"/>
  <c r="D234" i="55"/>
  <c r="M234" i="55"/>
  <c r="AK234" i="55"/>
  <c r="N234" i="55"/>
  <c r="AL234" i="55"/>
  <c r="F234" i="55"/>
  <c r="O234" i="55"/>
  <c r="AM234" i="55"/>
  <c r="G234" i="55"/>
  <c r="P234" i="55"/>
  <c r="AN234" i="55"/>
  <c r="H234" i="55"/>
  <c r="Q234" i="55"/>
  <c r="AO234" i="55"/>
  <c r="I234" i="55"/>
  <c r="R234" i="55"/>
  <c r="AP234" i="55"/>
  <c r="J234" i="55"/>
  <c r="S234" i="55"/>
  <c r="AQ234" i="55"/>
  <c r="K234" i="55"/>
  <c r="T234" i="55"/>
  <c r="AR234" i="55"/>
  <c r="D235" i="55"/>
  <c r="M235" i="55"/>
  <c r="AK235" i="55"/>
  <c r="N235" i="55"/>
  <c r="AL235" i="55"/>
  <c r="F235" i="55"/>
  <c r="O235" i="55"/>
  <c r="AM235" i="55"/>
  <c r="G235" i="55"/>
  <c r="P235" i="55"/>
  <c r="AN235" i="55"/>
  <c r="H235" i="55"/>
  <c r="Q235" i="55"/>
  <c r="AO235" i="55"/>
  <c r="I235" i="55"/>
  <c r="R235" i="55"/>
  <c r="AP235" i="55"/>
  <c r="J235" i="55"/>
  <c r="S235" i="55"/>
  <c r="AQ235" i="55"/>
  <c r="K235" i="55"/>
  <c r="T235" i="55"/>
  <c r="AR235" i="55"/>
  <c r="D236" i="55"/>
  <c r="M236" i="55"/>
  <c r="AK236" i="55"/>
  <c r="N236" i="55"/>
  <c r="AL236" i="55"/>
  <c r="F236" i="55"/>
  <c r="O236" i="55"/>
  <c r="AM236" i="55"/>
  <c r="G236" i="55"/>
  <c r="P236" i="55"/>
  <c r="AN236" i="55"/>
  <c r="H236" i="55"/>
  <c r="Q236" i="55"/>
  <c r="AO236" i="55"/>
  <c r="I236" i="55"/>
  <c r="R236" i="55"/>
  <c r="AP236" i="55"/>
  <c r="J236" i="55"/>
  <c r="S236" i="55"/>
  <c r="AQ236" i="55"/>
  <c r="K236" i="55"/>
  <c r="T236" i="55"/>
  <c r="AR236" i="55"/>
  <c r="D237" i="55"/>
  <c r="M237" i="55"/>
  <c r="AK237" i="55"/>
  <c r="N237" i="55"/>
  <c r="AL237" i="55"/>
  <c r="F237" i="55"/>
  <c r="O237" i="55"/>
  <c r="AM237" i="55"/>
  <c r="G237" i="55"/>
  <c r="P237" i="55"/>
  <c r="AN237" i="55"/>
  <c r="H237" i="55"/>
  <c r="Q237" i="55"/>
  <c r="AO237" i="55"/>
  <c r="I237" i="55"/>
  <c r="R237" i="55"/>
  <c r="AP237" i="55"/>
  <c r="J237" i="55"/>
  <c r="S237" i="55"/>
  <c r="AQ237" i="55"/>
  <c r="K237" i="55"/>
  <c r="T237" i="55"/>
  <c r="AR237" i="55"/>
  <c r="D238" i="55"/>
  <c r="M238" i="55"/>
  <c r="AK238" i="55"/>
  <c r="N238" i="55"/>
  <c r="AL238" i="55"/>
  <c r="F238" i="55"/>
  <c r="O238" i="55"/>
  <c r="AM238" i="55"/>
  <c r="G238" i="55"/>
  <c r="P238" i="55"/>
  <c r="AN238" i="55"/>
  <c r="H238" i="55"/>
  <c r="Q238" i="55"/>
  <c r="AO238" i="55"/>
  <c r="I238" i="55"/>
  <c r="R238" i="55"/>
  <c r="AP238" i="55"/>
  <c r="J238" i="55"/>
  <c r="S238" i="55"/>
  <c r="AQ238" i="55"/>
  <c r="K238" i="55"/>
  <c r="T238" i="55"/>
  <c r="AR238" i="55"/>
  <c r="M239" i="55"/>
  <c r="V40" i="55"/>
  <c r="V239" i="55"/>
  <c r="AK239" i="55"/>
  <c r="W239" i="55"/>
  <c r="AL239" i="55"/>
  <c r="O239" i="55"/>
  <c r="X40" i="55"/>
  <c r="X239" i="55"/>
  <c r="AM239" i="55"/>
  <c r="P239" i="55"/>
  <c r="Y41" i="55"/>
  <c r="Y239" i="55"/>
  <c r="AN239" i="55"/>
  <c r="Q239" i="55"/>
  <c r="Z41" i="55"/>
  <c r="Z239" i="55"/>
  <c r="AO239" i="55"/>
  <c r="R239" i="55"/>
  <c r="AA239" i="55"/>
  <c r="AP239" i="55"/>
  <c r="S239" i="55"/>
  <c r="AB239" i="55"/>
  <c r="AQ239" i="55"/>
  <c r="T239" i="55"/>
  <c r="AC42" i="55"/>
  <c r="AC239" i="55"/>
  <c r="AR239" i="55"/>
  <c r="M240" i="55"/>
  <c r="V240" i="55"/>
  <c r="AK240" i="55"/>
  <c r="W240" i="55"/>
  <c r="AL240" i="55"/>
  <c r="O240" i="55"/>
  <c r="X240" i="55"/>
  <c r="AM240" i="55"/>
  <c r="P240" i="55"/>
  <c r="Y240" i="55"/>
  <c r="AN240" i="55"/>
  <c r="Q240" i="55"/>
  <c r="Z240" i="55"/>
  <c r="AO240" i="55"/>
  <c r="R240" i="55"/>
  <c r="AA240" i="55"/>
  <c r="AP240" i="55"/>
  <c r="S240" i="55"/>
  <c r="AB240" i="55"/>
  <c r="AQ240" i="55"/>
  <c r="T240" i="55"/>
  <c r="AC240" i="55"/>
  <c r="AR240" i="55"/>
  <c r="M241" i="55"/>
  <c r="V241" i="55"/>
  <c r="AK241" i="55"/>
  <c r="W241" i="55"/>
  <c r="AL241" i="55"/>
  <c r="O241" i="55"/>
  <c r="X241" i="55"/>
  <c r="AM241" i="55"/>
  <c r="P241" i="55"/>
  <c r="Y241" i="55"/>
  <c r="AN241" i="55"/>
  <c r="Q241" i="55"/>
  <c r="Z241" i="55"/>
  <c r="AO241" i="55"/>
  <c r="R241" i="55"/>
  <c r="AA241" i="55"/>
  <c r="AP241" i="55"/>
  <c r="S241" i="55"/>
  <c r="AB241" i="55"/>
  <c r="AQ241" i="55"/>
  <c r="T241" i="55"/>
  <c r="AC241" i="55"/>
  <c r="AR241" i="55"/>
  <c r="M242" i="55"/>
  <c r="V242" i="55"/>
  <c r="AK242" i="55"/>
  <c r="W242" i="55"/>
  <c r="AL242" i="55"/>
  <c r="O242" i="55"/>
  <c r="X242" i="55"/>
  <c r="AM242" i="55"/>
  <c r="P242" i="55"/>
  <c r="Y242" i="55"/>
  <c r="AN242" i="55"/>
  <c r="Q242" i="55"/>
  <c r="Z242" i="55"/>
  <c r="AO242" i="55"/>
  <c r="R242" i="55"/>
  <c r="AA242" i="55"/>
  <c r="AP242" i="55"/>
  <c r="S242" i="55"/>
  <c r="AB242" i="55"/>
  <c r="AQ242" i="55"/>
  <c r="T242" i="55"/>
  <c r="AC242" i="55"/>
  <c r="AR242" i="55"/>
  <c r="M243" i="55"/>
  <c r="V243" i="55"/>
  <c r="AK243" i="55"/>
  <c r="W243" i="55"/>
  <c r="AL243" i="55"/>
  <c r="O243" i="55"/>
  <c r="X243" i="55"/>
  <c r="AM243" i="55"/>
  <c r="P243" i="55"/>
  <c r="Y243" i="55"/>
  <c r="AN243" i="55"/>
  <c r="Q243" i="55"/>
  <c r="Z243" i="55"/>
  <c r="AO243" i="55"/>
  <c r="R243" i="55"/>
  <c r="AA243" i="55"/>
  <c r="AP243" i="55"/>
  <c r="S243" i="55"/>
  <c r="AB243" i="55"/>
  <c r="AQ243" i="55"/>
  <c r="T243" i="55"/>
  <c r="AC243" i="55"/>
  <c r="AR243" i="55"/>
  <c r="M244" i="55"/>
  <c r="V244" i="55"/>
  <c r="AK244" i="55"/>
  <c r="W244" i="55"/>
  <c r="AL244" i="55"/>
  <c r="O244" i="55"/>
  <c r="X244" i="55"/>
  <c r="AM244" i="55"/>
  <c r="P244" i="55"/>
  <c r="Y244" i="55"/>
  <c r="AN244" i="55"/>
  <c r="Q244" i="55"/>
  <c r="Z244" i="55"/>
  <c r="AO244" i="55"/>
  <c r="R244" i="55"/>
  <c r="AA244" i="55"/>
  <c r="AP244" i="55"/>
  <c r="S244" i="55"/>
  <c r="AB244" i="55"/>
  <c r="AQ244" i="55"/>
  <c r="T244" i="55"/>
  <c r="AC244" i="55"/>
  <c r="AR244" i="55"/>
  <c r="M245" i="55"/>
  <c r="V245" i="55"/>
  <c r="AK245" i="55"/>
  <c r="W245" i="55"/>
  <c r="AL245" i="55"/>
  <c r="O245" i="55"/>
  <c r="X245" i="55"/>
  <c r="AM245" i="55"/>
  <c r="P245" i="55"/>
  <c r="Y245" i="55"/>
  <c r="AN245" i="55"/>
  <c r="Q245" i="55"/>
  <c r="Z245" i="55"/>
  <c r="AO245" i="55"/>
  <c r="R245" i="55"/>
  <c r="AA245" i="55"/>
  <c r="AP245" i="55"/>
  <c r="S245" i="55"/>
  <c r="AB245" i="55"/>
  <c r="AQ245" i="55"/>
  <c r="T245" i="55"/>
  <c r="AC245" i="55"/>
  <c r="AR245" i="55"/>
  <c r="M246" i="55"/>
  <c r="V246" i="55"/>
  <c r="AK246" i="55"/>
  <c r="W246" i="55"/>
  <c r="AL246" i="55"/>
  <c r="O246" i="55"/>
  <c r="X246" i="55"/>
  <c r="AM246" i="55"/>
  <c r="P246" i="55"/>
  <c r="Y246" i="55"/>
  <c r="AN246" i="55"/>
  <c r="Q246" i="55"/>
  <c r="Z246" i="55"/>
  <c r="AO246" i="55"/>
  <c r="R246" i="55"/>
  <c r="AA246" i="55"/>
  <c r="AP246" i="55"/>
  <c r="S246" i="55"/>
  <c r="AB246" i="55"/>
  <c r="AQ246" i="55"/>
  <c r="T246" i="55"/>
  <c r="AC246" i="55"/>
  <c r="AR246" i="55"/>
  <c r="M247" i="55"/>
  <c r="V247" i="55"/>
  <c r="AK247" i="55"/>
  <c r="W247" i="55"/>
  <c r="AL247" i="55"/>
  <c r="O247" i="55"/>
  <c r="X247" i="55"/>
  <c r="AM247" i="55"/>
  <c r="P247" i="55"/>
  <c r="Y247" i="55"/>
  <c r="AN247" i="55"/>
  <c r="Q247" i="55"/>
  <c r="Z247" i="55"/>
  <c r="AO247" i="55"/>
  <c r="R247" i="55"/>
  <c r="AA247" i="55"/>
  <c r="AP247" i="55"/>
  <c r="S247" i="55"/>
  <c r="AB247" i="55"/>
  <c r="AQ247" i="55"/>
  <c r="T247" i="55"/>
  <c r="AC247" i="55"/>
  <c r="AR247" i="55"/>
  <c r="M248" i="55"/>
  <c r="V248" i="55"/>
  <c r="AK248" i="55"/>
  <c r="W248" i="55"/>
  <c r="AL248" i="55"/>
  <c r="O248" i="55"/>
  <c r="X248" i="55"/>
  <c r="AM248" i="55"/>
  <c r="P248" i="55"/>
  <c r="Y248" i="55"/>
  <c r="AN248" i="55"/>
  <c r="Q248" i="55"/>
  <c r="Z248" i="55"/>
  <c r="AO248" i="55"/>
  <c r="R248" i="55"/>
  <c r="AA248" i="55"/>
  <c r="AP248" i="55"/>
  <c r="S248" i="55"/>
  <c r="AB248" i="55"/>
  <c r="AQ248" i="55"/>
  <c r="T248" i="55"/>
  <c r="AC248" i="55"/>
  <c r="AR248" i="55"/>
  <c r="M249" i="55"/>
  <c r="V249" i="55"/>
  <c r="AK249" i="55"/>
  <c r="W249" i="55"/>
  <c r="AL249" i="55"/>
  <c r="O249" i="55"/>
  <c r="X249" i="55"/>
  <c r="AM249" i="55"/>
  <c r="P249" i="55"/>
  <c r="Y249" i="55"/>
  <c r="AN249" i="55"/>
  <c r="Q249" i="55"/>
  <c r="Z249" i="55"/>
  <c r="AO249" i="55"/>
  <c r="R249" i="55"/>
  <c r="AA249" i="55"/>
  <c r="AP249" i="55"/>
  <c r="S249" i="55"/>
  <c r="AB249" i="55"/>
  <c r="AQ249" i="55"/>
  <c r="T249" i="55"/>
  <c r="AC249" i="55"/>
  <c r="AR249" i="55"/>
  <c r="M250" i="55"/>
  <c r="V250" i="55"/>
  <c r="AK250" i="55"/>
  <c r="W250" i="55"/>
  <c r="AL250" i="55"/>
  <c r="O250" i="55"/>
  <c r="X250" i="55"/>
  <c r="AM250" i="55"/>
  <c r="P250" i="55"/>
  <c r="Y250" i="55"/>
  <c r="AN250" i="55"/>
  <c r="Q250" i="55"/>
  <c r="Z250" i="55"/>
  <c r="AO250" i="55"/>
  <c r="R250" i="55"/>
  <c r="AA250" i="55"/>
  <c r="AP250" i="55"/>
  <c r="S250" i="55"/>
  <c r="AB250" i="55"/>
  <c r="AQ250" i="55"/>
  <c r="T250" i="55"/>
  <c r="AC250" i="55"/>
  <c r="AR250" i="55"/>
  <c r="M251" i="55"/>
  <c r="V251" i="55"/>
  <c r="AK251" i="55"/>
  <c r="W251" i="55"/>
  <c r="AL251" i="55"/>
  <c r="O251" i="55"/>
  <c r="X251" i="55"/>
  <c r="AM251" i="55"/>
  <c r="P251" i="55"/>
  <c r="Y251" i="55"/>
  <c r="AN251" i="55"/>
  <c r="Q251" i="55"/>
  <c r="Z251" i="55"/>
  <c r="AO251" i="55"/>
  <c r="R251" i="55"/>
  <c r="AA251" i="55"/>
  <c r="AP251" i="55"/>
  <c r="S251" i="55"/>
  <c r="AB251" i="55"/>
  <c r="AQ251" i="55"/>
  <c r="T251" i="55"/>
  <c r="AC251" i="55"/>
  <c r="AR251" i="55"/>
  <c r="M252" i="55"/>
  <c r="V252" i="55"/>
  <c r="AK252" i="55"/>
  <c r="W252" i="55"/>
  <c r="AL252" i="55"/>
  <c r="O252" i="55"/>
  <c r="X252" i="55"/>
  <c r="AM252" i="55"/>
  <c r="P252" i="55"/>
  <c r="Y252" i="55"/>
  <c r="AN252" i="55"/>
  <c r="Q252" i="55"/>
  <c r="Z252" i="55"/>
  <c r="AO252" i="55"/>
  <c r="R252" i="55"/>
  <c r="AA252" i="55"/>
  <c r="AP252" i="55"/>
  <c r="S252" i="55"/>
  <c r="AB252" i="55"/>
  <c r="AQ252" i="55"/>
  <c r="T252" i="55"/>
  <c r="AC252" i="55"/>
  <c r="AR252" i="55"/>
  <c r="M253" i="55"/>
  <c r="V253" i="55"/>
  <c r="AK253" i="55"/>
  <c r="W253" i="55"/>
  <c r="AL253" i="55"/>
  <c r="O253" i="55"/>
  <c r="X253" i="55"/>
  <c r="AM253" i="55"/>
  <c r="P253" i="55"/>
  <c r="Y253" i="55"/>
  <c r="AN253" i="55"/>
  <c r="Q253" i="55"/>
  <c r="Z253" i="55"/>
  <c r="AO253" i="55"/>
  <c r="R253" i="55"/>
  <c r="AA253" i="55"/>
  <c r="AP253" i="55"/>
  <c r="S253" i="55"/>
  <c r="AB253" i="55"/>
  <c r="AQ253" i="55"/>
  <c r="T253" i="55"/>
  <c r="AC253" i="55"/>
  <c r="AR253" i="55"/>
  <c r="M254" i="55"/>
  <c r="V254" i="55"/>
  <c r="AK254" i="55"/>
  <c r="W254" i="55"/>
  <c r="AL254" i="55"/>
  <c r="O254" i="55"/>
  <c r="X254" i="55"/>
  <c r="AM254" i="55"/>
  <c r="P254" i="55"/>
  <c r="Y254" i="55"/>
  <c r="AN254" i="55"/>
  <c r="Q254" i="55"/>
  <c r="Z254" i="55"/>
  <c r="AO254" i="55"/>
  <c r="R254" i="55"/>
  <c r="AA254" i="55"/>
  <c r="AP254" i="55"/>
  <c r="S254" i="55"/>
  <c r="AB254" i="55"/>
  <c r="AQ254" i="55"/>
  <c r="T254" i="55"/>
  <c r="AC254" i="55"/>
  <c r="AR254" i="55"/>
  <c r="M255" i="55"/>
  <c r="V255" i="55"/>
  <c r="AK255" i="55"/>
  <c r="W255" i="55"/>
  <c r="AL255" i="55"/>
  <c r="O255" i="55"/>
  <c r="X255" i="55"/>
  <c r="AM255" i="55"/>
  <c r="P255" i="55"/>
  <c r="Y255" i="55"/>
  <c r="AN255" i="55"/>
  <c r="Q255" i="55"/>
  <c r="Z255" i="55"/>
  <c r="AO255" i="55"/>
  <c r="R255" i="55"/>
  <c r="AA255" i="55"/>
  <c r="AP255" i="55"/>
  <c r="S255" i="55"/>
  <c r="AB255" i="55"/>
  <c r="AQ255" i="55"/>
  <c r="T255" i="55"/>
  <c r="AC255" i="55"/>
  <c r="AR255" i="55"/>
  <c r="M256" i="55"/>
  <c r="V256" i="55"/>
  <c r="AK256" i="55"/>
  <c r="W256" i="55"/>
  <c r="AL256" i="55"/>
  <c r="O256" i="55"/>
  <c r="X256" i="55"/>
  <c r="AM256" i="55"/>
  <c r="P256" i="55"/>
  <c r="Y256" i="55"/>
  <c r="AN256" i="55"/>
  <c r="Q256" i="55"/>
  <c r="Z256" i="55"/>
  <c r="AO256" i="55"/>
  <c r="R256" i="55"/>
  <c r="AA256" i="55"/>
  <c r="AP256" i="55"/>
  <c r="S256" i="55"/>
  <c r="AB256" i="55"/>
  <c r="AQ256" i="55"/>
  <c r="T256" i="55"/>
  <c r="AC256" i="55"/>
  <c r="AR256" i="55"/>
  <c r="M257" i="55"/>
  <c r="V257" i="55"/>
  <c r="AK257" i="55"/>
  <c r="W257" i="55"/>
  <c r="AL257" i="55"/>
  <c r="O257" i="55"/>
  <c r="X257" i="55"/>
  <c r="AM257" i="55"/>
  <c r="P257" i="55"/>
  <c r="Y257" i="55"/>
  <c r="AN257" i="55"/>
  <c r="Q257" i="55"/>
  <c r="Z257" i="55"/>
  <c r="AO257" i="55"/>
  <c r="R257" i="55"/>
  <c r="AA257" i="55"/>
  <c r="AP257" i="55"/>
  <c r="S257" i="55"/>
  <c r="AB257" i="55"/>
  <c r="AQ257" i="55"/>
  <c r="T257" i="55"/>
  <c r="AC257" i="55"/>
  <c r="AR257" i="55"/>
  <c r="M258" i="55"/>
  <c r="V258" i="55"/>
  <c r="AK258" i="55"/>
  <c r="W258" i="55"/>
  <c r="AL258" i="55"/>
  <c r="O258" i="55"/>
  <c r="X258" i="55"/>
  <c r="AM258" i="55"/>
  <c r="P258" i="55"/>
  <c r="Y258" i="55"/>
  <c r="AN258" i="55"/>
  <c r="Q258" i="55"/>
  <c r="Z258" i="55"/>
  <c r="AO258" i="55"/>
  <c r="R258" i="55"/>
  <c r="AA258" i="55"/>
  <c r="AP258" i="55"/>
  <c r="S258" i="55"/>
  <c r="AB258" i="55"/>
  <c r="AQ258" i="55"/>
  <c r="T258" i="55"/>
  <c r="AC258" i="55"/>
  <c r="AR258" i="55"/>
  <c r="M259" i="55"/>
  <c r="V259" i="55"/>
  <c r="AK259" i="55"/>
  <c r="W259" i="55"/>
  <c r="AL259" i="55"/>
  <c r="O259" i="55"/>
  <c r="X259" i="55"/>
  <c r="AM259" i="55"/>
  <c r="P259" i="55"/>
  <c r="Y259" i="55"/>
  <c r="AN259" i="55"/>
  <c r="Q259" i="55"/>
  <c r="Z259" i="55"/>
  <c r="AO259" i="55"/>
  <c r="R259" i="55"/>
  <c r="AA259" i="55"/>
  <c r="AP259" i="55"/>
  <c r="S259" i="55"/>
  <c r="AB259" i="55"/>
  <c r="AQ259" i="55"/>
  <c r="T259" i="55"/>
  <c r="AC259" i="55"/>
  <c r="AR259" i="55"/>
  <c r="M260" i="55"/>
  <c r="V260" i="55"/>
  <c r="AK260" i="55"/>
  <c r="W260" i="55"/>
  <c r="AL260" i="55"/>
  <c r="O260" i="55"/>
  <c r="X260" i="55"/>
  <c r="AM260" i="55"/>
  <c r="P260" i="55"/>
  <c r="Y260" i="55"/>
  <c r="AN260" i="55"/>
  <c r="Q260" i="55"/>
  <c r="Z260" i="55"/>
  <c r="AO260" i="55"/>
  <c r="R260" i="55"/>
  <c r="AA260" i="55"/>
  <c r="AP260" i="55"/>
  <c r="S260" i="55"/>
  <c r="AB260" i="55"/>
  <c r="AQ260" i="55"/>
  <c r="T260" i="55"/>
  <c r="AC260" i="55"/>
  <c r="AR260" i="55"/>
  <c r="M261" i="55"/>
  <c r="V261" i="55"/>
  <c r="AK261" i="55"/>
  <c r="W261" i="55"/>
  <c r="AL261" i="55"/>
  <c r="O261" i="55"/>
  <c r="X261" i="55"/>
  <c r="AM261" i="55"/>
  <c r="P261" i="55"/>
  <c r="Y261" i="55"/>
  <c r="AN261" i="55"/>
  <c r="Q261" i="55"/>
  <c r="Z261" i="55"/>
  <c r="AO261" i="55"/>
  <c r="R261" i="55"/>
  <c r="AA261" i="55"/>
  <c r="AP261" i="55"/>
  <c r="S261" i="55"/>
  <c r="AB261" i="55"/>
  <c r="AQ261" i="55"/>
  <c r="T261" i="55"/>
  <c r="AC261" i="55"/>
  <c r="AR261" i="55"/>
  <c r="M262" i="55"/>
  <c r="V262" i="55"/>
  <c r="AK262" i="55"/>
  <c r="W262" i="55"/>
  <c r="AL262" i="55"/>
  <c r="O262" i="55"/>
  <c r="X262" i="55"/>
  <c r="AM262" i="55"/>
  <c r="P262" i="55"/>
  <c r="Y262" i="55"/>
  <c r="AN262" i="55"/>
  <c r="Q262" i="55"/>
  <c r="Z262" i="55"/>
  <c r="AO262" i="55"/>
  <c r="R262" i="55"/>
  <c r="AA262" i="55"/>
  <c r="AP262" i="55"/>
  <c r="S262" i="55"/>
  <c r="AB262" i="55"/>
  <c r="AQ262" i="55"/>
  <c r="T262" i="55"/>
  <c r="AC262" i="55"/>
  <c r="AR262" i="55"/>
  <c r="M263" i="55"/>
  <c r="V263" i="55"/>
  <c r="AK263" i="55"/>
  <c r="W263" i="55"/>
  <c r="AL263" i="55"/>
  <c r="O263" i="55"/>
  <c r="X263" i="55"/>
  <c r="AM263" i="55"/>
  <c r="P263" i="55"/>
  <c r="Y263" i="55"/>
  <c r="AN263" i="55"/>
  <c r="Q263" i="55"/>
  <c r="Z263" i="55"/>
  <c r="AO263" i="55"/>
  <c r="R263" i="55"/>
  <c r="AA263" i="55"/>
  <c r="AP263" i="55"/>
  <c r="S263" i="55"/>
  <c r="AB263" i="55"/>
  <c r="AQ263" i="55"/>
  <c r="T263" i="55"/>
  <c r="AC263" i="55"/>
  <c r="AR263" i="55"/>
  <c r="M264" i="55"/>
  <c r="V264" i="55"/>
  <c r="AK264" i="55"/>
  <c r="W264" i="55"/>
  <c r="AL264" i="55"/>
  <c r="O264" i="55"/>
  <c r="X264" i="55"/>
  <c r="AM264" i="55"/>
  <c r="P264" i="55"/>
  <c r="Y264" i="55"/>
  <c r="AN264" i="55"/>
  <c r="Q264" i="55"/>
  <c r="Z264" i="55"/>
  <c r="AO264" i="55"/>
  <c r="R264" i="55"/>
  <c r="AA264" i="55"/>
  <c r="AP264" i="55"/>
  <c r="S264" i="55"/>
  <c r="AB264" i="55"/>
  <c r="AQ264" i="55"/>
  <c r="T264" i="55"/>
  <c r="AC264" i="55"/>
  <c r="AR264" i="55"/>
  <c r="M265" i="55"/>
  <c r="V265" i="55"/>
  <c r="AK265" i="55"/>
  <c r="W265" i="55"/>
  <c r="AL265" i="55"/>
  <c r="O265" i="55"/>
  <c r="X265" i="55"/>
  <c r="AM265" i="55"/>
  <c r="P265" i="55"/>
  <c r="Y265" i="55"/>
  <c r="AN265" i="55"/>
  <c r="Q265" i="55"/>
  <c r="Z265" i="55"/>
  <c r="AO265" i="55"/>
  <c r="R265" i="55"/>
  <c r="AA265" i="55"/>
  <c r="AP265" i="55"/>
  <c r="S265" i="55"/>
  <c r="AB265" i="55"/>
  <c r="AQ265" i="55"/>
  <c r="T265" i="55"/>
  <c r="AC265" i="55"/>
  <c r="AR265" i="55"/>
  <c r="M266" i="55"/>
  <c r="V266" i="55"/>
  <c r="AK266" i="55"/>
  <c r="W266" i="55"/>
  <c r="AL266" i="55"/>
  <c r="O266" i="55"/>
  <c r="X266" i="55"/>
  <c r="AM266" i="55"/>
  <c r="P266" i="55"/>
  <c r="Y266" i="55"/>
  <c r="AN266" i="55"/>
  <c r="Q266" i="55"/>
  <c r="Z266" i="55"/>
  <c r="AO266" i="55"/>
  <c r="R266" i="55"/>
  <c r="AA266" i="55"/>
  <c r="AP266" i="55"/>
  <c r="S266" i="55"/>
  <c r="AB266" i="55"/>
  <c r="AQ266" i="55"/>
  <c r="T266" i="55"/>
  <c r="AC266" i="55"/>
  <c r="AR266" i="55"/>
  <c r="M267" i="55"/>
  <c r="V267" i="55"/>
  <c r="AK267" i="55"/>
  <c r="W267" i="55"/>
  <c r="AL267" i="55"/>
  <c r="O267" i="55"/>
  <c r="X267" i="55"/>
  <c r="AM267" i="55"/>
  <c r="P267" i="55"/>
  <c r="Y267" i="55"/>
  <c r="AN267" i="55"/>
  <c r="Q267" i="55"/>
  <c r="Z267" i="55"/>
  <c r="AO267" i="55"/>
  <c r="R267" i="55"/>
  <c r="AA267" i="55"/>
  <c r="AP267" i="55"/>
  <c r="S267" i="55"/>
  <c r="AB267" i="55"/>
  <c r="AQ267" i="55"/>
  <c r="T267" i="55"/>
  <c r="AC267" i="55"/>
  <c r="AR267" i="55"/>
  <c r="M268" i="55"/>
  <c r="V268" i="55"/>
  <c r="AK268" i="55"/>
  <c r="W268" i="55"/>
  <c r="AL268" i="55"/>
  <c r="O268" i="55"/>
  <c r="X268" i="55"/>
  <c r="AM268" i="55"/>
  <c r="P268" i="55"/>
  <c r="Y268" i="55"/>
  <c r="AN268" i="55"/>
  <c r="Q268" i="55"/>
  <c r="Z268" i="55"/>
  <c r="AO268" i="55"/>
  <c r="R268" i="55"/>
  <c r="AA268" i="55"/>
  <c r="AP268" i="55"/>
  <c r="S268" i="55"/>
  <c r="AB268" i="55"/>
  <c r="AQ268" i="55"/>
  <c r="T268" i="55"/>
  <c r="AC268" i="55"/>
  <c r="AR268" i="55"/>
  <c r="M269" i="55"/>
  <c r="V269" i="55"/>
  <c r="AK269" i="55"/>
  <c r="W269" i="55"/>
  <c r="AL269" i="55"/>
  <c r="O269" i="55"/>
  <c r="X269" i="55"/>
  <c r="AM269" i="55"/>
  <c r="P269" i="55"/>
  <c r="Y269" i="55"/>
  <c r="AN269" i="55"/>
  <c r="Q269" i="55"/>
  <c r="Z269" i="55"/>
  <c r="AO269" i="55"/>
  <c r="R269" i="55"/>
  <c r="AA269" i="55"/>
  <c r="AP269" i="55"/>
  <c r="S269" i="55"/>
  <c r="AB269" i="55"/>
  <c r="AQ269" i="55"/>
  <c r="T269" i="55"/>
  <c r="AC269" i="55"/>
  <c r="AR269" i="55"/>
  <c r="M270" i="55"/>
  <c r="V270" i="55"/>
  <c r="AK270" i="55"/>
  <c r="W270" i="55"/>
  <c r="AL270" i="55"/>
  <c r="O270" i="55"/>
  <c r="X270" i="55"/>
  <c r="AM270" i="55"/>
  <c r="P270" i="55"/>
  <c r="Y270" i="55"/>
  <c r="AN270" i="55"/>
  <c r="Q270" i="55"/>
  <c r="Z270" i="55"/>
  <c r="AO270" i="55"/>
  <c r="R270" i="55"/>
  <c r="AA270" i="55"/>
  <c r="AP270" i="55"/>
  <c r="S270" i="55"/>
  <c r="AB270" i="55"/>
  <c r="AQ270" i="55"/>
  <c r="T270" i="55"/>
  <c r="AC270" i="55"/>
  <c r="AR270" i="55"/>
  <c r="M271" i="55"/>
  <c r="V271" i="55"/>
  <c r="AK271" i="55"/>
  <c r="W271" i="55"/>
  <c r="AL271" i="55"/>
  <c r="O271" i="55"/>
  <c r="X271" i="55"/>
  <c r="AM271" i="55"/>
  <c r="P271" i="55"/>
  <c r="Y271" i="55"/>
  <c r="AN271" i="55"/>
  <c r="Q271" i="55"/>
  <c r="Z271" i="55"/>
  <c r="AO271" i="55"/>
  <c r="R271" i="55"/>
  <c r="AA271" i="55"/>
  <c r="AP271" i="55"/>
  <c r="S271" i="55"/>
  <c r="AB271" i="55"/>
  <c r="AQ271" i="55"/>
  <c r="T271" i="55"/>
  <c r="AC271" i="55"/>
  <c r="AR271" i="55"/>
  <c r="M272" i="55"/>
  <c r="V272" i="55"/>
  <c r="AK272" i="55"/>
  <c r="W272" i="55"/>
  <c r="AL272" i="55"/>
  <c r="O272" i="55"/>
  <c r="X272" i="55"/>
  <c r="AM272" i="55"/>
  <c r="P272" i="55"/>
  <c r="Y272" i="55"/>
  <c r="AN272" i="55"/>
  <c r="Q272" i="55"/>
  <c r="Z272" i="55"/>
  <c r="AO272" i="55"/>
  <c r="R272" i="55"/>
  <c r="AA272" i="55"/>
  <c r="AP272" i="55"/>
  <c r="S272" i="55"/>
  <c r="AB272" i="55"/>
  <c r="AQ272" i="55"/>
  <c r="T272" i="55"/>
  <c r="AC272" i="55"/>
  <c r="AR272" i="55"/>
  <c r="M273" i="55"/>
  <c r="V273" i="55"/>
  <c r="AK273" i="55"/>
  <c r="W273" i="55"/>
  <c r="AL273" i="55"/>
  <c r="O273" i="55"/>
  <c r="X273" i="55"/>
  <c r="AM273" i="55"/>
  <c r="P273" i="55"/>
  <c r="Y273" i="55"/>
  <c r="AN273" i="55"/>
  <c r="Q273" i="55"/>
  <c r="Z273" i="55"/>
  <c r="AO273" i="55"/>
  <c r="R273" i="55"/>
  <c r="AA273" i="55"/>
  <c r="AP273" i="55"/>
  <c r="S273" i="55"/>
  <c r="AB273" i="55"/>
  <c r="AQ273" i="55"/>
  <c r="T273" i="55"/>
  <c r="AC273" i="55"/>
  <c r="AR273" i="55"/>
  <c r="M274" i="55"/>
  <c r="V274" i="55"/>
  <c r="AK274" i="55"/>
  <c r="W274" i="55"/>
  <c r="AL274" i="55"/>
  <c r="O274" i="55"/>
  <c r="X274" i="55"/>
  <c r="AM274" i="55"/>
  <c r="P274" i="55"/>
  <c r="Y274" i="55"/>
  <c r="AN274" i="55"/>
  <c r="Q274" i="55"/>
  <c r="Z274" i="55"/>
  <c r="AO274" i="55"/>
  <c r="R274" i="55"/>
  <c r="AA274" i="55"/>
  <c r="AP274" i="55"/>
  <c r="S274" i="55"/>
  <c r="AB274" i="55"/>
  <c r="AQ274" i="55"/>
  <c r="T274" i="55"/>
  <c r="AC274" i="55"/>
  <c r="AR274" i="55"/>
  <c r="M275" i="55"/>
  <c r="V275" i="55"/>
  <c r="AK275" i="55"/>
  <c r="W275" i="55"/>
  <c r="AL275" i="55"/>
  <c r="O275" i="55"/>
  <c r="X275" i="55"/>
  <c r="AM275" i="55"/>
  <c r="P275" i="55"/>
  <c r="Y275" i="55"/>
  <c r="AN275" i="55"/>
  <c r="Q275" i="55"/>
  <c r="Z275" i="55"/>
  <c r="AO275" i="55"/>
  <c r="R275" i="55"/>
  <c r="AA275" i="55"/>
  <c r="AP275" i="55"/>
  <c r="S275" i="55"/>
  <c r="AB275" i="55"/>
  <c r="AQ275" i="55"/>
  <c r="T275" i="55"/>
  <c r="AC275" i="55"/>
  <c r="AR275" i="55"/>
  <c r="M276" i="55"/>
  <c r="V276" i="55"/>
  <c r="AK276" i="55"/>
  <c r="W276" i="55"/>
  <c r="AL276" i="55"/>
  <c r="O276" i="55"/>
  <c r="X276" i="55"/>
  <c r="AM276" i="55"/>
  <c r="P276" i="55"/>
  <c r="Y276" i="55"/>
  <c r="AN276" i="55"/>
  <c r="Q276" i="55"/>
  <c r="Z276" i="55"/>
  <c r="AO276" i="55"/>
  <c r="R276" i="55"/>
  <c r="AA276" i="55"/>
  <c r="AP276" i="55"/>
  <c r="S276" i="55"/>
  <c r="AB276" i="55"/>
  <c r="AQ276" i="55"/>
  <c r="T276" i="55"/>
  <c r="AC276" i="55"/>
  <c r="AR276" i="55"/>
  <c r="M277" i="55"/>
  <c r="V277" i="55"/>
  <c r="AK277" i="55"/>
  <c r="W277" i="55"/>
  <c r="AL277" i="55"/>
  <c r="O277" i="55"/>
  <c r="X277" i="55"/>
  <c r="AM277" i="55"/>
  <c r="P277" i="55"/>
  <c r="Y277" i="55"/>
  <c r="AN277" i="55"/>
  <c r="Q277" i="55"/>
  <c r="Z277" i="55"/>
  <c r="AO277" i="55"/>
  <c r="R277" i="55"/>
  <c r="AA277" i="55"/>
  <c r="AP277" i="55"/>
  <c r="S277" i="55"/>
  <c r="AB277" i="55"/>
  <c r="AQ277" i="55"/>
  <c r="T277" i="55"/>
  <c r="AC277" i="55"/>
  <c r="AR277" i="55"/>
  <c r="M278" i="55"/>
  <c r="V278" i="55"/>
  <c r="AK278" i="55"/>
  <c r="W278" i="55"/>
  <c r="AL278" i="55"/>
  <c r="O278" i="55"/>
  <c r="X278" i="55"/>
  <c r="AM278" i="55"/>
  <c r="P278" i="55"/>
  <c r="Y278" i="55"/>
  <c r="AN278" i="55"/>
  <c r="Q278" i="55"/>
  <c r="Z278" i="55"/>
  <c r="AO278" i="55"/>
  <c r="R278" i="55"/>
  <c r="AA278" i="55"/>
  <c r="AP278" i="55"/>
  <c r="S278" i="55"/>
  <c r="AB278" i="55"/>
  <c r="AQ278" i="55"/>
  <c r="T278" i="55"/>
  <c r="AC278" i="55"/>
  <c r="AR278" i="55"/>
  <c r="M279" i="55"/>
  <c r="V279" i="55"/>
  <c r="AK279" i="55"/>
  <c r="W279" i="55"/>
  <c r="AL279" i="55"/>
  <c r="O279" i="55"/>
  <c r="X279" i="55"/>
  <c r="AM279" i="55"/>
  <c r="P279" i="55"/>
  <c r="Y279" i="55"/>
  <c r="AN279" i="55"/>
  <c r="Q279" i="55"/>
  <c r="Z279" i="55"/>
  <c r="AO279" i="55"/>
  <c r="R279" i="55"/>
  <c r="AA279" i="55"/>
  <c r="AP279" i="55"/>
  <c r="S279" i="55"/>
  <c r="AB279" i="55"/>
  <c r="AQ279" i="55"/>
  <c r="T279" i="55"/>
  <c r="AC279" i="55"/>
  <c r="AR279" i="55"/>
  <c r="M280" i="55"/>
  <c r="V280" i="55"/>
  <c r="AK280" i="55"/>
  <c r="W280" i="55"/>
  <c r="AL280" i="55"/>
  <c r="O280" i="55"/>
  <c r="X280" i="55"/>
  <c r="AM280" i="55"/>
  <c r="P280" i="55"/>
  <c r="Y280" i="55"/>
  <c r="AN280" i="55"/>
  <c r="Q280" i="55"/>
  <c r="Z280" i="55"/>
  <c r="AO280" i="55"/>
  <c r="R280" i="55"/>
  <c r="AA280" i="55"/>
  <c r="AP280" i="55"/>
  <c r="S280" i="55"/>
  <c r="AB280" i="55"/>
  <c r="AQ280" i="55"/>
  <c r="T280" i="55"/>
  <c r="AC280" i="55"/>
  <c r="AR280" i="55"/>
  <c r="M281" i="55"/>
  <c r="V281" i="55"/>
  <c r="AK281" i="55"/>
  <c r="W281" i="55"/>
  <c r="AL281" i="55"/>
  <c r="O281" i="55"/>
  <c r="X281" i="55"/>
  <c r="AM281" i="55"/>
  <c r="P281" i="55"/>
  <c r="Y281" i="55"/>
  <c r="AN281" i="55"/>
  <c r="Q281" i="55"/>
  <c r="Z281" i="55"/>
  <c r="AO281" i="55"/>
  <c r="R281" i="55"/>
  <c r="AA281" i="55"/>
  <c r="AP281" i="55"/>
  <c r="S281" i="55"/>
  <c r="AB281" i="55"/>
  <c r="AQ281" i="55"/>
  <c r="T281" i="55"/>
  <c r="AC281" i="55"/>
  <c r="AR281" i="55"/>
  <c r="M282" i="55"/>
  <c r="V282" i="55"/>
  <c r="AK282" i="55"/>
  <c r="W282" i="55"/>
  <c r="AL282" i="55"/>
  <c r="O282" i="55"/>
  <c r="X282" i="55"/>
  <c r="AM282" i="55"/>
  <c r="P282" i="55"/>
  <c r="Y282" i="55"/>
  <c r="AN282" i="55"/>
  <c r="Q282" i="55"/>
  <c r="Z282" i="55"/>
  <c r="AO282" i="55"/>
  <c r="R282" i="55"/>
  <c r="AA282" i="55"/>
  <c r="AP282" i="55"/>
  <c r="S282" i="55"/>
  <c r="AB282" i="55"/>
  <c r="AQ282" i="55"/>
  <c r="T282" i="55"/>
  <c r="AC282" i="55"/>
  <c r="AR282" i="55"/>
  <c r="M283" i="55"/>
  <c r="V283" i="55"/>
  <c r="AK283" i="55"/>
  <c r="W283" i="55"/>
  <c r="AL283" i="55"/>
  <c r="O283" i="55"/>
  <c r="X283" i="55"/>
  <c r="AM283" i="55"/>
  <c r="P283" i="55"/>
  <c r="Y283" i="55"/>
  <c r="AN283" i="55"/>
  <c r="Q283" i="55"/>
  <c r="Z283" i="55"/>
  <c r="AO283" i="55"/>
  <c r="R283" i="55"/>
  <c r="AA283" i="55"/>
  <c r="AP283" i="55"/>
  <c r="S283" i="55"/>
  <c r="AB283" i="55"/>
  <c r="AQ283" i="55"/>
  <c r="T283" i="55"/>
  <c r="AC283" i="55"/>
  <c r="AR283" i="55"/>
  <c r="M284" i="55"/>
  <c r="V284" i="55"/>
  <c r="AK284" i="55"/>
  <c r="W284" i="55"/>
  <c r="AL284" i="55"/>
  <c r="O284" i="55"/>
  <c r="X284" i="55"/>
  <c r="AM284" i="55"/>
  <c r="P284" i="55"/>
  <c r="Y284" i="55"/>
  <c r="AN284" i="55"/>
  <c r="Q284" i="55"/>
  <c r="Z284" i="55"/>
  <c r="AO284" i="55"/>
  <c r="R284" i="55"/>
  <c r="AA284" i="55"/>
  <c r="AP284" i="55"/>
  <c r="S284" i="55"/>
  <c r="AB284" i="55"/>
  <c r="AQ284" i="55"/>
  <c r="T284" i="55"/>
  <c r="AC284" i="55"/>
  <c r="AR284" i="55"/>
  <c r="M285" i="55"/>
  <c r="V285" i="55"/>
  <c r="AK285" i="55"/>
  <c r="W285" i="55"/>
  <c r="AL285" i="55"/>
  <c r="O285" i="55"/>
  <c r="X285" i="55"/>
  <c r="AM285" i="55"/>
  <c r="P285" i="55"/>
  <c r="Y285" i="55"/>
  <c r="AN285" i="55"/>
  <c r="Q285" i="55"/>
  <c r="Z285" i="55"/>
  <c r="AO285" i="55"/>
  <c r="R285" i="55"/>
  <c r="AA285" i="55"/>
  <c r="AP285" i="55"/>
  <c r="S285" i="55"/>
  <c r="AB285" i="55"/>
  <c r="AQ285" i="55"/>
  <c r="T285" i="55"/>
  <c r="AC285" i="55"/>
  <c r="AR285" i="55"/>
  <c r="M286" i="55"/>
  <c r="V286" i="55"/>
  <c r="AK286" i="55"/>
  <c r="W286" i="55"/>
  <c r="AL286" i="55"/>
  <c r="O286" i="55"/>
  <c r="X286" i="55"/>
  <c r="AM286" i="55"/>
  <c r="P286" i="55"/>
  <c r="Y286" i="55"/>
  <c r="AN286" i="55"/>
  <c r="Q286" i="55"/>
  <c r="Z286" i="55"/>
  <c r="AO286" i="55"/>
  <c r="R286" i="55"/>
  <c r="AA286" i="55"/>
  <c r="AP286" i="55"/>
  <c r="S286" i="55"/>
  <c r="AB286" i="55"/>
  <c r="AQ286" i="55"/>
  <c r="T286" i="55"/>
  <c r="AC286" i="55"/>
  <c r="AR286" i="55"/>
  <c r="M287" i="55"/>
  <c r="V287" i="55"/>
  <c r="AK287" i="55"/>
  <c r="W287" i="55"/>
  <c r="AL287" i="55"/>
  <c r="O287" i="55"/>
  <c r="X287" i="55"/>
  <c r="AM287" i="55"/>
  <c r="P287" i="55"/>
  <c r="Y287" i="55"/>
  <c r="AN287" i="55"/>
  <c r="Q287" i="55"/>
  <c r="Z287" i="55"/>
  <c r="AO287" i="55"/>
  <c r="R287" i="55"/>
  <c r="AA287" i="55"/>
  <c r="AP287" i="55"/>
  <c r="S287" i="55"/>
  <c r="AB287" i="55"/>
  <c r="AQ287" i="55"/>
  <c r="T287" i="55"/>
  <c r="AC287" i="55"/>
  <c r="AR287" i="55"/>
  <c r="M288" i="55"/>
  <c r="V288" i="55"/>
  <c r="AK288" i="55"/>
  <c r="W288" i="55"/>
  <c r="AL288" i="55"/>
  <c r="O288" i="55"/>
  <c r="X288" i="55"/>
  <c r="AM288" i="55"/>
  <c r="P288" i="55"/>
  <c r="Y288" i="55"/>
  <c r="AN288" i="55"/>
  <c r="Q288" i="55"/>
  <c r="Z288" i="55"/>
  <c r="AO288" i="55"/>
  <c r="R288" i="55"/>
  <c r="AA288" i="55"/>
  <c r="AP288" i="55"/>
  <c r="S288" i="55"/>
  <c r="AB288" i="55"/>
  <c r="AQ288" i="55"/>
  <c r="T288" i="55"/>
  <c r="AC288" i="55"/>
  <c r="AR288" i="55"/>
  <c r="M289" i="55"/>
  <c r="V289" i="55"/>
  <c r="AK289" i="55"/>
  <c r="W289" i="55"/>
  <c r="AL289" i="55"/>
  <c r="O289" i="55"/>
  <c r="X289" i="55"/>
  <c r="AM289" i="55"/>
  <c r="P289" i="55"/>
  <c r="Y289" i="55"/>
  <c r="AN289" i="55"/>
  <c r="Q289" i="55"/>
  <c r="Z289" i="55"/>
  <c r="AO289" i="55"/>
  <c r="R289" i="55"/>
  <c r="AA289" i="55"/>
  <c r="AP289" i="55"/>
  <c r="S289" i="55"/>
  <c r="AB289" i="55"/>
  <c r="AQ289" i="55"/>
  <c r="T289" i="55"/>
  <c r="AC289" i="55"/>
  <c r="AR289" i="55"/>
  <c r="M290" i="55"/>
  <c r="V290" i="55"/>
  <c r="AK290" i="55"/>
  <c r="W290" i="55"/>
  <c r="AL290" i="55"/>
  <c r="O290" i="55"/>
  <c r="X290" i="55"/>
  <c r="AM290" i="55"/>
  <c r="P290" i="55"/>
  <c r="Y290" i="55"/>
  <c r="AN290" i="55"/>
  <c r="Q290" i="55"/>
  <c r="Z290" i="55"/>
  <c r="AO290" i="55"/>
  <c r="R290" i="55"/>
  <c r="AA290" i="55"/>
  <c r="AP290" i="55"/>
  <c r="S290" i="55"/>
  <c r="AB290" i="55"/>
  <c r="AQ290" i="55"/>
  <c r="T290" i="55"/>
  <c r="AC290" i="55"/>
  <c r="AR290" i="55"/>
  <c r="M291" i="55"/>
  <c r="V291" i="55"/>
  <c r="AK291" i="55"/>
  <c r="W291" i="55"/>
  <c r="AL291" i="55"/>
  <c r="O291" i="55"/>
  <c r="X291" i="55"/>
  <c r="AM291" i="55"/>
  <c r="P291" i="55"/>
  <c r="Y291" i="55"/>
  <c r="AN291" i="55"/>
  <c r="Q291" i="55"/>
  <c r="Z291" i="55"/>
  <c r="AO291" i="55"/>
  <c r="R291" i="55"/>
  <c r="AA291" i="55"/>
  <c r="AP291" i="55"/>
  <c r="S291" i="55"/>
  <c r="AB291" i="55"/>
  <c r="AQ291" i="55"/>
  <c r="T291" i="55"/>
  <c r="AC291" i="55"/>
  <c r="AR291" i="55"/>
  <c r="M292" i="55"/>
  <c r="V292" i="55"/>
  <c r="AK292" i="55"/>
  <c r="W292" i="55"/>
  <c r="AL292" i="55"/>
  <c r="O292" i="55"/>
  <c r="X292" i="55"/>
  <c r="AM292" i="55"/>
  <c r="P292" i="55"/>
  <c r="Y292" i="55"/>
  <c r="AN292" i="55"/>
  <c r="Q292" i="55"/>
  <c r="Z292" i="55"/>
  <c r="AO292" i="55"/>
  <c r="R292" i="55"/>
  <c r="AA292" i="55"/>
  <c r="AP292" i="55"/>
  <c r="S292" i="55"/>
  <c r="AB292" i="55"/>
  <c r="AQ292" i="55"/>
  <c r="T292" i="55"/>
  <c r="AC292" i="55"/>
  <c r="AR292" i="55"/>
  <c r="M293" i="55"/>
  <c r="V293" i="55"/>
  <c r="AK293" i="55"/>
  <c r="W293" i="55"/>
  <c r="AL293" i="55"/>
  <c r="O293" i="55"/>
  <c r="X293" i="55"/>
  <c r="AM293" i="55"/>
  <c r="P293" i="55"/>
  <c r="Y293" i="55"/>
  <c r="AN293" i="55"/>
  <c r="Q293" i="55"/>
  <c r="Z293" i="55"/>
  <c r="AO293" i="55"/>
  <c r="R293" i="55"/>
  <c r="AA293" i="55"/>
  <c r="AP293" i="55"/>
  <c r="S293" i="55"/>
  <c r="AB293" i="55"/>
  <c r="AQ293" i="55"/>
  <c r="T293" i="55"/>
  <c r="AC293" i="55"/>
  <c r="AR293" i="55"/>
  <c r="M294" i="55"/>
  <c r="V294" i="55"/>
  <c r="AK294" i="55"/>
  <c r="W294" i="55"/>
  <c r="AL294" i="55"/>
  <c r="O294" i="55"/>
  <c r="X294" i="55"/>
  <c r="AM294" i="55"/>
  <c r="P294" i="55"/>
  <c r="Y294" i="55"/>
  <c r="AN294" i="55"/>
  <c r="Q294" i="55"/>
  <c r="Z294" i="55"/>
  <c r="AO294" i="55"/>
  <c r="R294" i="55"/>
  <c r="AA294" i="55"/>
  <c r="AP294" i="55"/>
  <c r="S294" i="55"/>
  <c r="AB294" i="55"/>
  <c r="AQ294" i="55"/>
  <c r="T294" i="55"/>
  <c r="AC294" i="55"/>
  <c r="AR294" i="55"/>
  <c r="M295" i="55"/>
  <c r="V295" i="55"/>
  <c r="AK295" i="55"/>
  <c r="W295" i="55"/>
  <c r="AL295" i="55"/>
  <c r="O295" i="55"/>
  <c r="X295" i="55"/>
  <c r="AM295" i="55"/>
  <c r="P295" i="55"/>
  <c r="Y295" i="55"/>
  <c r="AN295" i="55"/>
  <c r="Q295" i="55"/>
  <c r="Z295" i="55"/>
  <c r="AO295" i="55"/>
  <c r="R295" i="55"/>
  <c r="AA295" i="55"/>
  <c r="AP295" i="55"/>
  <c r="S295" i="55"/>
  <c r="AB295" i="55"/>
  <c r="AQ295" i="55"/>
  <c r="T295" i="55"/>
  <c r="AC295" i="55"/>
  <c r="AR295" i="55"/>
  <c r="M296" i="55"/>
  <c r="V296" i="55"/>
  <c r="AK296" i="55"/>
  <c r="W296" i="55"/>
  <c r="AL296" i="55"/>
  <c r="O296" i="55"/>
  <c r="X296" i="55"/>
  <c r="AM296" i="55"/>
  <c r="P296" i="55"/>
  <c r="Y296" i="55"/>
  <c r="AN296" i="55"/>
  <c r="Q296" i="55"/>
  <c r="Z296" i="55"/>
  <c r="AO296" i="55"/>
  <c r="R296" i="55"/>
  <c r="AA296" i="55"/>
  <c r="AP296" i="55"/>
  <c r="S296" i="55"/>
  <c r="AB296" i="55"/>
  <c r="AQ296" i="55"/>
  <c r="T296" i="55"/>
  <c r="AC296" i="55"/>
  <c r="AR296" i="55"/>
  <c r="M297" i="55"/>
  <c r="V297" i="55"/>
  <c r="AK297" i="55"/>
  <c r="W297" i="55"/>
  <c r="AL297" i="55"/>
  <c r="O297" i="55"/>
  <c r="X297" i="55"/>
  <c r="AM297" i="55"/>
  <c r="P297" i="55"/>
  <c r="Y297" i="55"/>
  <c r="AN297" i="55"/>
  <c r="Q297" i="55"/>
  <c r="Z297" i="55"/>
  <c r="AO297" i="55"/>
  <c r="R297" i="55"/>
  <c r="AA297" i="55"/>
  <c r="AP297" i="55"/>
  <c r="S297" i="55"/>
  <c r="AB297" i="55"/>
  <c r="AQ297" i="55"/>
  <c r="T297" i="55"/>
  <c r="AC297" i="55"/>
  <c r="AR297" i="55"/>
  <c r="M298" i="55"/>
  <c r="V298" i="55"/>
  <c r="AK298" i="55"/>
  <c r="W298" i="55"/>
  <c r="AL298" i="55"/>
  <c r="O298" i="55"/>
  <c r="X298" i="55"/>
  <c r="AM298" i="55"/>
  <c r="P298" i="55"/>
  <c r="Y298" i="55"/>
  <c r="AN298" i="55"/>
  <c r="Q298" i="55"/>
  <c r="Z298" i="55"/>
  <c r="AO298" i="55"/>
  <c r="R298" i="55"/>
  <c r="AA298" i="55"/>
  <c r="AP298" i="55"/>
  <c r="S298" i="55"/>
  <c r="AB298" i="55"/>
  <c r="AQ298" i="55"/>
  <c r="T298" i="55"/>
  <c r="AC298" i="55"/>
  <c r="AR298" i="55"/>
  <c r="M299" i="55"/>
  <c r="V299" i="55"/>
  <c r="AK299" i="55"/>
  <c r="W299" i="55"/>
  <c r="AL299" i="55"/>
  <c r="O299" i="55"/>
  <c r="X299" i="55"/>
  <c r="AM299" i="55"/>
  <c r="P299" i="55"/>
  <c r="Y299" i="55"/>
  <c r="AN299" i="55"/>
  <c r="Q299" i="55"/>
  <c r="Z299" i="55"/>
  <c r="AO299" i="55"/>
  <c r="R299" i="55"/>
  <c r="AA299" i="55"/>
  <c r="AP299" i="55"/>
  <c r="S299" i="55"/>
  <c r="AB299" i="55"/>
  <c r="AQ299" i="55"/>
  <c r="T299" i="55"/>
  <c r="AC299" i="55"/>
  <c r="AR299" i="55"/>
  <c r="M300" i="55"/>
  <c r="V300" i="55"/>
  <c r="AK300" i="55"/>
  <c r="W300" i="55"/>
  <c r="AL300" i="55"/>
  <c r="O300" i="55"/>
  <c r="X300" i="55"/>
  <c r="AM300" i="55"/>
  <c r="P300" i="55"/>
  <c r="Y300" i="55"/>
  <c r="AN300" i="55"/>
  <c r="Q300" i="55"/>
  <c r="Z300" i="55"/>
  <c r="AO300" i="55"/>
  <c r="R300" i="55"/>
  <c r="AA300" i="55"/>
  <c r="AP300" i="55"/>
  <c r="S300" i="55"/>
  <c r="AB300" i="55"/>
  <c r="AQ300" i="55"/>
  <c r="T300" i="55"/>
  <c r="AC300" i="55"/>
  <c r="AR300" i="55"/>
  <c r="M301" i="55"/>
  <c r="V301" i="55"/>
  <c r="AK301" i="55"/>
  <c r="W301" i="55"/>
  <c r="AL301" i="55"/>
  <c r="O301" i="55"/>
  <c r="X301" i="55"/>
  <c r="AM301" i="55"/>
  <c r="P301" i="55"/>
  <c r="Y301" i="55"/>
  <c r="AN301" i="55"/>
  <c r="Q301" i="55"/>
  <c r="Z301" i="55"/>
  <c r="AO301" i="55"/>
  <c r="R301" i="55"/>
  <c r="AA301" i="55"/>
  <c r="AP301" i="55"/>
  <c r="S301" i="55"/>
  <c r="AB301" i="55"/>
  <c r="AQ301" i="55"/>
  <c r="T301" i="55"/>
  <c r="AC301" i="55"/>
  <c r="AR301" i="55"/>
  <c r="M302" i="55"/>
  <c r="V302" i="55"/>
  <c r="AK302" i="55"/>
  <c r="W302" i="55"/>
  <c r="AL302" i="55"/>
  <c r="O302" i="55"/>
  <c r="X302" i="55"/>
  <c r="AM302" i="55"/>
  <c r="P302" i="55"/>
  <c r="Y302" i="55"/>
  <c r="AN302" i="55"/>
  <c r="Q302" i="55"/>
  <c r="Z302" i="55"/>
  <c r="AO302" i="55"/>
  <c r="R302" i="55"/>
  <c r="AA302" i="55"/>
  <c r="AP302" i="55"/>
  <c r="S302" i="55"/>
  <c r="AB302" i="55"/>
  <c r="AQ302" i="55"/>
  <c r="T302" i="55"/>
  <c r="AC302" i="55"/>
  <c r="AR302" i="55"/>
  <c r="M303" i="55"/>
  <c r="V303" i="55"/>
  <c r="AK303" i="55"/>
  <c r="W303" i="55"/>
  <c r="AL303" i="55"/>
  <c r="O303" i="55"/>
  <c r="X303" i="55"/>
  <c r="AM303" i="55"/>
  <c r="P303" i="55"/>
  <c r="Y303" i="55"/>
  <c r="AN303" i="55"/>
  <c r="Q303" i="55"/>
  <c r="Z303" i="55"/>
  <c r="AO303" i="55"/>
  <c r="R303" i="55"/>
  <c r="AA303" i="55"/>
  <c r="AP303" i="55"/>
  <c r="S303" i="55"/>
  <c r="AB303" i="55"/>
  <c r="AQ303" i="55"/>
  <c r="T303" i="55"/>
  <c r="AC303" i="55"/>
  <c r="AR303" i="55"/>
  <c r="M304" i="55"/>
  <c r="V304" i="55"/>
  <c r="AK304" i="55"/>
  <c r="W304" i="55"/>
  <c r="AL304" i="55"/>
  <c r="O304" i="55"/>
  <c r="X304" i="55"/>
  <c r="AM304" i="55"/>
  <c r="P304" i="55"/>
  <c r="Y304" i="55"/>
  <c r="AN304" i="55"/>
  <c r="Q304" i="55"/>
  <c r="Z304" i="55"/>
  <c r="AO304" i="55"/>
  <c r="R304" i="55"/>
  <c r="AA304" i="55"/>
  <c r="AP304" i="55"/>
  <c r="S304" i="55"/>
  <c r="AB304" i="55"/>
  <c r="AQ304" i="55"/>
  <c r="T304" i="55"/>
  <c r="AC304" i="55"/>
  <c r="AR304" i="55"/>
  <c r="M305" i="55"/>
  <c r="V305" i="55"/>
  <c r="AK305" i="55"/>
  <c r="W305" i="55"/>
  <c r="AL305" i="55"/>
  <c r="O305" i="55"/>
  <c r="X305" i="55"/>
  <c r="AM305" i="55"/>
  <c r="P305" i="55"/>
  <c r="Y305" i="55"/>
  <c r="AN305" i="55"/>
  <c r="Q305" i="55"/>
  <c r="Z305" i="55"/>
  <c r="AO305" i="55"/>
  <c r="R305" i="55"/>
  <c r="AA305" i="55"/>
  <c r="AP305" i="55"/>
  <c r="S305" i="55"/>
  <c r="AB305" i="55"/>
  <c r="AQ305" i="55"/>
  <c r="T305" i="55"/>
  <c r="AC305" i="55"/>
  <c r="AR305" i="55"/>
  <c r="M306" i="55"/>
  <c r="V306" i="55"/>
  <c r="AK306" i="55"/>
  <c r="W306" i="55"/>
  <c r="AL306" i="55"/>
  <c r="O306" i="55"/>
  <c r="X306" i="55"/>
  <c r="AM306" i="55"/>
  <c r="P306" i="55"/>
  <c r="Y306" i="55"/>
  <c r="AN306" i="55"/>
  <c r="Q306" i="55"/>
  <c r="Z306" i="55"/>
  <c r="AO306" i="55"/>
  <c r="R306" i="55"/>
  <c r="AA306" i="55"/>
  <c r="AP306" i="55"/>
  <c r="S306" i="55"/>
  <c r="AB306" i="55"/>
  <c r="AQ306" i="55"/>
  <c r="T306" i="55"/>
  <c r="AC306" i="55"/>
  <c r="AR306" i="55"/>
  <c r="M307" i="55"/>
  <c r="V307" i="55"/>
  <c r="AK307" i="55"/>
  <c r="W307" i="55"/>
  <c r="AL307" i="55"/>
  <c r="O307" i="55"/>
  <c r="X307" i="55"/>
  <c r="AM307" i="55"/>
  <c r="P307" i="55"/>
  <c r="Y307" i="55"/>
  <c r="AN307" i="55"/>
  <c r="Q307" i="55"/>
  <c r="Z307" i="55"/>
  <c r="AO307" i="55"/>
  <c r="R307" i="55"/>
  <c r="AA307" i="55"/>
  <c r="AP307" i="55"/>
  <c r="S307" i="55"/>
  <c r="AB307" i="55"/>
  <c r="AQ307" i="55"/>
  <c r="T307" i="55"/>
  <c r="AC307" i="55"/>
  <c r="AR307" i="55"/>
  <c r="M308" i="55"/>
  <c r="V308" i="55"/>
  <c r="AK308" i="55"/>
  <c r="W308" i="55"/>
  <c r="AL308" i="55"/>
  <c r="O308" i="55"/>
  <c r="X308" i="55"/>
  <c r="AM308" i="55"/>
  <c r="P308" i="55"/>
  <c r="Y308" i="55"/>
  <c r="AN308" i="55"/>
  <c r="Q308" i="55"/>
  <c r="Z308" i="55"/>
  <c r="AO308" i="55"/>
  <c r="R308" i="55"/>
  <c r="AA308" i="55"/>
  <c r="AP308" i="55"/>
  <c r="S308" i="55"/>
  <c r="AB308" i="55"/>
  <c r="AQ308" i="55"/>
  <c r="T308" i="55"/>
  <c r="AC308" i="55"/>
  <c r="AR308" i="55"/>
  <c r="M309" i="55"/>
  <c r="V309" i="55"/>
  <c r="AK309" i="55"/>
  <c r="W309" i="55"/>
  <c r="AL309" i="55"/>
  <c r="O309" i="55"/>
  <c r="X309" i="55"/>
  <c r="AM309" i="55"/>
  <c r="P309" i="55"/>
  <c r="Y309" i="55"/>
  <c r="AN309" i="55"/>
  <c r="Q309" i="55"/>
  <c r="Z309" i="55"/>
  <c r="AO309" i="55"/>
  <c r="R309" i="55"/>
  <c r="AA309" i="55"/>
  <c r="AP309" i="55"/>
  <c r="S309" i="55"/>
  <c r="AB309" i="55"/>
  <c r="AQ309" i="55"/>
  <c r="T309" i="55"/>
  <c r="AC309" i="55"/>
  <c r="AR309" i="55"/>
  <c r="M310" i="55"/>
  <c r="V310" i="55"/>
  <c r="AK310" i="55"/>
  <c r="W310" i="55"/>
  <c r="AL310" i="55"/>
  <c r="O310" i="55"/>
  <c r="X310" i="55"/>
  <c r="AM310" i="55"/>
  <c r="P310" i="55"/>
  <c r="Y310" i="55"/>
  <c r="AN310" i="55"/>
  <c r="Q310" i="55"/>
  <c r="Z310" i="55"/>
  <c r="AO310" i="55"/>
  <c r="R310" i="55"/>
  <c r="AA310" i="55"/>
  <c r="AP310" i="55"/>
  <c r="S310" i="55"/>
  <c r="AB310" i="55"/>
  <c r="AQ310" i="55"/>
  <c r="T310" i="55"/>
  <c r="AC310" i="55"/>
  <c r="AR310" i="55"/>
  <c r="M311" i="55"/>
  <c r="V311" i="55"/>
  <c r="AK311" i="55"/>
  <c r="W311" i="55"/>
  <c r="AL311" i="55"/>
  <c r="O311" i="55"/>
  <c r="X311" i="55"/>
  <c r="AM311" i="55"/>
  <c r="P311" i="55"/>
  <c r="Y311" i="55"/>
  <c r="AN311" i="55"/>
  <c r="Q311" i="55"/>
  <c r="Z311" i="55"/>
  <c r="AO311" i="55"/>
  <c r="R311" i="55"/>
  <c r="AA311" i="55"/>
  <c r="AP311" i="55"/>
  <c r="S311" i="55"/>
  <c r="AB311" i="55"/>
  <c r="AQ311" i="55"/>
  <c r="T311" i="55"/>
  <c r="AC311" i="55"/>
  <c r="AR311" i="55"/>
  <c r="M312" i="55"/>
  <c r="V312" i="55"/>
  <c r="AK312" i="55"/>
  <c r="W312" i="55"/>
  <c r="AL312" i="55"/>
  <c r="O312" i="55"/>
  <c r="X312" i="55"/>
  <c r="AM312" i="55"/>
  <c r="P312" i="55"/>
  <c r="Y312" i="55"/>
  <c r="AN312" i="55"/>
  <c r="Q312" i="55"/>
  <c r="Z312" i="55"/>
  <c r="AO312" i="55"/>
  <c r="R312" i="55"/>
  <c r="AA312" i="55"/>
  <c r="AP312" i="55"/>
  <c r="S312" i="55"/>
  <c r="AB312" i="55"/>
  <c r="AQ312" i="55"/>
  <c r="T312" i="55"/>
  <c r="AC312" i="55"/>
  <c r="AR312" i="55"/>
  <c r="M313" i="55"/>
  <c r="V313" i="55"/>
  <c r="AK313" i="55"/>
  <c r="W313" i="55"/>
  <c r="AL313" i="55"/>
  <c r="O313" i="55"/>
  <c r="X313" i="55"/>
  <c r="AM313" i="55"/>
  <c r="P313" i="55"/>
  <c r="Y313" i="55"/>
  <c r="AN313" i="55"/>
  <c r="Q313" i="55"/>
  <c r="Z313" i="55"/>
  <c r="AO313" i="55"/>
  <c r="R313" i="55"/>
  <c r="AA313" i="55"/>
  <c r="AP313" i="55"/>
  <c r="S313" i="55"/>
  <c r="AB313" i="55"/>
  <c r="AQ313" i="55"/>
  <c r="T313" i="55"/>
  <c r="AC313" i="55"/>
  <c r="AR313" i="55"/>
  <c r="M314" i="55"/>
  <c r="V314" i="55"/>
  <c r="AK314" i="55"/>
  <c r="W314" i="55"/>
  <c r="AL314" i="55"/>
  <c r="O314" i="55"/>
  <c r="X314" i="55"/>
  <c r="AM314" i="55"/>
  <c r="P314" i="55"/>
  <c r="Y314" i="55"/>
  <c r="AN314" i="55"/>
  <c r="Q314" i="55"/>
  <c r="Z314" i="55"/>
  <c r="AO314" i="55"/>
  <c r="R314" i="55"/>
  <c r="AA314" i="55"/>
  <c r="AP314" i="55"/>
  <c r="S314" i="55"/>
  <c r="AB314" i="55"/>
  <c r="AQ314" i="55"/>
  <c r="T314" i="55"/>
  <c r="AC314" i="55"/>
  <c r="AR314" i="55"/>
  <c r="M315" i="55"/>
  <c r="V315" i="55"/>
  <c r="AK315" i="55"/>
  <c r="W315" i="55"/>
  <c r="AL315" i="55"/>
  <c r="O315" i="55"/>
  <c r="X315" i="55"/>
  <c r="AM315" i="55"/>
  <c r="P315" i="55"/>
  <c r="Y315" i="55"/>
  <c r="AN315" i="55"/>
  <c r="Q315" i="55"/>
  <c r="Z315" i="55"/>
  <c r="AO315" i="55"/>
  <c r="R315" i="55"/>
  <c r="AA315" i="55"/>
  <c r="AP315" i="55"/>
  <c r="S315" i="55"/>
  <c r="AB315" i="55"/>
  <c r="AQ315" i="55"/>
  <c r="T315" i="55"/>
  <c r="AC315" i="55"/>
  <c r="AR315" i="55"/>
  <c r="M316" i="55"/>
  <c r="V316" i="55"/>
  <c r="AK316" i="55"/>
  <c r="W316" i="55"/>
  <c r="AL316" i="55"/>
  <c r="O316" i="55"/>
  <c r="X316" i="55"/>
  <c r="AM316" i="55"/>
  <c r="P316" i="55"/>
  <c r="Y316" i="55"/>
  <c r="AN316" i="55"/>
  <c r="Q316" i="55"/>
  <c r="Z316" i="55"/>
  <c r="AO316" i="55"/>
  <c r="R316" i="55"/>
  <c r="AA316" i="55"/>
  <c r="AP316" i="55"/>
  <c r="S316" i="55"/>
  <c r="AB316" i="55"/>
  <c r="AQ316" i="55"/>
  <c r="T316" i="55"/>
  <c r="AC316" i="55"/>
  <c r="AR316" i="55"/>
  <c r="M317" i="55"/>
  <c r="V317" i="55"/>
  <c r="AK317" i="55"/>
  <c r="W317" i="55"/>
  <c r="AL317" i="55"/>
  <c r="O317" i="55"/>
  <c r="X317" i="55"/>
  <c r="AM317" i="55"/>
  <c r="P317" i="55"/>
  <c r="Y317" i="55"/>
  <c r="AN317" i="55"/>
  <c r="Q317" i="55"/>
  <c r="Z317" i="55"/>
  <c r="AO317" i="55"/>
  <c r="R317" i="55"/>
  <c r="AA317" i="55"/>
  <c r="AP317" i="55"/>
  <c r="S317" i="55"/>
  <c r="AB317" i="55"/>
  <c r="AQ317" i="55"/>
  <c r="T317" i="55"/>
  <c r="AC317" i="55"/>
  <c r="AR317" i="55"/>
  <c r="M318" i="55"/>
  <c r="V318" i="55"/>
  <c r="AK318" i="55"/>
  <c r="W318" i="55"/>
  <c r="AL318" i="55"/>
  <c r="O318" i="55"/>
  <c r="X318" i="55"/>
  <c r="AM318" i="55"/>
  <c r="P318" i="55"/>
  <c r="Y318" i="55"/>
  <c r="AN318" i="55"/>
  <c r="Q318" i="55"/>
  <c r="Z318" i="55"/>
  <c r="AO318" i="55"/>
  <c r="R318" i="55"/>
  <c r="AA318" i="55"/>
  <c r="AP318" i="55"/>
  <c r="S318" i="55"/>
  <c r="AB318" i="55"/>
  <c r="AQ318" i="55"/>
  <c r="T318" i="55"/>
  <c r="AC318" i="55"/>
  <c r="AR318" i="55"/>
  <c r="B26" i="55"/>
  <c r="C159" i="55"/>
  <c r="C160" i="55"/>
  <c r="C161" i="55"/>
  <c r="C162" i="55"/>
  <c r="C163" i="55"/>
  <c r="C164" i="55"/>
  <c r="C165" i="55"/>
  <c r="C166" i="55"/>
  <c r="C167" i="55"/>
  <c r="C168" i="55"/>
  <c r="C169" i="55"/>
  <c r="C170" i="55"/>
  <c r="C171" i="55"/>
  <c r="C172" i="55"/>
  <c r="C173" i="55"/>
  <c r="C174" i="55"/>
  <c r="C175" i="55"/>
  <c r="C176" i="55"/>
  <c r="C177" i="55"/>
  <c r="C178" i="55"/>
  <c r="B179" i="55"/>
  <c r="C179" i="55"/>
  <c r="B180" i="55"/>
  <c r="C180" i="55"/>
  <c r="B181" i="55"/>
  <c r="C181" i="55"/>
  <c r="B182" i="55"/>
  <c r="C182" i="55"/>
  <c r="B183" i="55"/>
  <c r="C183" i="55"/>
  <c r="B184" i="55"/>
  <c r="C184" i="55"/>
  <c r="B185" i="55"/>
  <c r="C185" i="55"/>
  <c r="B186" i="55"/>
  <c r="C186" i="55"/>
  <c r="B187" i="55"/>
  <c r="C187" i="55"/>
  <c r="B188" i="55"/>
  <c r="C188" i="55"/>
  <c r="B189" i="55"/>
  <c r="C189" i="55"/>
  <c r="B190" i="55"/>
  <c r="C190" i="55"/>
  <c r="B191" i="55"/>
  <c r="C191" i="55"/>
  <c r="B192" i="55"/>
  <c r="C192" i="55"/>
  <c r="B193" i="55"/>
  <c r="C193" i="55"/>
  <c r="B194" i="55"/>
  <c r="C194" i="55"/>
  <c r="B195" i="55"/>
  <c r="C195" i="55"/>
  <c r="B196" i="55"/>
  <c r="C196" i="55"/>
  <c r="B197" i="55"/>
  <c r="C197" i="55"/>
  <c r="B198" i="55"/>
  <c r="C198" i="55"/>
  <c r="B199" i="55"/>
  <c r="C199" i="55"/>
  <c r="B200" i="55"/>
  <c r="C200" i="55"/>
  <c r="B201" i="55"/>
  <c r="C201" i="55"/>
  <c r="B202" i="55"/>
  <c r="C202" i="55"/>
  <c r="B203" i="55"/>
  <c r="C203" i="55"/>
  <c r="B204" i="55"/>
  <c r="C204" i="55"/>
  <c r="B205" i="55"/>
  <c r="C205" i="55"/>
  <c r="B206" i="55"/>
  <c r="C206" i="55"/>
  <c r="B207" i="55"/>
  <c r="C207" i="55"/>
  <c r="B208" i="55"/>
  <c r="C208" i="55"/>
  <c r="B209" i="55"/>
  <c r="C209" i="55"/>
  <c r="B210" i="55"/>
  <c r="C210" i="55"/>
  <c r="B211" i="55"/>
  <c r="C211" i="55"/>
  <c r="B212" i="55"/>
  <c r="C212" i="55"/>
  <c r="B213" i="55"/>
  <c r="C213" i="55"/>
  <c r="B214" i="55"/>
  <c r="C214" i="55"/>
  <c r="B215" i="55"/>
  <c r="C215" i="55"/>
  <c r="B216" i="55"/>
  <c r="C216" i="55"/>
  <c r="B217" i="55"/>
  <c r="C217" i="55"/>
  <c r="B218" i="55"/>
  <c r="C218" i="55"/>
  <c r="B219" i="55"/>
  <c r="C219" i="55"/>
  <c r="B220" i="55"/>
  <c r="C220" i="55"/>
  <c r="B221" i="55"/>
  <c r="C221" i="55"/>
  <c r="B222" i="55"/>
  <c r="C222" i="55"/>
  <c r="B223" i="55"/>
  <c r="C223" i="55"/>
  <c r="B224" i="55"/>
  <c r="C224" i="55"/>
  <c r="B225" i="55"/>
  <c r="C225" i="55"/>
  <c r="B226" i="55"/>
  <c r="C226" i="55"/>
  <c r="B227" i="55"/>
  <c r="C227" i="55"/>
  <c r="B228" i="55"/>
  <c r="C228" i="55"/>
  <c r="B229" i="55"/>
  <c r="C229" i="55"/>
  <c r="B230" i="55"/>
  <c r="C230" i="55"/>
  <c r="B231" i="55"/>
  <c r="C231" i="55"/>
  <c r="B232" i="55"/>
  <c r="C232" i="55"/>
  <c r="B233" i="55"/>
  <c r="C233" i="55"/>
  <c r="B234" i="55"/>
  <c r="C234" i="55"/>
  <c r="B235" i="55"/>
  <c r="C235" i="55"/>
  <c r="B236" i="55"/>
  <c r="C236" i="55"/>
  <c r="B237" i="55"/>
  <c r="C237" i="55"/>
  <c r="B238" i="55"/>
  <c r="C238" i="55"/>
  <c r="B239" i="55"/>
  <c r="C239" i="55"/>
  <c r="B240" i="55"/>
  <c r="C240" i="55"/>
  <c r="B241" i="55"/>
  <c r="C241" i="55"/>
  <c r="B242" i="55"/>
  <c r="C242" i="55"/>
  <c r="B243" i="55"/>
  <c r="C243" i="55"/>
  <c r="B244" i="55"/>
  <c r="C244" i="55"/>
  <c r="B245" i="55"/>
  <c r="C245" i="55"/>
  <c r="B246" i="55"/>
  <c r="C246" i="55"/>
  <c r="B247" i="55"/>
  <c r="C247" i="55"/>
  <c r="B248" i="55"/>
  <c r="C248" i="55"/>
  <c r="B249" i="55"/>
  <c r="C249" i="55"/>
  <c r="B250" i="55"/>
  <c r="C250" i="55"/>
  <c r="B251" i="55"/>
  <c r="C251" i="55"/>
  <c r="B252" i="55"/>
  <c r="C252" i="55"/>
  <c r="B253" i="55"/>
  <c r="C253" i="55"/>
  <c r="B254" i="55"/>
  <c r="C254" i="55"/>
  <c r="B255" i="55"/>
  <c r="C255" i="55"/>
  <c r="B256" i="55"/>
  <c r="C256" i="55"/>
  <c r="B257" i="55"/>
  <c r="C257" i="55"/>
  <c r="B258" i="55"/>
  <c r="C258" i="55"/>
  <c r="B259" i="55"/>
  <c r="C259" i="55"/>
  <c r="B260" i="55"/>
  <c r="C260" i="55"/>
  <c r="B261" i="55"/>
  <c r="C261" i="55"/>
  <c r="B262" i="55"/>
  <c r="C262" i="55"/>
  <c r="B263" i="55"/>
  <c r="C263" i="55"/>
  <c r="B264" i="55"/>
  <c r="C264" i="55"/>
  <c r="B265" i="55"/>
  <c r="C265" i="55"/>
  <c r="B266" i="55"/>
  <c r="C266" i="55"/>
  <c r="B267" i="55"/>
  <c r="C267" i="55"/>
  <c r="B268" i="55"/>
  <c r="C268" i="55"/>
  <c r="B269" i="55"/>
  <c r="C269" i="55"/>
  <c r="B270" i="55"/>
  <c r="C270" i="55"/>
  <c r="B271" i="55"/>
  <c r="C271" i="55"/>
  <c r="B272" i="55"/>
  <c r="C272" i="55"/>
  <c r="B273" i="55"/>
  <c r="C273" i="55"/>
  <c r="B274" i="55"/>
  <c r="C274" i="55"/>
  <c r="B275" i="55"/>
  <c r="C275" i="55"/>
  <c r="B276" i="55"/>
  <c r="C276" i="55"/>
  <c r="B277" i="55"/>
  <c r="C277" i="55"/>
  <c r="B278" i="55"/>
  <c r="C278" i="55"/>
  <c r="B279" i="55"/>
  <c r="C279" i="55"/>
  <c r="B280" i="55"/>
  <c r="C280" i="55"/>
  <c r="B281" i="55"/>
  <c r="C281" i="55"/>
  <c r="B282" i="55"/>
  <c r="C282" i="55"/>
  <c r="B283" i="55"/>
  <c r="C283" i="55"/>
  <c r="B284" i="55"/>
  <c r="C284" i="55"/>
  <c r="B285" i="55"/>
  <c r="C285" i="55"/>
  <c r="B286" i="55"/>
  <c r="C286" i="55"/>
  <c r="B287" i="55"/>
  <c r="C287" i="55"/>
  <c r="B288" i="55"/>
  <c r="C288" i="55"/>
  <c r="B289" i="55"/>
  <c r="C289" i="55"/>
  <c r="B290" i="55"/>
  <c r="C290" i="55"/>
  <c r="B291" i="55"/>
  <c r="C291" i="55"/>
  <c r="B292" i="55"/>
  <c r="C292" i="55"/>
  <c r="B293" i="55"/>
  <c r="C293" i="55"/>
  <c r="B294" i="55"/>
  <c r="C294" i="55"/>
  <c r="B295" i="55"/>
  <c r="C295" i="55"/>
  <c r="B296" i="55"/>
  <c r="C296" i="55"/>
  <c r="B297" i="55"/>
  <c r="C297" i="55"/>
  <c r="B298" i="55"/>
  <c r="C298" i="55"/>
  <c r="B299" i="55"/>
  <c r="C299" i="55"/>
  <c r="B300" i="55"/>
  <c r="C300" i="55"/>
  <c r="B301" i="55"/>
  <c r="C301" i="55"/>
  <c r="B302" i="55"/>
  <c r="C302" i="55"/>
  <c r="B303" i="55"/>
  <c r="C303" i="55"/>
  <c r="B304" i="55"/>
  <c r="C304" i="55"/>
  <c r="B305" i="55"/>
  <c r="C305" i="55"/>
  <c r="B306" i="55"/>
  <c r="C306" i="55"/>
  <c r="B307" i="55"/>
  <c r="C307" i="55"/>
  <c r="B308" i="55"/>
  <c r="C308" i="55"/>
  <c r="B309" i="55"/>
  <c r="C309" i="55"/>
  <c r="B310" i="55"/>
  <c r="C310" i="55"/>
  <c r="B311" i="55"/>
  <c r="C311" i="55"/>
  <c r="B312" i="55"/>
  <c r="C312" i="55"/>
  <c r="B313" i="55"/>
  <c r="C313" i="55"/>
  <c r="B314" i="55"/>
  <c r="C314" i="55"/>
  <c r="B315" i="55"/>
  <c r="C315" i="55"/>
  <c r="B316" i="55"/>
  <c r="C316" i="55"/>
  <c r="B317" i="55"/>
  <c r="C317" i="55"/>
  <c r="B318" i="55"/>
  <c r="C318" i="55"/>
  <c r="B21" i="55"/>
  <c r="D26" i="55"/>
  <c r="B25" i="55"/>
  <c r="B20" i="55"/>
  <c r="D25" i="55"/>
  <c r="E26" i="55"/>
  <c r="B24" i="55"/>
  <c r="C24" i="55"/>
  <c r="B19" i="55"/>
  <c r="C19" i="55"/>
  <c r="D24" i="55"/>
  <c r="E24" i="55"/>
  <c r="B30" i="55"/>
  <c r="C30" i="55"/>
  <c r="D30" i="55"/>
  <c r="E30" i="55"/>
  <c r="F30" i="55"/>
  <c r="G30" i="55"/>
  <c r="G35" i="55"/>
  <c r="F35" i="55"/>
  <c r="E35" i="55"/>
  <c r="D35" i="55"/>
  <c r="C35" i="55"/>
  <c r="B35" i="55"/>
  <c r="C41" i="55"/>
  <c r="C42" i="55"/>
  <c r="AS318" i="55"/>
  <c r="AS317" i="55"/>
  <c r="AS316" i="55"/>
  <c r="AS315" i="55"/>
  <c r="AS314" i="55"/>
  <c r="AS313" i="55"/>
  <c r="AS312" i="55"/>
  <c r="AS311" i="55"/>
  <c r="AS310" i="55"/>
  <c r="AS309" i="55"/>
  <c r="AS308" i="55"/>
  <c r="AS307" i="55"/>
  <c r="AS306" i="55"/>
  <c r="AS305" i="55"/>
  <c r="AS304" i="55"/>
  <c r="AS303" i="55"/>
  <c r="AS302" i="55"/>
  <c r="AS301" i="55"/>
  <c r="AS300" i="55"/>
  <c r="AS299" i="55"/>
  <c r="AS298" i="55"/>
  <c r="AS297" i="55"/>
  <c r="AS296" i="55"/>
  <c r="AS295" i="55"/>
  <c r="AS294" i="55"/>
  <c r="AS293" i="55"/>
  <c r="AS292" i="55"/>
  <c r="AS291" i="55"/>
  <c r="AS290" i="55"/>
  <c r="AS289" i="55"/>
  <c r="AS288" i="55"/>
  <c r="AS287" i="55"/>
  <c r="AS286" i="55"/>
  <c r="AS285" i="55"/>
  <c r="AS284" i="55"/>
  <c r="AS283" i="55"/>
  <c r="AS282" i="55"/>
  <c r="AS281" i="55"/>
  <c r="AS280" i="55"/>
  <c r="AS279" i="55"/>
  <c r="AS278" i="55"/>
  <c r="AS277" i="55"/>
  <c r="AS276" i="55"/>
  <c r="AS275" i="55"/>
  <c r="AS274" i="55"/>
  <c r="AS273" i="55"/>
  <c r="AS272" i="55"/>
  <c r="AS271" i="55"/>
  <c r="AS270" i="55"/>
  <c r="AS269" i="55"/>
  <c r="AS268" i="55"/>
  <c r="AS267" i="55"/>
  <c r="AS266" i="55"/>
  <c r="AS265" i="55"/>
  <c r="AS264" i="55"/>
  <c r="AS263" i="55"/>
  <c r="AS262" i="55"/>
  <c r="AS261" i="55"/>
  <c r="AS260" i="55"/>
  <c r="AS259" i="55"/>
  <c r="AS258" i="55"/>
  <c r="AS257" i="55"/>
  <c r="AS256" i="55"/>
  <c r="AS255" i="55"/>
  <c r="AS254" i="55"/>
  <c r="AS253" i="55"/>
  <c r="AS252" i="55"/>
  <c r="AS251" i="55"/>
  <c r="AS250" i="55"/>
  <c r="AS249" i="55"/>
  <c r="AS248" i="55"/>
  <c r="AS247" i="55"/>
  <c r="AS246" i="55"/>
  <c r="AS245" i="55"/>
  <c r="AS244" i="55"/>
  <c r="AS243" i="55"/>
  <c r="AS242" i="55"/>
  <c r="AS241" i="55"/>
  <c r="AS240" i="55"/>
  <c r="AS239" i="55"/>
  <c r="AS238" i="55"/>
  <c r="AS237" i="55"/>
  <c r="AS236" i="55"/>
  <c r="AS235" i="55"/>
  <c r="AS234" i="55"/>
  <c r="AS233" i="55"/>
  <c r="AS232" i="55"/>
  <c r="AS231" i="55"/>
  <c r="AS230" i="55"/>
  <c r="AS229" i="55"/>
  <c r="AS228" i="55"/>
  <c r="AS227" i="55"/>
  <c r="AS226" i="55"/>
  <c r="AS225" i="55"/>
  <c r="AS224" i="55"/>
  <c r="AS223" i="55"/>
  <c r="AS222" i="55"/>
  <c r="AS221" i="55"/>
  <c r="AS220" i="55"/>
  <c r="AS219" i="55"/>
  <c r="AS218" i="55"/>
  <c r="AS217" i="55"/>
  <c r="AS216" i="55"/>
  <c r="AS215" i="55"/>
  <c r="AS214" i="55"/>
  <c r="AS213" i="55"/>
  <c r="AS212" i="55"/>
  <c r="AS211" i="55"/>
  <c r="AS210" i="55"/>
  <c r="AS209" i="55"/>
  <c r="AS208" i="55"/>
  <c r="AS207" i="55"/>
  <c r="AS206" i="55"/>
  <c r="AS205" i="55"/>
  <c r="AS204" i="55"/>
  <c r="AS203" i="55"/>
  <c r="AS202" i="55"/>
  <c r="AS201" i="55"/>
  <c r="AS200" i="55"/>
  <c r="AS199" i="55"/>
  <c r="AS198" i="55"/>
  <c r="AS197" i="55"/>
  <c r="AS196" i="55"/>
  <c r="AS195" i="55"/>
  <c r="AS194" i="55"/>
  <c r="AS193" i="55"/>
  <c r="AS192" i="55"/>
  <c r="AS191" i="55"/>
  <c r="AS190" i="55"/>
  <c r="AS189" i="55"/>
  <c r="AS188" i="55"/>
  <c r="AS187" i="55"/>
  <c r="AS186" i="55"/>
  <c r="AS185" i="55"/>
  <c r="AS184" i="55"/>
  <c r="AS183" i="55"/>
  <c r="AS182" i="55"/>
  <c r="AS181" i="55"/>
  <c r="AS180" i="55"/>
  <c r="AS179" i="55"/>
  <c r="AS178" i="55"/>
  <c r="AS177" i="55"/>
  <c r="AS176" i="55"/>
  <c r="AS175" i="55"/>
  <c r="AS174" i="55"/>
  <c r="AS173" i="55"/>
  <c r="AS172" i="55"/>
  <c r="AS171" i="55"/>
  <c r="AS170" i="55"/>
  <c r="AS169" i="55"/>
  <c r="AS168" i="55"/>
  <c r="AS167" i="55"/>
  <c r="AS166" i="55"/>
  <c r="AS165" i="55"/>
  <c r="AS164" i="55"/>
  <c r="AS163" i="55"/>
  <c r="AS162" i="55"/>
  <c r="AS161" i="55"/>
  <c r="AS160" i="55"/>
  <c r="AS159" i="55"/>
  <c r="AS158" i="55"/>
  <c r="AS157" i="55"/>
  <c r="AS156" i="55"/>
  <c r="AS155" i="55"/>
  <c r="AS154" i="55"/>
  <c r="AS153" i="55"/>
  <c r="AS152" i="55"/>
  <c r="AS151" i="55"/>
  <c r="AS150" i="55"/>
  <c r="AS149" i="55"/>
  <c r="AS148" i="55"/>
  <c r="AS147" i="55"/>
  <c r="AS146" i="55"/>
  <c r="AS145" i="55"/>
  <c r="AS144" i="55"/>
  <c r="AS143" i="55"/>
  <c r="AS142" i="55"/>
  <c r="AS141" i="55"/>
  <c r="AS140" i="55"/>
  <c r="AS139" i="55"/>
  <c r="AS138" i="55"/>
  <c r="AS137" i="55"/>
  <c r="AS136" i="55"/>
  <c r="AS135" i="55"/>
  <c r="AS134" i="55"/>
  <c r="AS133" i="55"/>
  <c r="AS132" i="55"/>
  <c r="AS131" i="55"/>
  <c r="AS130" i="55"/>
  <c r="AS129" i="55"/>
  <c r="AS128" i="55"/>
  <c r="AS127" i="55"/>
  <c r="AS126" i="55"/>
  <c r="AS125" i="55"/>
  <c r="AS124" i="55"/>
  <c r="AS123" i="55"/>
  <c r="AS122" i="55"/>
  <c r="AS121" i="55"/>
  <c r="AS120" i="55"/>
  <c r="AS119" i="55"/>
  <c r="AS118" i="55"/>
  <c r="AG237" i="55"/>
  <c r="A159" i="55"/>
  <c r="A160" i="55"/>
  <c r="A161" i="55"/>
  <c r="A162" i="55"/>
  <c r="A163" i="55"/>
  <c r="A164" i="55"/>
  <c r="A165" i="55"/>
  <c r="A166" i="55"/>
  <c r="A167" i="55"/>
  <c r="A168" i="55"/>
  <c r="A169" i="55"/>
  <c r="A170" i="55"/>
  <c r="A171" i="55"/>
  <c r="A172" i="55"/>
  <c r="A173" i="55"/>
  <c r="A174" i="55"/>
  <c r="A175" i="55"/>
  <c r="A176" i="55"/>
  <c r="A177" i="55"/>
  <c r="A178" i="55"/>
  <c r="A179" i="55"/>
  <c r="A180" i="55"/>
  <c r="A181" i="55"/>
  <c r="A182" i="55"/>
  <c r="A183" i="55"/>
  <c r="A184" i="55"/>
  <c r="A185" i="55"/>
  <c r="A186" i="55"/>
  <c r="A187" i="55"/>
  <c r="A188" i="55"/>
  <c r="A189" i="55"/>
  <c r="A190" i="55"/>
  <c r="A191" i="55"/>
  <c r="A192" i="55"/>
  <c r="A193" i="55"/>
  <c r="A194" i="55"/>
  <c r="A195" i="55"/>
  <c r="A196" i="55"/>
  <c r="A197" i="55"/>
  <c r="A198" i="55"/>
  <c r="A199" i="55"/>
  <c r="A200" i="55"/>
  <c r="A201" i="55"/>
  <c r="A202" i="55"/>
  <c r="A203" i="55"/>
  <c r="A204" i="55"/>
  <c r="A205" i="55"/>
  <c r="A206" i="55"/>
  <c r="A207" i="55"/>
  <c r="A208" i="55"/>
  <c r="A209" i="55"/>
  <c r="A210" i="55"/>
  <c r="A211" i="55"/>
  <c r="A212" i="55"/>
  <c r="A213" i="55"/>
  <c r="A214" i="55"/>
  <c r="A215" i="55"/>
  <c r="A216" i="55"/>
  <c r="A217" i="55"/>
  <c r="A218" i="55"/>
  <c r="A219" i="55"/>
  <c r="A220" i="55"/>
  <c r="A221" i="55"/>
  <c r="A222" i="55"/>
  <c r="A223" i="55"/>
  <c r="A224" i="55"/>
  <c r="A225" i="55"/>
  <c r="A226" i="55"/>
  <c r="A227" i="55"/>
  <c r="A228" i="55"/>
  <c r="A229" i="55"/>
  <c r="A230" i="55"/>
  <c r="A231" i="55"/>
  <c r="A232" i="55"/>
  <c r="A233" i="55"/>
  <c r="A234" i="55"/>
  <c r="A235" i="55"/>
  <c r="A236" i="55"/>
  <c r="A237" i="55"/>
  <c r="A238" i="55"/>
  <c r="A239" i="55"/>
  <c r="A240" i="55"/>
  <c r="A241" i="55"/>
  <c r="A242" i="55"/>
  <c r="A243" i="55"/>
  <c r="A244" i="55"/>
  <c r="A245" i="55"/>
  <c r="A246" i="55"/>
  <c r="A247" i="55"/>
  <c r="A248" i="55"/>
  <c r="A249" i="55"/>
  <c r="A250" i="55"/>
  <c r="A251" i="55"/>
  <c r="A252" i="55"/>
  <c r="A253" i="55"/>
  <c r="A254" i="55"/>
  <c r="A255" i="55"/>
  <c r="A256" i="55"/>
  <c r="A257" i="55"/>
  <c r="A258" i="55"/>
  <c r="A259" i="55"/>
  <c r="A260" i="55"/>
  <c r="A261" i="55"/>
  <c r="A262" i="55"/>
  <c r="A263" i="55"/>
  <c r="A264" i="55"/>
  <c r="A265" i="55"/>
  <c r="A266" i="55"/>
  <c r="A267" i="55"/>
  <c r="A268" i="55"/>
  <c r="A269" i="55"/>
  <c r="A270" i="55"/>
  <c r="A271" i="55"/>
  <c r="A272" i="55"/>
  <c r="A273" i="55"/>
  <c r="A274" i="55"/>
  <c r="A275" i="55"/>
  <c r="A276" i="55"/>
  <c r="A277" i="55"/>
  <c r="A278" i="55"/>
  <c r="A279" i="55"/>
  <c r="A280" i="55"/>
  <c r="A281" i="55"/>
  <c r="A282" i="55"/>
  <c r="A283" i="55"/>
  <c r="A284" i="55"/>
  <c r="A285" i="55"/>
  <c r="A286" i="55"/>
  <c r="A287" i="55"/>
  <c r="A288" i="55"/>
  <c r="A289" i="55"/>
  <c r="A290" i="55"/>
  <c r="A291" i="55"/>
  <c r="A292" i="55"/>
  <c r="A293" i="55"/>
  <c r="A294" i="55"/>
  <c r="A295" i="55"/>
  <c r="A296" i="55"/>
  <c r="A297" i="55"/>
  <c r="A298" i="55"/>
  <c r="A299" i="55"/>
  <c r="A300" i="55"/>
  <c r="A301" i="55"/>
  <c r="A302" i="55"/>
  <c r="A303" i="55"/>
  <c r="A304" i="55"/>
  <c r="A305" i="55"/>
  <c r="A306" i="55"/>
  <c r="A307" i="55"/>
  <c r="A308" i="55"/>
  <c r="A309" i="55"/>
  <c r="A310" i="55"/>
  <c r="A311" i="55"/>
  <c r="A312" i="55"/>
  <c r="A313" i="55"/>
  <c r="A314" i="55"/>
  <c r="A315" i="55"/>
  <c r="A316" i="55"/>
  <c r="A317" i="55"/>
  <c r="A318" i="55"/>
  <c r="AE318" i="55"/>
  <c r="AG318" i="55"/>
  <c r="AE317" i="55"/>
  <c r="AG317" i="55"/>
  <c r="AE316" i="55"/>
  <c r="AG316" i="55"/>
  <c r="AE315" i="55"/>
  <c r="AG315" i="55"/>
  <c r="AE314" i="55"/>
  <c r="AG314" i="55"/>
  <c r="AE313" i="55"/>
  <c r="AG313" i="55"/>
  <c r="AE312" i="55"/>
  <c r="AG312" i="55"/>
  <c r="AE311" i="55"/>
  <c r="AG311" i="55"/>
  <c r="AE310" i="55"/>
  <c r="AG310" i="55"/>
  <c r="AE309" i="55"/>
  <c r="AG309" i="55"/>
  <c r="AE308" i="55"/>
  <c r="AG308" i="55"/>
  <c r="AE307" i="55"/>
  <c r="AG307" i="55"/>
  <c r="AE306" i="55"/>
  <c r="AG306" i="55"/>
  <c r="AE305" i="55"/>
  <c r="AG305" i="55"/>
  <c r="AE304" i="55"/>
  <c r="AG304" i="55"/>
  <c r="AE303" i="55"/>
  <c r="AG303" i="55"/>
  <c r="AE302" i="55"/>
  <c r="AG302" i="55"/>
  <c r="AE301" i="55"/>
  <c r="AG301" i="55"/>
  <c r="AE300" i="55"/>
  <c r="AG300" i="55"/>
  <c r="AE299" i="55"/>
  <c r="AG299" i="55"/>
  <c r="AE298" i="55"/>
  <c r="AG298" i="55"/>
  <c r="AE297" i="55"/>
  <c r="AG297" i="55"/>
  <c r="AE296" i="55"/>
  <c r="AG296" i="55"/>
  <c r="AE295" i="55"/>
  <c r="AG295" i="55"/>
  <c r="AE294" i="55"/>
  <c r="AG294" i="55"/>
  <c r="AE293" i="55"/>
  <c r="AG293" i="55"/>
  <c r="AE292" i="55"/>
  <c r="AG292" i="55"/>
  <c r="AE291" i="55"/>
  <c r="AG291" i="55"/>
  <c r="AE290" i="55"/>
  <c r="AG290" i="55"/>
  <c r="AE289" i="55"/>
  <c r="AG289" i="55"/>
  <c r="AE288" i="55"/>
  <c r="AG288" i="55"/>
  <c r="AE287" i="55"/>
  <c r="AG287" i="55"/>
  <c r="AE286" i="55"/>
  <c r="AG286" i="55"/>
  <c r="AE285" i="55"/>
  <c r="AG285" i="55"/>
  <c r="AE284" i="55"/>
  <c r="AG284" i="55"/>
  <c r="AE283" i="55"/>
  <c r="AG283" i="55"/>
  <c r="AE282" i="55"/>
  <c r="AG282" i="55"/>
  <c r="AE281" i="55"/>
  <c r="AG281" i="55"/>
  <c r="AE280" i="55"/>
  <c r="AG280" i="55"/>
  <c r="AE279" i="55"/>
  <c r="AG279" i="55"/>
  <c r="AE278" i="55"/>
  <c r="AG278" i="55"/>
  <c r="AE277" i="55"/>
  <c r="AG277" i="55"/>
  <c r="AE276" i="55"/>
  <c r="AG276" i="55"/>
  <c r="AE275" i="55"/>
  <c r="AG275" i="55"/>
  <c r="AE274" i="55"/>
  <c r="AG274" i="55"/>
  <c r="AE273" i="55"/>
  <c r="AG273" i="55"/>
  <c r="AE272" i="55"/>
  <c r="AG272" i="55"/>
  <c r="AE271" i="55"/>
  <c r="AG271" i="55"/>
  <c r="AE270" i="55"/>
  <c r="AG270" i="55"/>
  <c r="AE269" i="55"/>
  <c r="AG269" i="55"/>
  <c r="AE268" i="55"/>
  <c r="AG268" i="55"/>
  <c r="AE267" i="55"/>
  <c r="AG267" i="55"/>
  <c r="AE266" i="55"/>
  <c r="AG266" i="55"/>
  <c r="AE265" i="55"/>
  <c r="AG265" i="55"/>
  <c r="AE264" i="55"/>
  <c r="AG264" i="55"/>
  <c r="AE263" i="55"/>
  <c r="AG263" i="55"/>
  <c r="AE262" i="55"/>
  <c r="AG262" i="55"/>
  <c r="AE261" i="55"/>
  <c r="AG261" i="55"/>
  <c r="AE260" i="55"/>
  <c r="AG260" i="55"/>
  <c r="AE259" i="55"/>
  <c r="AG259" i="55"/>
  <c r="AE258" i="55"/>
  <c r="AG258" i="55"/>
  <c r="AE257" i="55"/>
  <c r="AG257" i="55"/>
  <c r="AE256" i="55"/>
  <c r="AG256" i="55"/>
  <c r="AE255" i="55"/>
  <c r="AG255" i="55"/>
  <c r="AE254" i="55"/>
  <c r="AG254" i="55"/>
  <c r="AE253" i="55"/>
  <c r="AG253" i="55"/>
  <c r="AE252" i="55"/>
  <c r="AG252" i="55"/>
  <c r="AE251" i="55"/>
  <c r="AG251" i="55"/>
  <c r="AE250" i="55"/>
  <c r="AG250" i="55"/>
  <c r="AE249" i="55"/>
  <c r="AG249" i="55"/>
  <c r="AE248" i="55"/>
  <c r="AG248" i="55"/>
  <c r="AE247" i="55"/>
  <c r="AG247" i="55"/>
  <c r="AE246" i="55"/>
  <c r="AG246" i="55"/>
  <c r="AE245" i="55"/>
  <c r="AG245" i="55"/>
  <c r="AE244" i="55"/>
  <c r="AG244" i="55"/>
  <c r="AE243" i="55"/>
  <c r="AG243" i="55"/>
  <c r="AE242" i="55"/>
  <c r="AG242" i="55"/>
  <c r="AE241" i="55"/>
  <c r="AG241" i="55"/>
  <c r="AE240" i="55"/>
  <c r="AG240" i="55"/>
  <c r="AE239" i="55"/>
  <c r="AG239" i="55"/>
  <c r="AE238" i="55"/>
  <c r="AG238" i="55"/>
  <c r="AF238" i="55"/>
  <c r="AH238" i="55"/>
  <c r="AI238" i="55"/>
  <c r="AF239" i="55"/>
  <c r="AH239" i="55"/>
  <c r="AI239" i="55"/>
  <c r="AF240" i="55"/>
  <c r="AH240" i="55"/>
  <c r="AI240" i="55"/>
  <c r="AF241" i="55"/>
  <c r="AH241" i="55"/>
  <c r="AI241" i="55"/>
  <c r="AF242" i="55"/>
  <c r="AH242" i="55"/>
  <c r="AI242" i="55"/>
  <c r="AF243" i="55"/>
  <c r="AH243" i="55"/>
  <c r="AI243" i="55"/>
  <c r="AF244" i="55"/>
  <c r="AH244" i="55"/>
  <c r="AI244" i="55"/>
  <c r="AF245" i="55"/>
  <c r="AH245" i="55"/>
  <c r="AI245" i="55"/>
  <c r="AF246" i="55"/>
  <c r="AH246" i="55"/>
  <c r="AI246" i="55"/>
  <c r="AF247" i="55"/>
  <c r="AH247" i="55"/>
  <c r="AI247" i="55"/>
  <c r="AF248" i="55"/>
  <c r="AH248" i="55"/>
  <c r="AI248" i="55"/>
  <c r="AF249" i="55"/>
  <c r="AH249" i="55"/>
  <c r="AI249" i="55"/>
  <c r="AF250" i="55"/>
  <c r="AH250" i="55"/>
  <c r="AI250" i="55"/>
  <c r="AF251" i="55"/>
  <c r="AH251" i="55"/>
  <c r="AI251" i="55"/>
  <c r="AF252" i="55"/>
  <c r="AH252" i="55"/>
  <c r="AI252" i="55"/>
  <c r="AF253" i="55"/>
  <c r="AH253" i="55"/>
  <c r="AI253" i="55"/>
  <c r="AF254" i="55"/>
  <c r="AH254" i="55"/>
  <c r="AI254" i="55"/>
  <c r="AF255" i="55"/>
  <c r="AH255" i="55"/>
  <c r="AI255" i="55"/>
  <c r="AF256" i="55"/>
  <c r="AH256" i="55"/>
  <c r="AI256" i="55"/>
  <c r="AF257" i="55"/>
  <c r="AH257" i="55"/>
  <c r="AI257" i="55"/>
  <c r="AF258" i="55"/>
  <c r="AH258" i="55"/>
  <c r="AI258" i="55"/>
  <c r="AF259" i="55"/>
  <c r="AH259" i="55"/>
  <c r="AI259" i="55"/>
  <c r="AF260" i="55"/>
  <c r="AH260" i="55"/>
  <c r="AI260" i="55"/>
  <c r="AF261" i="55"/>
  <c r="AH261" i="55"/>
  <c r="AI261" i="55"/>
  <c r="AF262" i="55"/>
  <c r="AH262" i="55"/>
  <c r="AI262" i="55"/>
  <c r="AF263" i="55"/>
  <c r="AH263" i="55"/>
  <c r="AI263" i="55"/>
  <c r="AF264" i="55"/>
  <c r="AH264" i="55"/>
  <c r="AI264" i="55"/>
  <c r="AF265" i="55"/>
  <c r="AH265" i="55"/>
  <c r="AI265" i="55"/>
  <c r="AF266" i="55"/>
  <c r="AH266" i="55"/>
  <c r="AI266" i="55"/>
  <c r="AF267" i="55"/>
  <c r="AH267" i="55"/>
  <c r="AI267" i="55"/>
  <c r="AF268" i="55"/>
  <c r="AH268" i="55"/>
  <c r="AI268" i="55"/>
  <c r="AF269" i="55"/>
  <c r="AH269" i="55"/>
  <c r="AI269" i="55"/>
  <c r="AF270" i="55"/>
  <c r="AH270" i="55"/>
  <c r="AI270" i="55"/>
  <c r="AF271" i="55"/>
  <c r="AH271" i="55"/>
  <c r="AI271" i="55"/>
  <c r="AF272" i="55"/>
  <c r="AH272" i="55"/>
  <c r="AI272" i="55"/>
  <c r="AF273" i="55"/>
  <c r="AH273" i="55"/>
  <c r="AI273" i="55"/>
  <c r="AF274" i="55"/>
  <c r="AH274" i="55"/>
  <c r="AI274" i="55"/>
  <c r="AF275" i="55"/>
  <c r="AH275" i="55"/>
  <c r="AI275" i="55"/>
  <c r="AF276" i="55"/>
  <c r="AH276" i="55"/>
  <c r="AI276" i="55"/>
  <c r="AF277" i="55"/>
  <c r="AH277" i="55"/>
  <c r="AI277" i="55"/>
  <c r="AF278" i="55"/>
  <c r="AH278" i="55"/>
  <c r="AI278" i="55"/>
  <c r="AF279" i="55"/>
  <c r="AH279" i="55"/>
  <c r="AI279" i="55"/>
  <c r="AF280" i="55"/>
  <c r="AH280" i="55"/>
  <c r="AI280" i="55"/>
  <c r="AF281" i="55"/>
  <c r="AH281" i="55"/>
  <c r="AI281" i="55"/>
  <c r="AF282" i="55"/>
  <c r="AH282" i="55"/>
  <c r="AI282" i="55"/>
  <c r="AF283" i="55"/>
  <c r="AH283" i="55"/>
  <c r="AI283" i="55"/>
  <c r="AF284" i="55"/>
  <c r="AH284" i="55"/>
  <c r="AI284" i="55"/>
  <c r="AF285" i="55"/>
  <c r="AH285" i="55"/>
  <c r="AI285" i="55"/>
  <c r="AF286" i="55"/>
  <c r="AH286" i="55"/>
  <c r="AI286" i="55"/>
  <c r="AF287" i="55"/>
  <c r="AH287" i="55"/>
  <c r="AI287" i="55"/>
  <c r="AF288" i="55"/>
  <c r="AH288" i="55"/>
  <c r="AI288" i="55"/>
  <c r="AF289" i="55"/>
  <c r="AH289" i="55"/>
  <c r="AI289" i="55"/>
  <c r="AF290" i="55"/>
  <c r="AH290" i="55"/>
  <c r="AI290" i="55"/>
  <c r="AF291" i="55"/>
  <c r="AH291" i="55"/>
  <c r="AI291" i="55"/>
  <c r="AF292" i="55"/>
  <c r="AH292" i="55"/>
  <c r="AI292" i="55"/>
  <c r="AF293" i="55"/>
  <c r="AH293" i="55"/>
  <c r="AI293" i="55"/>
  <c r="AF294" i="55"/>
  <c r="AH294" i="55"/>
  <c r="AI294" i="55"/>
  <c r="AF295" i="55"/>
  <c r="AH295" i="55"/>
  <c r="AI295" i="55"/>
  <c r="AF296" i="55"/>
  <c r="AH296" i="55"/>
  <c r="AI296" i="55"/>
  <c r="AF297" i="55"/>
  <c r="AH297" i="55"/>
  <c r="AI297" i="55"/>
  <c r="AF298" i="55"/>
  <c r="AH298" i="55"/>
  <c r="AI298" i="55"/>
  <c r="AF299" i="55"/>
  <c r="AH299" i="55"/>
  <c r="AI299" i="55"/>
  <c r="AF300" i="55"/>
  <c r="AH300" i="55"/>
  <c r="AI300" i="55"/>
  <c r="AF301" i="55"/>
  <c r="AH301" i="55"/>
  <c r="AI301" i="55"/>
  <c r="AF302" i="55"/>
  <c r="AH302" i="55"/>
  <c r="AI302" i="55"/>
  <c r="AF303" i="55"/>
  <c r="AH303" i="55"/>
  <c r="AI303" i="55"/>
  <c r="AF304" i="55"/>
  <c r="AH304" i="55"/>
  <c r="AI304" i="55"/>
  <c r="AF305" i="55"/>
  <c r="AH305" i="55"/>
  <c r="AI305" i="55"/>
  <c r="AF306" i="55"/>
  <c r="AH306" i="55"/>
  <c r="AI306" i="55"/>
  <c r="AF307" i="55"/>
  <c r="AH307" i="55"/>
  <c r="AI307" i="55"/>
  <c r="AF308" i="55"/>
  <c r="AH308" i="55"/>
  <c r="AI308" i="55"/>
  <c r="AF309" i="55"/>
  <c r="AH309" i="55"/>
  <c r="AI309" i="55"/>
  <c r="AF310" i="55"/>
  <c r="AH310" i="55"/>
  <c r="AI310" i="55"/>
  <c r="AF311" i="55"/>
  <c r="AH311" i="55"/>
  <c r="AI311" i="55"/>
  <c r="AF312" i="55"/>
  <c r="AH312" i="55"/>
  <c r="AI312" i="55"/>
  <c r="AF313" i="55"/>
  <c r="AH313" i="55"/>
  <c r="AI313" i="55"/>
  <c r="AF314" i="55"/>
  <c r="AH314" i="55"/>
  <c r="AI314" i="55"/>
  <c r="AF315" i="55"/>
  <c r="AH315" i="55"/>
  <c r="AI315" i="55"/>
  <c r="AF316" i="55"/>
  <c r="AH316" i="55"/>
  <c r="AI316" i="55"/>
  <c r="AF317" i="55"/>
  <c r="AH317" i="55"/>
  <c r="AI317" i="55"/>
  <c r="AF318" i="55"/>
  <c r="AH318" i="55"/>
  <c r="AI318" i="55"/>
  <c r="AI78" i="55"/>
  <c r="AI79" i="55"/>
  <c r="AI80" i="55"/>
  <c r="AI81" i="55"/>
  <c r="AI82" i="55"/>
  <c r="AI83" i="55"/>
  <c r="AI84" i="55"/>
  <c r="AI85" i="55"/>
  <c r="AI86" i="55"/>
  <c r="AI87" i="55"/>
  <c r="AI88" i="55"/>
  <c r="AI89" i="55"/>
  <c r="AI90" i="55"/>
  <c r="AI91" i="55"/>
  <c r="AI92" i="55"/>
  <c r="AI93" i="55"/>
  <c r="AI94" i="55"/>
  <c r="AI95" i="55"/>
  <c r="AI96" i="55"/>
  <c r="AI97" i="55"/>
  <c r="AI98" i="55"/>
  <c r="AI99" i="55"/>
  <c r="AI100" i="55"/>
  <c r="AI101" i="55"/>
  <c r="AI102" i="55"/>
  <c r="AI103" i="55"/>
  <c r="AI104" i="55"/>
  <c r="AI105" i="55"/>
  <c r="AI106" i="55"/>
  <c r="AI107" i="55"/>
  <c r="AI108" i="55"/>
  <c r="AI109" i="55"/>
  <c r="AI110" i="55"/>
  <c r="AI111" i="55"/>
  <c r="AI112" i="55"/>
  <c r="AI113" i="55"/>
  <c r="AI114" i="55"/>
  <c r="AI115" i="55"/>
  <c r="AI116" i="55"/>
  <c r="AI117" i="55"/>
  <c r="AI118" i="55"/>
  <c r="AI119" i="55"/>
  <c r="AI120" i="55"/>
  <c r="AI121" i="55"/>
  <c r="AI122" i="55"/>
  <c r="AI123" i="55"/>
  <c r="AI124" i="55"/>
  <c r="AI125" i="55"/>
  <c r="AI126" i="55"/>
  <c r="AI127" i="55"/>
  <c r="AI128" i="55"/>
  <c r="AI129" i="55"/>
  <c r="AI130" i="55"/>
  <c r="AI131" i="55"/>
  <c r="AI132" i="55"/>
  <c r="AI133" i="55"/>
  <c r="AI134" i="55"/>
  <c r="AI135" i="55"/>
  <c r="AI136" i="55"/>
  <c r="AI137" i="55"/>
  <c r="AI138" i="55"/>
  <c r="AI139" i="55"/>
  <c r="AI140" i="55"/>
  <c r="AI141" i="55"/>
  <c r="AI142" i="55"/>
  <c r="AI143" i="55"/>
  <c r="AI144" i="55"/>
  <c r="AI145" i="55"/>
  <c r="AI146" i="55"/>
  <c r="AI147" i="55"/>
  <c r="AI148" i="55"/>
  <c r="AI149" i="55"/>
  <c r="AI150" i="55"/>
  <c r="AI151" i="55"/>
  <c r="AI152" i="55"/>
  <c r="AI153" i="55"/>
  <c r="AI154" i="55"/>
  <c r="AI155" i="55"/>
  <c r="AI156" i="55"/>
  <c r="AI157" i="55"/>
  <c r="AF158" i="55"/>
  <c r="AG158" i="55"/>
  <c r="AI158" i="55"/>
  <c r="AF159" i="55"/>
  <c r="AG159" i="55"/>
  <c r="AI159" i="55"/>
  <c r="AF160" i="55"/>
  <c r="AG160" i="55"/>
  <c r="AI160" i="55"/>
  <c r="AF161" i="55"/>
  <c r="AG161" i="55"/>
  <c r="AI161" i="55"/>
  <c r="AF162" i="55"/>
  <c r="AG162" i="55"/>
  <c r="AI162" i="55"/>
  <c r="AF163" i="55"/>
  <c r="AG163" i="55"/>
  <c r="AI163" i="55"/>
  <c r="AF164" i="55"/>
  <c r="AG164" i="55"/>
  <c r="AI164" i="55"/>
  <c r="AF165" i="55"/>
  <c r="AG165" i="55"/>
  <c r="AI165" i="55"/>
  <c r="AF166" i="55"/>
  <c r="AG166" i="55"/>
  <c r="AI166" i="55"/>
  <c r="AF167" i="55"/>
  <c r="AG167" i="55"/>
  <c r="AI167" i="55"/>
  <c r="AF168" i="55"/>
  <c r="AG168" i="55"/>
  <c r="AI168" i="55"/>
  <c r="AF169" i="55"/>
  <c r="AG169" i="55"/>
  <c r="AI169" i="55"/>
  <c r="AF170" i="55"/>
  <c r="AG170" i="55"/>
  <c r="AI170" i="55"/>
  <c r="AF171" i="55"/>
  <c r="AG171" i="55"/>
  <c r="AI171" i="55"/>
  <c r="AF172" i="55"/>
  <c r="AG172" i="55"/>
  <c r="AI172" i="55"/>
  <c r="AF173" i="55"/>
  <c r="AG173" i="55"/>
  <c r="AI173" i="55"/>
  <c r="AF174" i="55"/>
  <c r="AG174" i="55"/>
  <c r="AI174" i="55"/>
  <c r="AF175" i="55"/>
  <c r="AG175" i="55"/>
  <c r="AI175" i="55"/>
  <c r="AF176" i="55"/>
  <c r="AG176" i="55"/>
  <c r="AI176" i="55"/>
  <c r="AF177" i="55"/>
  <c r="AG177" i="55"/>
  <c r="AI177" i="55"/>
  <c r="AF178" i="55"/>
  <c r="AG178" i="55"/>
  <c r="AI178" i="55"/>
  <c r="AF179" i="55"/>
  <c r="AG179" i="55"/>
  <c r="AI179" i="55"/>
  <c r="AF180" i="55"/>
  <c r="AG180" i="55"/>
  <c r="AI180" i="55"/>
  <c r="AF181" i="55"/>
  <c r="AG181" i="55"/>
  <c r="AI181" i="55"/>
  <c r="AF182" i="55"/>
  <c r="AG182" i="55"/>
  <c r="AI182" i="55"/>
  <c r="AF183" i="55"/>
  <c r="AG183" i="55"/>
  <c r="AI183" i="55"/>
  <c r="AF184" i="55"/>
  <c r="AG184" i="55"/>
  <c r="AI184" i="55"/>
  <c r="AF185" i="55"/>
  <c r="AG185" i="55"/>
  <c r="AI185" i="55"/>
  <c r="AF186" i="55"/>
  <c r="AG186" i="55"/>
  <c r="AI186" i="55"/>
  <c r="AF187" i="55"/>
  <c r="AG187" i="55"/>
  <c r="AI187" i="55"/>
  <c r="AF188" i="55"/>
  <c r="AG188" i="55"/>
  <c r="AI188" i="55"/>
  <c r="AF189" i="55"/>
  <c r="AG189" i="55"/>
  <c r="AI189" i="55"/>
  <c r="AF190" i="55"/>
  <c r="AG190" i="55"/>
  <c r="AI190" i="55"/>
  <c r="AF191" i="55"/>
  <c r="AG191" i="55"/>
  <c r="AI191" i="55"/>
  <c r="AF192" i="55"/>
  <c r="AG192" i="55"/>
  <c r="AI192" i="55"/>
  <c r="AF193" i="55"/>
  <c r="AG193" i="55"/>
  <c r="AI193" i="55"/>
  <c r="AF194" i="55"/>
  <c r="AG194" i="55"/>
  <c r="AI194" i="55"/>
  <c r="AF195" i="55"/>
  <c r="AG195" i="55"/>
  <c r="AI195" i="55"/>
  <c r="AF196" i="55"/>
  <c r="AG196" i="55"/>
  <c r="AI196" i="55"/>
  <c r="AF197" i="55"/>
  <c r="AG197" i="55"/>
  <c r="AI197" i="55"/>
  <c r="AF198" i="55"/>
  <c r="AG198" i="55"/>
  <c r="AI198" i="55"/>
  <c r="AF199" i="55"/>
  <c r="AG199" i="55"/>
  <c r="AI199" i="55"/>
  <c r="AF200" i="55"/>
  <c r="AG200" i="55"/>
  <c r="AI200" i="55"/>
  <c r="AF201" i="55"/>
  <c r="AG201" i="55"/>
  <c r="AI201" i="55"/>
  <c r="AF202" i="55"/>
  <c r="AG202" i="55"/>
  <c r="AI202" i="55"/>
  <c r="AF203" i="55"/>
  <c r="AG203" i="55"/>
  <c r="AI203" i="55"/>
  <c r="AF204" i="55"/>
  <c r="AG204" i="55"/>
  <c r="AI204" i="55"/>
  <c r="AF205" i="55"/>
  <c r="AG205" i="55"/>
  <c r="AI205" i="55"/>
  <c r="AF206" i="55"/>
  <c r="AG206" i="55"/>
  <c r="AI206" i="55"/>
  <c r="AF207" i="55"/>
  <c r="AG207" i="55"/>
  <c r="AI207" i="55"/>
  <c r="AF208" i="55"/>
  <c r="AG208" i="55"/>
  <c r="AI208" i="55"/>
  <c r="AF209" i="55"/>
  <c r="AG209" i="55"/>
  <c r="AI209" i="55"/>
  <c r="AF210" i="55"/>
  <c r="AG210" i="55"/>
  <c r="AI210" i="55"/>
  <c r="AF211" i="55"/>
  <c r="AG211" i="55"/>
  <c r="AI211" i="55"/>
  <c r="AF212" i="55"/>
  <c r="AG212" i="55"/>
  <c r="AI212" i="55"/>
  <c r="AF213" i="55"/>
  <c r="AG213" i="55"/>
  <c r="AI213" i="55"/>
  <c r="AF214" i="55"/>
  <c r="AG214" i="55"/>
  <c r="AI214" i="55"/>
  <c r="AF215" i="55"/>
  <c r="AG215" i="55"/>
  <c r="AI215" i="55"/>
  <c r="AF216" i="55"/>
  <c r="AG216" i="55"/>
  <c r="AI216" i="55"/>
  <c r="AF217" i="55"/>
  <c r="AG217" i="55"/>
  <c r="AI217" i="55"/>
  <c r="AF218" i="55"/>
  <c r="AG218" i="55"/>
  <c r="AI218" i="55"/>
  <c r="AF219" i="55"/>
  <c r="AG219" i="55"/>
  <c r="AI219" i="55"/>
  <c r="AF220" i="55"/>
  <c r="AG220" i="55"/>
  <c r="AI220" i="55"/>
  <c r="AF221" i="55"/>
  <c r="AG221" i="55"/>
  <c r="AI221" i="55"/>
  <c r="AF222" i="55"/>
  <c r="AG222" i="55"/>
  <c r="AI222" i="55"/>
  <c r="AF223" i="55"/>
  <c r="AG223" i="55"/>
  <c r="AI223" i="55"/>
  <c r="AF224" i="55"/>
  <c r="AG224" i="55"/>
  <c r="AI224" i="55"/>
  <c r="AF225" i="55"/>
  <c r="AG225" i="55"/>
  <c r="AI225" i="55"/>
  <c r="AF226" i="55"/>
  <c r="AG226" i="55"/>
  <c r="AI226" i="55"/>
  <c r="AF227" i="55"/>
  <c r="AG227" i="55"/>
  <c r="AI227" i="55"/>
  <c r="AF228" i="55"/>
  <c r="AG228" i="55"/>
  <c r="AI228" i="55"/>
  <c r="AF229" i="55"/>
  <c r="AG229" i="55"/>
  <c r="AI229" i="55"/>
  <c r="AF230" i="55"/>
  <c r="AG230" i="55"/>
  <c r="AI230" i="55"/>
  <c r="AF231" i="55"/>
  <c r="AG231" i="55"/>
  <c r="AI231" i="55"/>
  <c r="AF232" i="55"/>
  <c r="AG232" i="55"/>
  <c r="AI232" i="55"/>
  <c r="AF233" i="55"/>
  <c r="AG233" i="55"/>
  <c r="AI233" i="55"/>
  <c r="AF234" i="55"/>
  <c r="AG234" i="55"/>
  <c r="AI234" i="55"/>
  <c r="AF235" i="55"/>
  <c r="AG235" i="55"/>
  <c r="AI235" i="55"/>
  <c r="AF236" i="55"/>
  <c r="AG236" i="55"/>
  <c r="AI236" i="55"/>
  <c r="AF237" i="55"/>
  <c r="AI237" i="55"/>
  <c r="AJ320" i="55"/>
  <c r="AJ159" i="55"/>
  <c r="AJ160" i="55"/>
  <c r="AJ161" i="55"/>
  <c r="AJ162" i="55"/>
  <c r="AJ163" i="55"/>
  <c r="AJ164" i="55"/>
  <c r="AJ165" i="55"/>
  <c r="AJ166" i="55"/>
  <c r="AJ167" i="55"/>
  <c r="AJ168" i="55"/>
  <c r="AJ169" i="55"/>
  <c r="AJ170" i="55"/>
  <c r="AJ171" i="55"/>
  <c r="AJ172" i="55"/>
  <c r="AJ173" i="55"/>
  <c r="AJ174" i="55"/>
  <c r="AJ175" i="55"/>
  <c r="AJ176" i="55"/>
  <c r="AJ177" i="55"/>
  <c r="AJ178" i="55"/>
  <c r="AJ179" i="55"/>
  <c r="AJ180" i="55"/>
  <c r="AJ181" i="55"/>
  <c r="AJ182" i="55"/>
  <c r="AJ183" i="55"/>
  <c r="AJ184" i="55"/>
  <c r="AJ185" i="55"/>
  <c r="AJ186" i="55"/>
  <c r="AJ187" i="55"/>
  <c r="AJ188" i="55"/>
  <c r="AJ189" i="55"/>
  <c r="AJ190" i="55"/>
  <c r="AJ191" i="55"/>
  <c r="AJ192" i="55"/>
  <c r="AJ193" i="55"/>
  <c r="AJ194" i="55"/>
  <c r="AJ195" i="55"/>
  <c r="AJ196" i="55"/>
  <c r="AJ197" i="55"/>
  <c r="AJ198" i="55"/>
  <c r="AJ199" i="55"/>
  <c r="AJ200" i="55"/>
  <c r="AJ201" i="55"/>
  <c r="AJ202" i="55"/>
  <c r="AJ203" i="55"/>
  <c r="AJ204" i="55"/>
  <c r="AJ205" i="55"/>
  <c r="AJ206" i="55"/>
  <c r="AJ207" i="55"/>
  <c r="AJ208" i="55"/>
  <c r="AJ209" i="55"/>
  <c r="AJ210" i="55"/>
  <c r="AJ211" i="55"/>
  <c r="AJ212" i="55"/>
  <c r="AJ213" i="55"/>
  <c r="AJ214" i="55"/>
  <c r="AJ215" i="55"/>
  <c r="AJ216" i="55"/>
  <c r="AJ217" i="55"/>
  <c r="AJ218" i="55"/>
  <c r="AJ219" i="55"/>
  <c r="AJ220" i="55"/>
  <c r="AJ221" i="55"/>
  <c r="AJ222" i="55"/>
  <c r="AJ223" i="55"/>
  <c r="AJ224" i="55"/>
  <c r="AJ225" i="55"/>
  <c r="AJ226" i="55"/>
  <c r="AJ227" i="55"/>
  <c r="AJ228" i="55"/>
  <c r="AJ229" i="55"/>
  <c r="AJ230" i="55"/>
  <c r="AJ231" i="55"/>
  <c r="AJ232" i="55"/>
  <c r="AJ233" i="55"/>
  <c r="AJ234" i="55"/>
  <c r="AJ235" i="55"/>
  <c r="AJ236" i="55"/>
  <c r="AJ237" i="55"/>
  <c r="AJ238" i="55"/>
  <c r="AJ239" i="55"/>
  <c r="AJ240" i="55"/>
  <c r="AJ241" i="55"/>
  <c r="AJ242" i="55"/>
  <c r="AJ243" i="55"/>
  <c r="AJ244" i="55"/>
  <c r="AJ245" i="55"/>
  <c r="AJ246" i="55"/>
  <c r="AJ247" i="55"/>
  <c r="AJ248" i="55"/>
  <c r="AJ249" i="55"/>
  <c r="AJ250" i="55"/>
  <c r="AJ251" i="55"/>
  <c r="AJ252" i="55"/>
  <c r="AJ253" i="55"/>
  <c r="AJ254" i="55"/>
  <c r="AJ255" i="55"/>
  <c r="AJ256" i="55"/>
  <c r="AJ257" i="55"/>
  <c r="AJ258" i="55"/>
  <c r="AJ259" i="55"/>
  <c r="AJ260" i="55"/>
  <c r="AJ261" i="55"/>
  <c r="AJ262" i="55"/>
  <c r="AJ263" i="55"/>
  <c r="AJ264" i="55"/>
  <c r="AJ265" i="55"/>
  <c r="AJ266" i="55"/>
  <c r="AJ267" i="55"/>
  <c r="AJ268" i="55"/>
  <c r="AJ269" i="55"/>
  <c r="AJ270" i="55"/>
  <c r="AJ271" i="55"/>
  <c r="AJ272" i="55"/>
  <c r="AJ273" i="55"/>
  <c r="AJ274" i="55"/>
  <c r="AJ275" i="55"/>
  <c r="AJ276" i="55"/>
  <c r="AJ277" i="55"/>
  <c r="AJ278" i="55"/>
  <c r="AJ279" i="55"/>
  <c r="AJ280" i="55"/>
  <c r="AJ281" i="55"/>
  <c r="AJ282" i="55"/>
  <c r="AJ283" i="55"/>
  <c r="AJ284" i="55"/>
  <c r="AJ285" i="55"/>
  <c r="AJ286" i="55"/>
  <c r="AJ287" i="55"/>
  <c r="AJ288" i="55"/>
  <c r="AJ289" i="55"/>
  <c r="AJ290" i="55"/>
  <c r="AJ291" i="55"/>
  <c r="AJ292" i="55"/>
  <c r="AJ293" i="55"/>
  <c r="AJ294" i="55"/>
  <c r="AJ295" i="55"/>
  <c r="AJ296" i="55"/>
  <c r="AJ297" i="55"/>
  <c r="AJ298" i="55"/>
  <c r="AJ299" i="55"/>
  <c r="AJ300" i="55"/>
  <c r="AJ301" i="55"/>
  <c r="AJ302" i="55"/>
  <c r="AJ303" i="55"/>
  <c r="AJ304" i="55"/>
  <c r="AJ305" i="55"/>
  <c r="AJ306" i="55"/>
  <c r="AJ307" i="55"/>
  <c r="AJ308" i="55"/>
  <c r="AJ309" i="55"/>
  <c r="AJ310" i="55"/>
  <c r="AJ311" i="55"/>
  <c r="AJ312" i="55"/>
  <c r="AJ313" i="55"/>
  <c r="AJ314" i="55"/>
  <c r="AJ315" i="55"/>
  <c r="AJ316" i="55"/>
  <c r="AJ317" i="55"/>
  <c r="AJ318" i="55"/>
  <c r="AK320" i="55"/>
  <c r="AS78" i="55"/>
  <c r="AS79" i="55"/>
  <c r="AS80" i="55"/>
  <c r="AS81" i="55"/>
  <c r="AS82" i="55"/>
  <c r="AS83" i="55"/>
  <c r="AS84" i="55"/>
  <c r="AS85" i="55"/>
  <c r="AS86" i="55"/>
  <c r="AS87" i="55"/>
  <c r="AS88" i="55"/>
  <c r="AS89" i="55"/>
  <c r="AS90" i="55"/>
  <c r="AS91" i="55"/>
  <c r="AS92" i="55"/>
  <c r="AS93" i="55"/>
  <c r="AS94" i="55"/>
  <c r="AS95" i="55"/>
  <c r="AS96" i="55"/>
  <c r="AS97" i="55"/>
  <c r="AS98" i="55"/>
  <c r="AS99" i="55"/>
  <c r="AS100" i="55"/>
  <c r="AS101" i="55"/>
  <c r="AS102" i="55"/>
  <c r="AS103" i="55"/>
  <c r="AS104" i="55"/>
  <c r="AS105" i="55"/>
  <c r="AS106" i="55"/>
  <c r="AS107" i="55"/>
  <c r="AS108" i="55"/>
  <c r="AS109" i="55"/>
  <c r="AS110" i="55"/>
  <c r="AS111" i="55"/>
  <c r="AS112" i="55"/>
  <c r="AS113" i="55"/>
  <c r="AS114" i="55"/>
  <c r="AS115" i="55"/>
  <c r="AS116" i="55"/>
  <c r="AS117" i="55"/>
  <c r="AT320" i="55"/>
  <c r="F31" i="54"/>
  <c r="D31" i="54"/>
  <c r="E31" i="54"/>
  <c r="C31" i="54"/>
  <c r="B31" i="54"/>
  <c r="F32" i="54"/>
  <c r="E32" i="54"/>
  <c r="D32" i="54"/>
  <c r="C32" i="54"/>
  <c r="B32" i="54"/>
  <c r="F32" i="56"/>
  <c r="E32" i="56"/>
  <c r="D32" i="56"/>
  <c r="B32" i="56"/>
  <c r="C32" i="56"/>
  <c r="F31" i="56"/>
  <c r="E31" i="56"/>
  <c r="D31" i="56"/>
  <c r="C31" i="56"/>
  <c r="B31" i="56"/>
  <c r="F32" i="53"/>
  <c r="F31" i="53"/>
  <c r="E31" i="53"/>
  <c r="E32" i="53"/>
  <c r="D32" i="53"/>
  <c r="D31" i="53"/>
  <c r="C32" i="53"/>
  <c r="C31" i="53"/>
  <c r="B32" i="53"/>
  <c r="B31" i="53"/>
  <c r="G32" i="54"/>
  <c r="G31" i="54"/>
  <c r="G32" i="56"/>
  <c r="G31" i="56"/>
  <c r="G32" i="53"/>
  <c r="G31" i="53"/>
  <c r="B32" i="35"/>
  <c r="C32" i="35"/>
  <c r="D32" i="35"/>
  <c r="E32" i="35"/>
  <c r="F32" i="35"/>
  <c r="G32" i="35"/>
  <c r="B31" i="35"/>
  <c r="C31" i="35"/>
  <c r="D31" i="35"/>
  <c r="E31" i="35"/>
  <c r="F31" i="35"/>
  <c r="G31" i="35"/>
  <c r="F31" i="55"/>
  <c r="E31" i="55"/>
  <c r="D31" i="55"/>
  <c r="C31" i="55"/>
  <c r="B31" i="55"/>
  <c r="B32" i="55"/>
  <c r="C32" i="55"/>
  <c r="D32" i="55"/>
  <c r="E32" i="55"/>
  <c r="F32" i="55"/>
  <c r="G32" i="55"/>
  <c r="G31" i="55"/>
  <c r="C37" i="54"/>
  <c r="C36" i="54"/>
  <c r="C37" i="56"/>
  <c r="C36" i="56"/>
  <c r="C37" i="53"/>
  <c r="C36" i="53"/>
  <c r="C37" i="35"/>
  <c r="C36" i="35"/>
  <c r="C37" i="55"/>
  <c r="C36" i="55"/>
  <c r="W158" i="35"/>
  <c r="W159" i="35"/>
  <c r="W160" i="35"/>
  <c r="W161" i="35"/>
  <c r="W162" i="35"/>
  <c r="W163" i="35"/>
  <c r="W164" i="35"/>
  <c r="W165" i="35"/>
  <c r="W166" i="35"/>
  <c r="W167" i="35"/>
  <c r="W168" i="35"/>
  <c r="W169" i="35"/>
  <c r="W170" i="35"/>
  <c r="W171" i="35"/>
  <c r="W172" i="35"/>
  <c r="W173" i="35"/>
  <c r="W174" i="35"/>
  <c r="W175" i="35"/>
  <c r="W176" i="35"/>
  <c r="W177" i="35"/>
  <c r="W178" i="35"/>
  <c r="W179" i="35"/>
  <c r="W180" i="35"/>
  <c r="W181" i="35"/>
  <c r="W182" i="35"/>
  <c r="W183" i="35"/>
  <c r="W184" i="35"/>
  <c r="W185" i="35"/>
  <c r="W186" i="35"/>
  <c r="W187" i="35"/>
  <c r="W188" i="35"/>
  <c r="W189" i="35"/>
  <c r="W190" i="35"/>
  <c r="W191" i="35"/>
  <c r="W192" i="35"/>
  <c r="W193" i="35"/>
  <c r="W194" i="35"/>
  <c r="W195" i="35"/>
  <c r="W196" i="35"/>
  <c r="W197" i="35"/>
  <c r="W198" i="35"/>
  <c r="W199" i="35"/>
  <c r="W200" i="35"/>
  <c r="W201" i="35"/>
  <c r="W202" i="35"/>
  <c r="W203" i="35"/>
  <c r="W204" i="35"/>
  <c r="W205" i="35"/>
  <c r="W206" i="35"/>
  <c r="W207" i="35"/>
  <c r="W208" i="35"/>
  <c r="W209" i="35"/>
  <c r="W210" i="35"/>
  <c r="W211" i="35"/>
  <c r="W212" i="35"/>
  <c r="W213" i="35"/>
  <c r="W214" i="35"/>
  <c r="W215" i="35"/>
  <c r="W216" i="35"/>
  <c r="W217" i="35"/>
  <c r="W218" i="35"/>
  <c r="W219" i="35"/>
  <c r="W220" i="35"/>
  <c r="W221" i="35"/>
  <c r="W222" i="35"/>
  <c r="W223" i="35"/>
  <c r="W224" i="35"/>
  <c r="W225" i="35"/>
  <c r="W226" i="35"/>
  <c r="W227" i="35"/>
  <c r="W228" i="35"/>
  <c r="W229" i="35"/>
  <c r="W230" i="35"/>
  <c r="W231" i="35"/>
  <c r="W232" i="35"/>
  <c r="W233" i="35"/>
  <c r="W234" i="35"/>
  <c r="W235" i="35"/>
  <c r="W236" i="35"/>
  <c r="W237" i="35"/>
  <c r="W238" i="35"/>
  <c r="W239" i="35"/>
  <c r="W240" i="35"/>
  <c r="W241" i="35"/>
  <c r="W242" i="35"/>
  <c r="W243" i="35"/>
  <c r="W244" i="35"/>
  <c r="W245" i="35"/>
  <c r="W246" i="35"/>
  <c r="W247" i="35"/>
  <c r="W248" i="35"/>
  <c r="W249" i="35"/>
  <c r="W250" i="35"/>
  <c r="W251" i="35"/>
  <c r="W252" i="35"/>
  <c r="W253" i="35"/>
  <c r="W254" i="35"/>
  <c r="W255" i="35"/>
  <c r="W256" i="35"/>
  <c r="W257" i="35"/>
  <c r="W258" i="35"/>
  <c r="W259" i="35"/>
  <c r="W260" i="35"/>
  <c r="W261" i="35"/>
  <c r="W262" i="35"/>
  <c r="W263" i="35"/>
  <c r="W264" i="35"/>
  <c r="W265" i="35"/>
  <c r="W266" i="35"/>
  <c r="W267" i="35"/>
  <c r="W268" i="35"/>
  <c r="W269" i="35"/>
  <c r="W270" i="35"/>
  <c r="W271" i="35"/>
  <c r="W272" i="35"/>
  <c r="W273" i="35"/>
  <c r="W274" i="35"/>
  <c r="W275" i="35"/>
  <c r="W276" i="35"/>
  <c r="W277" i="35"/>
  <c r="W278" i="35"/>
  <c r="W279" i="35"/>
  <c r="W280" i="35"/>
  <c r="W281" i="35"/>
  <c r="W282" i="35"/>
  <c r="W283" i="35"/>
  <c r="W284" i="35"/>
  <c r="W285" i="35"/>
  <c r="W286" i="35"/>
  <c r="W287" i="35"/>
  <c r="W288" i="35"/>
  <c r="W289" i="35"/>
  <c r="W290" i="35"/>
  <c r="W291" i="35"/>
  <c r="W292" i="35"/>
  <c r="W293" i="35"/>
  <c r="W294" i="35"/>
  <c r="W295" i="35"/>
  <c r="W296" i="35"/>
  <c r="W297" i="35"/>
  <c r="W298" i="35"/>
  <c r="W299" i="35"/>
  <c r="W300" i="35"/>
  <c r="W301" i="35"/>
  <c r="W302" i="35"/>
  <c r="W303" i="35"/>
  <c r="W304" i="35"/>
  <c r="W305" i="35"/>
  <c r="W306" i="35"/>
  <c r="W307" i="35"/>
  <c r="W308" i="35"/>
  <c r="W309" i="35"/>
  <c r="W310" i="35"/>
  <c r="W311" i="35"/>
  <c r="W312" i="35"/>
  <c r="W313" i="35"/>
  <c r="W314" i="35"/>
  <c r="W315" i="35"/>
  <c r="W316" i="35"/>
  <c r="W317" i="35"/>
  <c r="W318" i="35"/>
  <c r="AF318" i="56"/>
  <c r="AF317" i="56"/>
  <c r="AF316" i="56"/>
  <c r="AF315" i="56"/>
  <c r="AF314" i="56"/>
  <c r="AF313" i="56"/>
  <c r="AF312" i="56"/>
  <c r="AF311" i="56"/>
  <c r="AF310" i="56"/>
  <c r="AF309" i="56"/>
  <c r="AF308" i="56"/>
  <c r="AF307" i="56"/>
  <c r="AF306" i="56"/>
  <c r="AF305" i="56"/>
  <c r="AF304" i="56"/>
  <c r="AF303" i="56"/>
  <c r="AF302" i="56"/>
  <c r="AF301" i="56"/>
  <c r="AF300" i="56"/>
  <c r="AF299" i="56"/>
  <c r="AF298" i="56"/>
  <c r="AF297" i="56"/>
  <c r="AF296" i="56"/>
  <c r="AF295" i="56"/>
  <c r="AF294" i="56"/>
  <c r="AF293" i="56"/>
  <c r="AF292" i="56"/>
  <c r="AF291" i="56"/>
  <c r="AF290" i="56"/>
  <c r="AF289" i="56"/>
  <c r="AF288" i="56"/>
  <c r="AF287" i="56"/>
  <c r="AF286" i="56"/>
  <c r="AF285" i="56"/>
  <c r="AF284" i="56"/>
  <c r="AF283" i="56"/>
  <c r="AF282" i="56"/>
  <c r="AF281" i="56"/>
  <c r="AF280" i="56"/>
  <c r="AF279" i="56"/>
  <c r="AF278" i="56"/>
  <c r="AF277" i="56"/>
  <c r="AF276" i="56"/>
  <c r="AF275" i="56"/>
  <c r="AF274" i="56"/>
  <c r="AF273" i="56"/>
  <c r="AF272" i="56"/>
  <c r="AF271" i="56"/>
  <c r="AF270" i="56"/>
  <c r="AF269" i="56"/>
  <c r="AF268" i="56"/>
  <c r="AF267" i="56"/>
  <c r="AF266" i="56"/>
  <c r="AF265" i="56"/>
  <c r="AF264" i="56"/>
  <c r="AF263" i="56"/>
  <c r="AF262" i="56"/>
  <c r="AF261" i="56"/>
  <c r="AF260" i="56"/>
  <c r="AF259" i="56"/>
  <c r="AF258" i="56"/>
  <c r="AF257" i="56"/>
  <c r="AF256" i="56"/>
  <c r="AF255" i="56"/>
  <c r="AF254" i="56"/>
  <c r="AF253" i="56"/>
  <c r="AF252" i="56"/>
  <c r="AF251" i="56"/>
  <c r="AF250" i="56"/>
  <c r="AF249" i="56"/>
  <c r="AF248" i="56"/>
  <c r="AF247" i="56"/>
  <c r="AF246" i="56"/>
  <c r="AF245" i="56"/>
  <c r="AF244" i="56"/>
  <c r="AF243" i="56"/>
  <c r="AF242" i="56"/>
  <c r="AF241" i="56"/>
  <c r="AF240" i="56"/>
  <c r="AF239" i="56"/>
  <c r="AF238" i="56"/>
  <c r="AF237" i="56"/>
  <c r="AF236" i="56"/>
  <c r="AF235" i="56"/>
  <c r="AF234" i="56"/>
  <c r="AF233" i="56"/>
  <c r="AF232" i="56"/>
  <c r="AF231" i="56"/>
  <c r="AF230" i="56"/>
  <c r="AF229" i="56"/>
  <c r="AF228" i="56"/>
  <c r="AF227" i="56"/>
  <c r="AF226" i="56"/>
  <c r="AF225" i="56"/>
  <c r="AF224" i="56"/>
  <c r="AF223" i="56"/>
  <c r="AF222" i="56"/>
  <c r="AF221" i="56"/>
  <c r="AF220" i="56"/>
  <c r="AF219" i="56"/>
  <c r="AF218" i="56"/>
  <c r="AF217" i="56"/>
  <c r="AF216" i="56"/>
  <c r="AF215" i="56"/>
  <c r="AF214" i="56"/>
  <c r="AF213" i="56"/>
  <c r="AF212" i="56"/>
  <c r="AF211" i="56"/>
  <c r="AF210" i="56"/>
  <c r="AF209" i="56"/>
  <c r="AF208" i="56"/>
  <c r="AF207" i="56"/>
  <c r="AF206" i="56"/>
  <c r="AF205" i="56"/>
  <c r="AF204" i="56"/>
  <c r="AF203" i="56"/>
  <c r="AF202" i="56"/>
  <c r="AF201" i="56"/>
  <c r="AF200" i="56"/>
  <c r="AF199" i="56"/>
  <c r="AF198" i="56"/>
  <c r="AF197" i="56"/>
  <c r="AF196" i="56"/>
  <c r="AF195" i="56"/>
  <c r="AF194" i="56"/>
  <c r="AF193" i="56"/>
  <c r="AF192" i="56"/>
  <c r="AF191" i="56"/>
  <c r="AF190" i="56"/>
  <c r="AF189" i="56"/>
  <c r="AF188" i="56"/>
  <c r="AF187" i="56"/>
  <c r="AF186" i="56"/>
  <c r="AF185" i="56"/>
  <c r="AF184" i="56"/>
  <c r="AF183" i="56"/>
  <c r="AF182" i="56"/>
  <c r="AF181" i="56"/>
  <c r="AF180" i="56"/>
  <c r="AF179" i="56"/>
  <c r="AF178" i="56"/>
  <c r="AF177" i="56"/>
  <c r="AF176" i="56"/>
  <c r="AF175" i="56"/>
  <c r="AF174" i="56"/>
  <c r="AF173" i="56"/>
  <c r="AF172" i="56"/>
  <c r="AF171" i="56"/>
  <c r="AF170" i="56"/>
  <c r="AF169" i="56"/>
  <c r="AF168" i="56"/>
  <c r="AF167" i="56"/>
  <c r="AF166" i="56"/>
  <c r="AF165" i="56"/>
  <c r="AF164" i="56"/>
  <c r="AF163" i="56"/>
  <c r="AF162" i="56"/>
  <c r="AF161" i="56"/>
  <c r="AF160" i="56"/>
  <c r="AF159" i="56"/>
  <c r="AF158" i="56"/>
  <c r="AF318" i="53"/>
  <c r="AF317" i="53"/>
  <c r="AF316" i="53"/>
  <c r="AF315" i="53"/>
  <c r="AF314" i="53"/>
  <c r="AF313" i="53"/>
  <c r="AF312" i="53"/>
  <c r="AF311" i="53"/>
  <c r="AF310" i="53"/>
  <c r="AF309" i="53"/>
  <c r="AF308" i="53"/>
  <c r="AF307" i="53"/>
  <c r="AF306" i="53"/>
  <c r="AF305" i="53"/>
  <c r="AF304" i="53"/>
  <c r="AF303" i="53"/>
  <c r="AF302" i="53"/>
  <c r="AF301" i="53"/>
  <c r="AF300" i="53"/>
  <c r="AF299" i="53"/>
  <c r="AF298" i="53"/>
  <c r="AF297" i="53"/>
  <c r="AF296" i="53"/>
  <c r="AF295" i="53"/>
  <c r="AF294" i="53"/>
  <c r="AF293" i="53"/>
  <c r="AF292" i="53"/>
  <c r="AF291" i="53"/>
  <c r="AF290" i="53"/>
  <c r="AF289" i="53"/>
  <c r="AF288" i="53"/>
  <c r="AF287" i="53"/>
  <c r="AF286" i="53"/>
  <c r="AF285" i="53"/>
  <c r="AF284" i="53"/>
  <c r="AF283" i="53"/>
  <c r="AF282" i="53"/>
  <c r="AF281" i="53"/>
  <c r="AF280" i="53"/>
  <c r="AF279" i="53"/>
  <c r="AF278" i="53"/>
  <c r="AF277" i="53"/>
  <c r="AF276" i="53"/>
  <c r="AF275" i="53"/>
  <c r="AF274" i="53"/>
  <c r="AF273" i="53"/>
  <c r="AF272" i="53"/>
  <c r="AF271" i="53"/>
  <c r="AF270" i="53"/>
  <c r="AF269" i="53"/>
  <c r="AF268" i="53"/>
  <c r="AF267" i="53"/>
  <c r="AF266" i="53"/>
  <c r="AF265" i="53"/>
  <c r="AF264" i="53"/>
  <c r="AF263" i="53"/>
  <c r="AF262" i="53"/>
  <c r="AF261" i="53"/>
  <c r="AF260" i="53"/>
  <c r="AF259" i="53"/>
  <c r="AF258" i="53"/>
  <c r="AF257" i="53"/>
  <c r="AF256" i="53"/>
  <c r="AF255" i="53"/>
  <c r="AF254" i="53"/>
  <c r="AF253" i="53"/>
  <c r="AF252" i="53"/>
  <c r="AF251" i="53"/>
  <c r="AF250" i="53"/>
  <c r="AF249" i="53"/>
  <c r="AF248" i="53"/>
  <c r="AF247" i="53"/>
  <c r="AF246" i="53"/>
  <c r="AF245" i="53"/>
  <c r="AF244" i="53"/>
  <c r="AF243" i="53"/>
  <c r="AF242" i="53"/>
  <c r="AF241" i="53"/>
  <c r="AF240" i="53"/>
  <c r="AF239" i="53"/>
  <c r="AF238" i="53"/>
  <c r="AF237" i="53"/>
  <c r="AF236" i="53"/>
  <c r="AF235" i="53"/>
  <c r="AF234" i="53"/>
  <c r="AF233" i="53"/>
  <c r="AF232" i="53"/>
  <c r="AF231" i="53"/>
  <c r="AF230" i="53"/>
  <c r="AF229" i="53"/>
  <c r="AF228" i="53"/>
  <c r="AF227" i="53"/>
  <c r="AF226" i="53"/>
  <c r="AF225" i="53"/>
  <c r="AF224" i="53"/>
  <c r="AF223" i="53"/>
  <c r="AF222" i="53"/>
  <c r="AF221" i="53"/>
  <c r="AF220" i="53"/>
  <c r="AF219" i="53"/>
  <c r="AF218" i="53"/>
  <c r="AF217" i="53"/>
  <c r="AF216" i="53"/>
  <c r="AF215" i="53"/>
  <c r="AF214" i="53"/>
  <c r="AF213" i="53"/>
  <c r="AF212" i="53"/>
  <c r="AF211" i="53"/>
  <c r="AF210" i="53"/>
  <c r="AF209" i="53"/>
  <c r="AF208" i="53"/>
  <c r="AF207" i="53"/>
  <c r="AF206" i="53"/>
  <c r="AF205" i="53"/>
  <c r="AF204" i="53"/>
  <c r="AF203" i="53"/>
  <c r="AF202" i="53"/>
  <c r="AF201" i="53"/>
  <c r="AF200" i="53"/>
  <c r="AF199" i="53"/>
  <c r="AF198" i="53"/>
  <c r="AF197" i="53"/>
  <c r="AF196" i="53"/>
  <c r="AF195" i="53"/>
  <c r="AF194" i="53"/>
  <c r="AF193" i="53"/>
  <c r="AF192" i="53"/>
  <c r="AF191" i="53"/>
  <c r="AF190" i="53"/>
  <c r="AF189" i="53"/>
  <c r="AF188" i="53"/>
  <c r="AF187" i="53"/>
  <c r="AF186" i="53"/>
  <c r="AF185" i="53"/>
  <c r="AF184" i="53"/>
  <c r="AF183" i="53"/>
  <c r="AF182" i="53"/>
  <c r="AF181" i="53"/>
  <c r="AF180" i="53"/>
  <c r="AF179" i="53"/>
  <c r="AF178" i="53"/>
  <c r="AF177" i="53"/>
  <c r="AF176" i="53"/>
  <c r="AF175" i="53"/>
  <c r="AF174" i="53"/>
  <c r="AF173" i="53"/>
  <c r="AF172" i="53"/>
  <c r="AF171" i="53"/>
  <c r="AF170" i="53"/>
  <c r="AF169" i="53"/>
  <c r="AF168" i="53"/>
  <c r="AF167" i="53"/>
  <c r="AF166" i="53"/>
  <c r="AF165" i="53"/>
  <c r="AF164" i="53"/>
  <c r="AF163" i="53"/>
  <c r="AF162" i="53"/>
  <c r="AF161" i="53"/>
  <c r="AF160" i="53"/>
  <c r="AF159" i="53"/>
  <c r="AF158" i="53"/>
  <c r="B114" i="29"/>
  <c r="B115" i="29"/>
  <c r="B116" i="29"/>
  <c r="B117" i="29"/>
  <c r="B118" i="29"/>
  <c r="B119" i="29"/>
  <c r="B120" i="29"/>
  <c r="B121" i="29"/>
  <c r="B122" i="29"/>
  <c r="B123" i="29"/>
  <c r="B124" i="29"/>
  <c r="B125" i="29"/>
  <c r="B126" i="29"/>
  <c r="B127" i="29"/>
  <c r="B128" i="29"/>
  <c r="B129" i="29"/>
  <c r="B130" i="29"/>
  <c r="B131" i="29"/>
  <c r="B132" i="29"/>
  <c r="B133" i="29"/>
  <c r="B134" i="29"/>
  <c r="B135" i="29"/>
  <c r="B136" i="29"/>
  <c r="B137" i="29"/>
  <c r="B138" i="29"/>
  <c r="B139" i="29"/>
  <c r="B140" i="29"/>
  <c r="B141" i="29"/>
  <c r="B142" i="29"/>
  <c r="B143" i="29"/>
  <c r="B144" i="29"/>
  <c r="B145" i="29"/>
  <c r="B146" i="29"/>
  <c r="B147" i="29"/>
  <c r="B148" i="29"/>
  <c r="B149" i="29"/>
  <c r="B150" i="29"/>
  <c r="B151" i="29"/>
  <c r="B152" i="29"/>
  <c r="B153" i="29"/>
  <c r="B154" i="29"/>
  <c r="B155" i="29"/>
  <c r="B156" i="29"/>
  <c r="B157" i="29"/>
  <c r="B158" i="29"/>
  <c r="B159" i="29"/>
  <c r="B160" i="29"/>
  <c r="B161" i="29"/>
  <c r="B162" i="29"/>
  <c r="B163" i="29"/>
  <c r="B164" i="29"/>
  <c r="B165" i="29"/>
  <c r="B166" i="29"/>
  <c r="B167" i="29"/>
  <c r="B168" i="29"/>
  <c r="B169" i="29"/>
  <c r="B170" i="29"/>
  <c r="B171" i="29"/>
  <c r="B172" i="29"/>
  <c r="B173" i="29"/>
  <c r="K173" i="29"/>
  <c r="K172" i="29"/>
  <c r="K171" i="29"/>
  <c r="K170" i="29"/>
  <c r="K169" i="29"/>
  <c r="K168" i="29"/>
  <c r="K167" i="29"/>
  <c r="K166" i="29"/>
  <c r="K165" i="29"/>
  <c r="K164" i="29"/>
  <c r="K163" i="29"/>
  <c r="K162" i="29"/>
  <c r="K161" i="29"/>
  <c r="K160" i="29"/>
  <c r="K159" i="29"/>
  <c r="K158" i="29"/>
  <c r="K157" i="29"/>
  <c r="K156" i="29"/>
  <c r="K155" i="29"/>
  <c r="K154" i="29"/>
  <c r="K153" i="29"/>
  <c r="K152" i="29"/>
  <c r="K151" i="29"/>
  <c r="K150" i="29"/>
  <c r="K149" i="29"/>
  <c r="K148" i="29"/>
  <c r="K147" i="29"/>
  <c r="K146" i="29"/>
  <c r="K145" i="29"/>
  <c r="K144" i="29"/>
  <c r="K143" i="29"/>
  <c r="K142" i="29"/>
  <c r="K141" i="29"/>
  <c r="K140" i="29"/>
  <c r="K139" i="29"/>
  <c r="K138" i="29"/>
  <c r="K137" i="29"/>
  <c r="K136" i="29"/>
  <c r="K135" i="29"/>
  <c r="K134" i="29"/>
  <c r="K133" i="29"/>
  <c r="K132" i="29"/>
  <c r="K131" i="29"/>
  <c r="K130" i="29"/>
  <c r="K129" i="29"/>
  <c r="K128" i="29"/>
  <c r="K127" i="29"/>
  <c r="K126" i="29"/>
  <c r="K125" i="29"/>
  <c r="K124" i="29"/>
  <c r="K123" i="29"/>
  <c r="K122" i="29"/>
  <c r="K121" i="29"/>
  <c r="K120" i="29"/>
  <c r="K119" i="29"/>
  <c r="K118" i="29"/>
  <c r="K117" i="29"/>
  <c r="K116" i="29"/>
  <c r="K115" i="29"/>
  <c r="K114" i="29"/>
  <c r="K113" i="29"/>
  <c r="K112" i="29"/>
  <c r="K111" i="29"/>
  <c r="K110" i="29"/>
  <c r="K109" i="29"/>
  <c r="K108" i="29"/>
  <c r="K107" i="29"/>
  <c r="K106" i="29"/>
  <c r="K105" i="29"/>
  <c r="K104" i="29"/>
  <c r="K103" i="29"/>
  <c r="K102" i="29"/>
  <c r="K101" i="29"/>
  <c r="K100" i="29"/>
  <c r="K99" i="29"/>
  <c r="K98" i="29"/>
  <c r="K97" i="29"/>
  <c r="K96" i="29"/>
  <c r="K95" i="29"/>
  <c r="K94" i="29"/>
  <c r="K93" i="29"/>
  <c r="K92" i="29"/>
  <c r="K91" i="29"/>
  <c r="K90" i="29"/>
  <c r="K89" i="29"/>
  <c r="K88" i="29"/>
  <c r="K87" i="29"/>
  <c r="K86" i="29"/>
  <c r="K85" i="29"/>
  <c r="K84" i="29"/>
  <c r="K83" i="29"/>
  <c r="K82" i="29"/>
  <c r="K81" i="29"/>
  <c r="K80" i="29"/>
  <c r="K79" i="29"/>
  <c r="K78" i="29"/>
  <c r="K77" i="29"/>
  <c r="K76" i="29"/>
  <c r="K75" i="29"/>
  <c r="K74" i="29"/>
  <c r="K73" i="29"/>
  <c r="K72" i="29"/>
  <c r="K71" i="29"/>
  <c r="K70" i="29"/>
  <c r="K69" i="29"/>
  <c r="K68" i="29"/>
  <c r="K67" i="29"/>
  <c r="K66" i="29"/>
  <c r="K65" i="29"/>
  <c r="K64" i="29"/>
  <c r="K63" i="29"/>
  <c r="K62" i="29"/>
  <c r="K61" i="29"/>
  <c r="K60" i="29"/>
  <c r="K59" i="29"/>
  <c r="K58" i="29"/>
  <c r="K57" i="29"/>
  <c r="K56" i="29"/>
  <c r="K55" i="29"/>
  <c r="K54" i="29"/>
  <c r="K53" i="29"/>
  <c r="K52" i="29"/>
  <c r="K51" i="29"/>
  <c r="K50" i="29"/>
  <c r="K49" i="29"/>
  <c r="K48" i="29"/>
  <c r="K47" i="29"/>
  <c r="K46" i="29"/>
  <c r="K45" i="29"/>
  <c r="K44" i="29"/>
  <c r="K43" i="29"/>
  <c r="K42" i="29"/>
  <c r="K41" i="29"/>
  <c r="K40" i="29"/>
  <c r="K39" i="29"/>
  <c r="K38" i="29"/>
  <c r="K37" i="29"/>
  <c r="K36" i="29"/>
  <c r="K35" i="29"/>
  <c r="K34" i="29"/>
  <c r="K33" i="29"/>
  <c r="K32" i="29"/>
  <c r="K31" i="29"/>
  <c r="K30" i="29"/>
  <c r="K29" i="29"/>
  <c r="K28" i="29"/>
  <c r="K27" i="29"/>
  <c r="K26" i="29"/>
  <c r="K25" i="29"/>
  <c r="K24" i="29"/>
  <c r="K23" i="29"/>
  <c r="K22" i="29"/>
  <c r="K21" i="29"/>
  <c r="K20" i="29"/>
  <c r="K19" i="29"/>
  <c r="K18" i="29"/>
  <c r="K17" i="29"/>
  <c r="K16" i="29"/>
  <c r="K15" i="29"/>
  <c r="K14" i="29"/>
  <c r="K13" i="29"/>
  <c r="J12" i="58"/>
  <c r="I12" i="58"/>
  <c r="J11" i="58"/>
  <c r="I11" i="58"/>
  <c r="J10" i="58"/>
  <c r="I10" i="58"/>
  <c r="J9" i="58"/>
  <c r="I9" i="58"/>
  <c r="J8" i="58"/>
  <c r="I8" i="58"/>
  <c r="J7" i="58"/>
  <c r="I7" i="58"/>
  <c r="J6" i="58"/>
  <c r="I6" i="58"/>
  <c r="J5" i="58"/>
  <c r="I5" i="58"/>
  <c r="J4" i="58"/>
  <c r="I4" i="58"/>
  <c r="J3" i="58"/>
  <c r="I3" i="58"/>
  <c r="J2" i="58"/>
  <c r="I2" i="58"/>
  <c r="H12" i="58"/>
  <c r="H11" i="58"/>
  <c r="H10" i="58"/>
  <c r="H9" i="58"/>
  <c r="H8" i="58"/>
  <c r="H7" i="58"/>
  <c r="H6" i="58"/>
  <c r="H5" i="58"/>
  <c r="H4" i="58"/>
  <c r="AI323" i="56"/>
  <c r="AG159" i="56"/>
  <c r="AG160" i="56"/>
  <c r="AG161" i="56"/>
  <c r="AG162" i="56"/>
  <c r="AG163" i="56"/>
  <c r="AG164" i="56"/>
  <c r="AG165" i="56"/>
  <c r="AG166" i="56"/>
  <c r="AG167" i="56"/>
  <c r="AG168" i="56"/>
  <c r="AG169" i="56"/>
  <c r="AG170" i="56"/>
  <c r="AG171" i="56"/>
  <c r="AG172" i="56"/>
  <c r="AG173" i="56"/>
  <c r="AG174" i="56"/>
  <c r="AG175" i="56"/>
  <c r="AG176" i="56"/>
  <c r="AG177" i="56"/>
  <c r="AG178" i="56"/>
  <c r="AG179" i="56"/>
  <c r="AG180" i="56"/>
  <c r="AG181" i="56"/>
  <c r="AG182" i="56"/>
  <c r="AG183" i="56"/>
  <c r="AG184" i="56"/>
  <c r="AG185" i="56"/>
  <c r="AG186" i="56"/>
  <c r="AG187" i="56"/>
  <c r="AG188" i="56"/>
  <c r="AG189" i="56"/>
  <c r="AG190" i="56"/>
  <c r="AG191" i="56"/>
  <c r="AG192" i="56"/>
  <c r="AG193" i="56"/>
  <c r="AG194" i="56"/>
  <c r="AG195" i="56"/>
  <c r="AG196" i="56"/>
  <c r="AG197" i="56"/>
  <c r="AG198" i="56"/>
  <c r="AG199" i="56"/>
  <c r="AG200" i="56"/>
  <c r="AG201" i="56"/>
  <c r="AG202" i="56"/>
  <c r="AG203" i="56"/>
  <c r="AG204" i="56"/>
  <c r="AG205" i="56"/>
  <c r="AG206" i="56"/>
  <c r="AG207" i="56"/>
  <c r="AG208" i="56"/>
  <c r="AG209" i="56"/>
  <c r="AG210" i="56"/>
  <c r="AG211" i="56"/>
  <c r="AG212" i="56"/>
  <c r="AG213" i="56"/>
  <c r="AG214" i="56"/>
  <c r="AG215" i="56"/>
  <c r="AG216" i="56"/>
  <c r="AG217" i="56"/>
  <c r="AG218" i="56"/>
  <c r="AG219" i="56"/>
  <c r="AG220" i="56"/>
  <c r="AG221" i="56"/>
  <c r="AG222" i="56"/>
  <c r="AG223" i="56"/>
  <c r="AG224" i="56"/>
  <c r="AG225" i="56"/>
  <c r="AG226" i="56"/>
  <c r="AG227" i="56"/>
  <c r="AG228" i="56"/>
  <c r="AG229" i="56"/>
  <c r="AG230" i="56"/>
  <c r="AG231" i="56"/>
  <c r="AG232" i="56"/>
  <c r="AG233" i="56"/>
  <c r="AG234" i="56"/>
  <c r="AG235" i="56"/>
  <c r="AG236" i="56"/>
  <c r="AG237" i="56"/>
  <c r="AG238" i="56"/>
  <c r="AG239" i="56"/>
  <c r="AG240" i="56"/>
  <c r="AG241" i="56"/>
  <c r="AG242" i="56"/>
  <c r="AG243" i="56"/>
  <c r="AG244" i="56"/>
  <c r="AG245" i="56"/>
  <c r="AG246" i="56"/>
  <c r="AG247" i="56"/>
  <c r="AG248" i="56"/>
  <c r="AG249" i="56"/>
  <c r="AG250" i="56"/>
  <c r="AG251" i="56"/>
  <c r="AG252" i="56"/>
  <c r="AG253" i="56"/>
  <c r="AG254" i="56"/>
  <c r="AG255" i="56"/>
  <c r="AG256" i="56"/>
  <c r="AG257" i="56"/>
  <c r="AG258" i="56"/>
  <c r="AG259" i="56"/>
  <c r="AG260" i="56"/>
  <c r="AG261" i="56"/>
  <c r="AG262" i="56"/>
  <c r="AG263" i="56"/>
  <c r="AG264" i="56"/>
  <c r="AG265" i="56"/>
  <c r="AG266" i="56"/>
  <c r="AG267" i="56"/>
  <c r="AG268" i="56"/>
  <c r="AG269" i="56"/>
  <c r="AG270" i="56"/>
  <c r="AG271" i="56"/>
  <c r="AG272" i="56"/>
  <c r="AG273" i="56"/>
  <c r="AG274" i="56"/>
  <c r="AG275" i="56"/>
  <c r="AG276" i="56"/>
  <c r="AG277" i="56"/>
  <c r="AG278" i="56"/>
  <c r="AG279" i="56"/>
  <c r="AG280" i="56"/>
  <c r="AG281" i="56"/>
  <c r="AG282" i="56"/>
  <c r="AG283" i="56"/>
  <c r="AG284" i="56"/>
  <c r="AG285" i="56"/>
  <c r="AG286" i="56"/>
  <c r="AG287" i="56"/>
  <c r="AG288" i="56"/>
  <c r="AG289" i="56"/>
  <c r="AG290" i="56"/>
  <c r="AG291" i="56"/>
  <c r="AG292" i="56"/>
  <c r="AG293" i="56"/>
  <c r="AG294" i="56"/>
  <c r="AG295" i="56"/>
  <c r="AG296" i="56"/>
  <c r="AG297" i="56"/>
  <c r="AG298" i="56"/>
  <c r="AG299" i="56"/>
  <c r="AG300" i="56"/>
  <c r="AG301" i="56"/>
  <c r="AG302" i="56"/>
  <c r="AG303" i="56"/>
  <c r="AG304" i="56"/>
  <c r="AG305" i="56"/>
  <c r="AG306" i="56"/>
  <c r="AG307" i="56"/>
  <c r="AG308" i="56"/>
  <c r="AG309" i="56"/>
  <c r="AG310" i="56"/>
  <c r="AG311" i="56"/>
  <c r="AG312" i="56"/>
  <c r="AG313" i="56"/>
  <c r="AG314" i="56"/>
  <c r="AG315" i="56"/>
  <c r="AG316" i="56"/>
  <c r="AG317" i="56"/>
  <c r="AG318" i="56"/>
  <c r="AG323" i="56"/>
  <c r="T322" i="56"/>
  <c r="S322" i="56"/>
  <c r="R322" i="56"/>
  <c r="Q322" i="56"/>
  <c r="M322" i="56"/>
  <c r="M320" i="56"/>
  <c r="O320" i="56"/>
  <c r="P320" i="56"/>
  <c r="Q320" i="56"/>
  <c r="R320" i="56"/>
  <c r="S320" i="56"/>
  <c r="T320" i="56"/>
  <c r="M321" i="56"/>
  <c r="N320" i="56"/>
  <c r="AP318" i="56"/>
  <c r="A159" i="56"/>
  <c r="A160" i="56"/>
  <c r="A161" i="56"/>
  <c r="A162" i="56"/>
  <c r="A163" i="56"/>
  <c r="A164" i="56"/>
  <c r="A165" i="56"/>
  <c r="A166" i="56"/>
  <c r="A167" i="56"/>
  <c r="A168" i="56"/>
  <c r="A169" i="56"/>
  <c r="A170" i="56"/>
  <c r="A171" i="56"/>
  <c r="A172" i="56"/>
  <c r="A173" i="56"/>
  <c r="A174" i="56"/>
  <c r="A175" i="56"/>
  <c r="A176" i="56"/>
  <c r="A177" i="56"/>
  <c r="A178" i="56"/>
  <c r="A179" i="56"/>
  <c r="A180" i="56"/>
  <c r="A181" i="56"/>
  <c r="A182" i="56"/>
  <c r="A183" i="56"/>
  <c r="A184" i="56"/>
  <c r="A185" i="56"/>
  <c r="A186" i="56"/>
  <c r="A187" i="56"/>
  <c r="A188" i="56"/>
  <c r="A189" i="56"/>
  <c r="A190" i="56"/>
  <c r="A191" i="56"/>
  <c r="A192" i="56"/>
  <c r="A193" i="56"/>
  <c r="A194" i="56"/>
  <c r="A195" i="56"/>
  <c r="A196" i="56"/>
  <c r="A197" i="56"/>
  <c r="A198" i="56"/>
  <c r="A199" i="56"/>
  <c r="A200" i="56"/>
  <c r="A201" i="56"/>
  <c r="A202" i="56"/>
  <c r="A203" i="56"/>
  <c r="A204" i="56"/>
  <c r="A205" i="56"/>
  <c r="A206" i="56"/>
  <c r="A207" i="56"/>
  <c r="A208" i="56"/>
  <c r="A209" i="56"/>
  <c r="A210" i="56"/>
  <c r="A211" i="56"/>
  <c r="A212" i="56"/>
  <c r="A213" i="56"/>
  <c r="A214" i="56"/>
  <c r="A215" i="56"/>
  <c r="A216" i="56"/>
  <c r="A217" i="56"/>
  <c r="A218" i="56"/>
  <c r="A219" i="56"/>
  <c r="A220" i="56"/>
  <c r="A221" i="56"/>
  <c r="A222" i="56"/>
  <c r="A223" i="56"/>
  <c r="A224" i="56"/>
  <c r="A225" i="56"/>
  <c r="A226" i="56"/>
  <c r="A227" i="56"/>
  <c r="A228" i="56"/>
  <c r="A229" i="56"/>
  <c r="A230" i="56"/>
  <c r="A231" i="56"/>
  <c r="A232" i="56"/>
  <c r="A233" i="56"/>
  <c r="A234" i="56"/>
  <c r="A235" i="56"/>
  <c r="A236" i="56"/>
  <c r="A237" i="56"/>
  <c r="A238" i="56"/>
  <c r="A239" i="56"/>
  <c r="A240" i="56"/>
  <c r="A241" i="56"/>
  <c r="A242" i="56"/>
  <c r="A243" i="56"/>
  <c r="A244" i="56"/>
  <c r="A245" i="56"/>
  <c r="A246" i="56"/>
  <c r="A247" i="56"/>
  <c r="A248" i="56"/>
  <c r="A249" i="56"/>
  <c r="A250" i="56"/>
  <c r="A251" i="56"/>
  <c r="A252" i="56"/>
  <c r="A253" i="56"/>
  <c r="A254" i="56"/>
  <c r="A255" i="56"/>
  <c r="A256" i="56"/>
  <c r="A257" i="56"/>
  <c r="A258" i="56"/>
  <c r="A259" i="56"/>
  <c r="A260" i="56"/>
  <c r="A261" i="56"/>
  <c r="A262" i="56"/>
  <c r="A263" i="56"/>
  <c r="A264" i="56"/>
  <c r="A265" i="56"/>
  <c r="A266" i="56"/>
  <c r="A267" i="56"/>
  <c r="A268" i="56"/>
  <c r="A269" i="56"/>
  <c r="A270" i="56"/>
  <c r="A271" i="56"/>
  <c r="A272" i="56"/>
  <c r="A273" i="56"/>
  <c r="A274" i="56"/>
  <c r="A275" i="56"/>
  <c r="A276" i="56"/>
  <c r="A277" i="56"/>
  <c r="A278" i="56"/>
  <c r="A279" i="56"/>
  <c r="A280" i="56"/>
  <c r="A281" i="56"/>
  <c r="A282" i="56"/>
  <c r="A283" i="56"/>
  <c r="A284" i="56"/>
  <c r="A285" i="56"/>
  <c r="A286" i="56"/>
  <c r="A287" i="56"/>
  <c r="A288" i="56"/>
  <c r="A289" i="56"/>
  <c r="A290" i="56"/>
  <c r="A291" i="56"/>
  <c r="A292" i="56"/>
  <c r="A293" i="56"/>
  <c r="A294" i="56"/>
  <c r="A295" i="56"/>
  <c r="A296" i="56"/>
  <c r="A297" i="56"/>
  <c r="A298" i="56"/>
  <c r="A299" i="56"/>
  <c r="A300" i="56"/>
  <c r="A301" i="56"/>
  <c r="A302" i="56"/>
  <c r="A303" i="56"/>
  <c r="A304" i="56"/>
  <c r="A305" i="56"/>
  <c r="A306" i="56"/>
  <c r="A307" i="56"/>
  <c r="A308" i="56"/>
  <c r="A309" i="56"/>
  <c r="A310" i="56"/>
  <c r="A311" i="56"/>
  <c r="A312" i="56"/>
  <c r="A313" i="56"/>
  <c r="A314" i="56"/>
  <c r="A315" i="56"/>
  <c r="A316" i="56"/>
  <c r="A317" i="56"/>
  <c r="A318" i="56"/>
  <c r="AE318" i="56"/>
  <c r="AP317" i="56"/>
  <c r="AE317" i="56"/>
  <c r="AP316" i="56"/>
  <c r="AE316" i="56"/>
  <c r="AP315" i="56"/>
  <c r="AE315" i="56"/>
  <c r="AP314" i="56"/>
  <c r="AE314" i="56"/>
  <c r="AP313" i="56"/>
  <c r="AE313" i="56"/>
  <c r="AP312" i="56"/>
  <c r="AE312" i="56"/>
  <c r="AP311" i="56"/>
  <c r="AE311" i="56"/>
  <c r="AP310" i="56"/>
  <c r="AE310" i="56"/>
  <c r="AP309" i="56"/>
  <c r="AE309" i="56"/>
  <c r="AP308" i="56"/>
  <c r="AE308" i="56"/>
  <c r="AP307" i="56"/>
  <c r="AE307" i="56"/>
  <c r="AP306" i="56"/>
  <c r="AE306" i="56"/>
  <c r="AP305" i="56"/>
  <c r="AE305" i="56"/>
  <c r="AP304" i="56"/>
  <c r="AE304" i="56"/>
  <c r="AP303" i="56"/>
  <c r="AE303" i="56"/>
  <c r="AP302" i="56"/>
  <c r="AE302" i="56"/>
  <c r="AP301" i="56"/>
  <c r="AE301" i="56"/>
  <c r="AP300" i="56"/>
  <c r="AE300" i="56"/>
  <c r="AP299" i="56"/>
  <c r="AE299" i="56"/>
  <c r="AP298" i="56"/>
  <c r="AE298" i="56"/>
  <c r="AP297" i="56"/>
  <c r="AE297" i="56"/>
  <c r="AP296" i="56"/>
  <c r="AE296" i="56"/>
  <c r="AP295" i="56"/>
  <c r="AE295" i="56"/>
  <c r="AP294" i="56"/>
  <c r="AE294" i="56"/>
  <c r="AP293" i="56"/>
  <c r="AE293" i="56"/>
  <c r="AP292" i="56"/>
  <c r="AE292" i="56"/>
  <c r="AP291" i="56"/>
  <c r="AE291" i="56"/>
  <c r="AP290" i="56"/>
  <c r="AE290" i="56"/>
  <c r="AP289" i="56"/>
  <c r="AE289" i="56"/>
  <c r="AP288" i="56"/>
  <c r="AE288" i="56"/>
  <c r="AP287" i="56"/>
  <c r="AE287" i="56"/>
  <c r="AP286" i="56"/>
  <c r="AE286" i="56"/>
  <c r="AP285" i="56"/>
  <c r="AE285" i="56"/>
  <c r="AP284" i="56"/>
  <c r="AE284" i="56"/>
  <c r="AP283" i="56"/>
  <c r="AE283" i="56"/>
  <c r="AP282" i="56"/>
  <c r="AE282" i="56"/>
  <c r="AP281" i="56"/>
  <c r="AE281" i="56"/>
  <c r="AP280" i="56"/>
  <c r="AE280" i="56"/>
  <c r="AP279" i="56"/>
  <c r="AE279" i="56"/>
  <c r="AP278" i="56"/>
  <c r="AE278" i="56"/>
  <c r="AP277" i="56"/>
  <c r="AE277" i="56"/>
  <c r="AP276" i="56"/>
  <c r="AE276" i="56"/>
  <c r="AP275" i="56"/>
  <c r="AE275" i="56"/>
  <c r="AP274" i="56"/>
  <c r="AE274" i="56"/>
  <c r="AP273" i="56"/>
  <c r="AE273" i="56"/>
  <c r="AP272" i="56"/>
  <c r="AE272" i="56"/>
  <c r="AP271" i="56"/>
  <c r="AE271" i="56"/>
  <c r="AP270" i="56"/>
  <c r="AE270" i="56"/>
  <c r="AP269" i="56"/>
  <c r="AE269" i="56"/>
  <c r="AP268" i="56"/>
  <c r="AE268" i="56"/>
  <c r="AP267" i="56"/>
  <c r="AE267" i="56"/>
  <c r="AP266" i="56"/>
  <c r="AE266" i="56"/>
  <c r="AP265" i="56"/>
  <c r="AE265" i="56"/>
  <c r="AP264" i="56"/>
  <c r="AE264" i="56"/>
  <c r="AP263" i="56"/>
  <c r="AE263" i="56"/>
  <c r="AP262" i="56"/>
  <c r="AE262" i="56"/>
  <c r="AP261" i="56"/>
  <c r="AE261" i="56"/>
  <c r="AP260" i="56"/>
  <c r="AE260" i="56"/>
  <c r="AP259" i="56"/>
  <c r="AE259" i="56"/>
  <c r="AP258" i="56"/>
  <c r="AE258" i="56"/>
  <c r="AP257" i="56"/>
  <c r="AE257" i="56"/>
  <c r="AP256" i="56"/>
  <c r="AE256" i="56"/>
  <c r="AP255" i="56"/>
  <c r="AE255" i="56"/>
  <c r="AP254" i="56"/>
  <c r="AE254" i="56"/>
  <c r="AP253" i="56"/>
  <c r="AE253" i="56"/>
  <c r="AP252" i="56"/>
  <c r="AE252" i="56"/>
  <c r="AP251" i="56"/>
  <c r="AE251" i="56"/>
  <c r="AP250" i="56"/>
  <c r="AE250" i="56"/>
  <c r="AP249" i="56"/>
  <c r="AE249" i="56"/>
  <c r="AP248" i="56"/>
  <c r="AE248" i="56"/>
  <c r="AP247" i="56"/>
  <c r="AE247" i="56"/>
  <c r="AP246" i="56"/>
  <c r="AE246" i="56"/>
  <c r="AP245" i="56"/>
  <c r="AE245" i="56"/>
  <c r="AP244" i="56"/>
  <c r="AE244" i="56"/>
  <c r="AP243" i="56"/>
  <c r="AE243" i="56"/>
  <c r="AP242" i="56"/>
  <c r="AE242" i="56"/>
  <c r="AP241" i="56"/>
  <c r="AE241" i="56"/>
  <c r="AP240" i="56"/>
  <c r="AE240" i="56"/>
  <c r="AP239" i="56"/>
  <c r="AE239" i="56"/>
  <c r="AP238" i="56"/>
  <c r="AE238" i="56"/>
  <c r="AP237" i="56"/>
  <c r="AE237" i="56"/>
  <c r="AP236" i="56"/>
  <c r="AE236" i="56"/>
  <c r="AP235" i="56"/>
  <c r="AE235" i="56"/>
  <c r="AP234" i="56"/>
  <c r="AE234" i="56"/>
  <c r="AP233" i="56"/>
  <c r="AE233" i="56"/>
  <c r="AP232" i="56"/>
  <c r="AE232" i="56"/>
  <c r="AP231" i="56"/>
  <c r="AE231" i="56"/>
  <c r="AP230" i="56"/>
  <c r="AE230" i="56"/>
  <c r="AP229" i="56"/>
  <c r="AE229" i="56"/>
  <c r="AP228" i="56"/>
  <c r="AE228" i="56"/>
  <c r="AP227" i="56"/>
  <c r="AE227" i="56"/>
  <c r="AP226" i="56"/>
  <c r="AE226" i="56"/>
  <c r="AP225" i="56"/>
  <c r="AE225" i="56"/>
  <c r="AP224" i="56"/>
  <c r="AE224" i="56"/>
  <c r="AP223" i="56"/>
  <c r="AE223" i="56"/>
  <c r="AP222" i="56"/>
  <c r="AE222" i="56"/>
  <c r="AP221" i="56"/>
  <c r="AE221" i="56"/>
  <c r="AP220" i="56"/>
  <c r="AE220" i="56"/>
  <c r="AP219" i="56"/>
  <c r="AE219" i="56"/>
  <c r="AP218" i="56"/>
  <c r="AE218" i="56"/>
  <c r="AP217" i="56"/>
  <c r="AE217" i="56"/>
  <c r="AP216" i="56"/>
  <c r="AE216" i="56"/>
  <c r="AP215" i="56"/>
  <c r="AE215" i="56"/>
  <c r="AP214" i="56"/>
  <c r="AE214" i="56"/>
  <c r="AP213" i="56"/>
  <c r="AE213" i="56"/>
  <c r="AP212" i="56"/>
  <c r="AE212" i="56"/>
  <c r="AP211" i="56"/>
  <c r="AE211" i="56"/>
  <c r="AP210" i="56"/>
  <c r="AE210" i="56"/>
  <c r="AP209" i="56"/>
  <c r="AE209" i="56"/>
  <c r="AP208" i="56"/>
  <c r="AE208" i="56"/>
  <c r="AP207" i="56"/>
  <c r="AE207" i="56"/>
  <c r="AP206" i="56"/>
  <c r="AE206" i="56"/>
  <c r="AP205" i="56"/>
  <c r="AE205" i="56"/>
  <c r="AP204" i="56"/>
  <c r="AE204" i="56"/>
  <c r="AP203" i="56"/>
  <c r="AE203" i="56"/>
  <c r="AP202" i="56"/>
  <c r="AE202" i="56"/>
  <c r="AP201" i="56"/>
  <c r="AE201" i="56"/>
  <c r="AP200" i="56"/>
  <c r="AE200" i="56"/>
  <c r="AP199" i="56"/>
  <c r="AE199" i="56"/>
  <c r="AP198" i="56"/>
  <c r="AE198" i="56"/>
  <c r="AP197" i="56"/>
  <c r="AE197" i="56"/>
  <c r="AP196" i="56"/>
  <c r="AE196" i="56"/>
  <c r="AP195" i="56"/>
  <c r="AE195" i="56"/>
  <c r="AP194" i="56"/>
  <c r="AE194" i="56"/>
  <c r="AP193" i="56"/>
  <c r="AE193" i="56"/>
  <c r="AP192" i="56"/>
  <c r="AE192" i="56"/>
  <c r="AP191" i="56"/>
  <c r="AE191" i="56"/>
  <c r="AP190" i="56"/>
  <c r="AE190" i="56"/>
  <c r="AP189" i="56"/>
  <c r="AE189" i="56"/>
  <c r="AP188" i="56"/>
  <c r="AE188" i="56"/>
  <c r="AP187" i="56"/>
  <c r="AE187" i="56"/>
  <c r="AP186" i="56"/>
  <c r="AE186" i="56"/>
  <c r="AP185" i="56"/>
  <c r="AE185" i="56"/>
  <c r="AP184" i="56"/>
  <c r="AE184" i="56"/>
  <c r="AP183" i="56"/>
  <c r="AE183" i="56"/>
  <c r="AP182" i="56"/>
  <c r="AE182" i="56"/>
  <c r="AP181" i="56"/>
  <c r="AE181" i="56"/>
  <c r="AP180" i="56"/>
  <c r="AE180" i="56"/>
  <c r="AP179" i="56"/>
  <c r="AE179" i="56"/>
  <c r="AP178" i="56"/>
  <c r="AE178" i="56"/>
  <c r="AP177" i="56"/>
  <c r="AE177" i="56"/>
  <c r="AP176" i="56"/>
  <c r="AE176" i="56"/>
  <c r="AP175" i="56"/>
  <c r="AE175" i="56"/>
  <c r="AP174" i="56"/>
  <c r="AE174" i="56"/>
  <c r="AP173" i="56"/>
  <c r="AE173" i="56"/>
  <c r="AP172" i="56"/>
  <c r="AE172" i="56"/>
  <c r="AP171" i="56"/>
  <c r="AE171" i="56"/>
  <c r="AP170" i="56"/>
  <c r="AE170" i="56"/>
  <c r="AP169" i="56"/>
  <c r="AE169" i="56"/>
  <c r="AP168" i="56"/>
  <c r="AE168" i="56"/>
  <c r="AP167" i="56"/>
  <c r="AE167" i="56"/>
  <c r="AP166" i="56"/>
  <c r="AE166" i="56"/>
  <c r="AP165" i="56"/>
  <c r="AE165" i="56"/>
  <c r="AP164" i="56"/>
  <c r="AE164" i="56"/>
  <c r="AP163" i="56"/>
  <c r="AE163" i="56"/>
  <c r="AP162" i="56"/>
  <c r="AE162" i="56"/>
  <c r="AP161" i="56"/>
  <c r="AE161" i="56"/>
  <c r="AP160" i="56"/>
  <c r="AE160" i="56"/>
  <c r="AP159" i="56"/>
  <c r="AE159" i="56"/>
  <c r="AP158" i="56"/>
  <c r="AE158" i="56"/>
  <c r="A157" i="56"/>
  <c r="AE157" i="56"/>
  <c r="A156" i="56"/>
  <c r="AE156" i="56"/>
  <c r="A155" i="56"/>
  <c r="AE155" i="56"/>
  <c r="A154" i="56"/>
  <c r="AE154" i="56"/>
  <c r="A153" i="56"/>
  <c r="AE153" i="56"/>
  <c r="A152" i="56"/>
  <c r="AE152" i="56"/>
  <c r="A151" i="56"/>
  <c r="AE151" i="56"/>
  <c r="A150" i="56"/>
  <c r="AE150" i="56"/>
  <c r="A149" i="56"/>
  <c r="AE149" i="56"/>
  <c r="A148" i="56"/>
  <c r="AE148" i="56"/>
  <c r="A147" i="56"/>
  <c r="AE147" i="56"/>
  <c r="A146" i="56"/>
  <c r="AE146" i="56"/>
  <c r="A145" i="56"/>
  <c r="AE145" i="56"/>
  <c r="A144" i="56"/>
  <c r="AE144" i="56"/>
  <c r="A143" i="56"/>
  <c r="AE143" i="56"/>
  <c r="A142" i="56"/>
  <c r="AE142" i="56"/>
  <c r="A141" i="56"/>
  <c r="AE141" i="56"/>
  <c r="A140" i="56"/>
  <c r="AE140" i="56"/>
  <c r="A139" i="56"/>
  <c r="AE139" i="56"/>
  <c r="A138" i="56"/>
  <c r="AE138" i="56"/>
  <c r="A137" i="56"/>
  <c r="AE137" i="56"/>
  <c r="A136" i="56"/>
  <c r="AE136" i="56"/>
  <c r="A135" i="56"/>
  <c r="AE135" i="56"/>
  <c r="A134" i="56"/>
  <c r="AE134" i="56"/>
  <c r="A133" i="56"/>
  <c r="AE133" i="56"/>
  <c r="A132" i="56"/>
  <c r="AE132" i="56"/>
  <c r="A131" i="56"/>
  <c r="AE131" i="56"/>
  <c r="A130" i="56"/>
  <c r="AE130" i="56"/>
  <c r="A129" i="56"/>
  <c r="AE129" i="56"/>
  <c r="A128" i="56"/>
  <c r="AE128" i="56"/>
  <c r="A127" i="56"/>
  <c r="AE127" i="56"/>
  <c r="A126" i="56"/>
  <c r="AE126" i="56"/>
  <c r="A125" i="56"/>
  <c r="AE125" i="56"/>
  <c r="A124" i="56"/>
  <c r="AE124" i="56"/>
  <c r="A123" i="56"/>
  <c r="AE123" i="56"/>
  <c r="A122" i="56"/>
  <c r="AE122" i="56"/>
  <c r="A121" i="56"/>
  <c r="AE121" i="56"/>
  <c r="A120" i="56"/>
  <c r="AE120" i="56"/>
  <c r="A119" i="56"/>
  <c r="AE119" i="56"/>
  <c r="A118" i="56"/>
  <c r="AE118" i="56"/>
  <c r="A117" i="56"/>
  <c r="AE117" i="56"/>
  <c r="A116" i="56"/>
  <c r="AE116" i="56"/>
  <c r="A115" i="56"/>
  <c r="AE115" i="56"/>
  <c r="A114" i="56"/>
  <c r="AE114" i="56"/>
  <c r="A113" i="56"/>
  <c r="AE113" i="56"/>
  <c r="A112" i="56"/>
  <c r="AE112" i="56"/>
  <c r="A111" i="56"/>
  <c r="AE111" i="56"/>
  <c r="A110" i="56"/>
  <c r="AE110" i="56"/>
  <c r="A109" i="56"/>
  <c r="AE109" i="56"/>
  <c r="A108" i="56"/>
  <c r="AE108" i="56"/>
  <c r="A107" i="56"/>
  <c r="AE107" i="56"/>
  <c r="A106" i="56"/>
  <c r="AE106" i="56"/>
  <c r="A105" i="56"/>
  <c r="AE105" i="56"/>
  <c r="A104" i="56"/>
  <c r="AE104" i="56"/>
  <c r="A103" i="56"/>
  <c r="AE103" i="56"/>
  <c r="A102" i="56"/>
  <c r="AE102" i="56"/>
  <c r="A101" i="56"/>
  <c r="AE101" i="56"/>
  <c r="A100" i="56"/>
  <c r="AE100" i="56"/>
  <c r="A99" i="56"/>
  <c r="AE99" i="56"/>
  <c r="A98" i="56"/>
  <c r="AE98" i="56"/>
  <c r="A97" i="56"/>
  <c r="AE97" i="56"/>
  <c r="A96" i="56"/>
  <c r="AE96" i="56"/>
  <c r="A95" i="56"/>
  <c r="AE95" i="56"/>
  <c r="A94" i="56"/>
  <c r="AE94" i="56"/>
  <c r="A93" i="56"/>
  <c r="AE93" i="56"/>
  <c r="A92" i="56"/>
  <c r="AE92" i="56"/>
  <c r="A91" i="56"/>
  <c r="AE91" i="56"/>
  <c r="A90" i="56"/>
  <c r="AE90" i="56"/>
  <c r="A89" i="56"/>
  <c r="AE89" i="56"/>
  <c r="A88" i="56"/>
  <c r="AE88" i="56"/>
  <c r="A87" i="56"/>
  <c r="AE87" i="56"/>
  <c r="A86" i="56"/>
  <c r="AE86" i="56"/>
  <c r="A85" i="56"/>
  <c r="AE85" i="56"/>
  <c r="A84" i="56"/>
  <c r="AE84" i="56"/>
  <c r="A83" i="56"/>
  <c r="AE83" i="56"/>
  <c r="A82" i="56"/>
  <c r="AE82" i="56"/>
  <c r="A81" i="56"/>
  <c r="AE81" i="56"/>
  <c r="A80" i="56"/>
  <c r="AE80" i="56"/>
  <c r="A79" i="56"/>
  <c r="AE79" i="56"/>
  <c r="A78" i="56"/>
  <c r="AE78" i="56"/>
  <c r="AO42" i="56"/>
  <c r="AL41" i="56"/>
  <c r="AK41" i="56"/>
  <c r="Q41" i="56"/>
  <c r="P41" i="56"/>
  <c r="AJ40" i="56"/>
  <c r="AH40" i="56"/>
  <c r="O40" i="56"/>
  <c r="M40" i="56"/>
  <c r="G37" i="56"/>
  <c r="F37" i="56"/>
  <c r="E37" i="56"/>
  <c r="D37" i="56"/>
  <c r="B37" i="56"/>
  <c r="G36" i="56"/>
  <c r="F36" i="56"/>
  <c r="E36" i="56"/>
  <c r="D36" i="56"/>
  <c r="B36" i="56"/>
  <c r="C26" i="56"/>
  <c r="C25" i="56"/>
  <c r="C21" i="56"/>
  <c r="C20" i="56"/>
  <c r="CK323" i="54"/>
  <c r="CI159" i="54"/>
  <c r="CI160" i="54"/>
  <c r="CI161" i="54"/>
  <c r="CI162" i="54"/>
  <c r="CI163" i="54"/>
  <c r="CI164" i="54"/>
  <c r="CI165" i="54"/>
  <c r="CI166" i="54"/>
  <c r="CI167" i="54"/>
  <c r="CI168" i="54"/>
  <c r="CI169" i="54"/>
  <c r="CI170" i="54"/>
  <c r="CI171" i="54"/>
  <c r="CI172" i="54"/>
  <c r="CI173" i="54"/>
  <c r="CI174" i="54"/>
  <c r="CI175" i="54"/>
  <c r="CI176" i="54"/>
  <c r="CI177" i="54"/>
  <c r="CI178" i="54"/>
  <c r="CI179" i="54"/>
  <c r="CI180" i="54"/>
  <c r="CI181" i="54"/>
  <c r="CI182" i="54"/>
  <c r="CI183" i="54"/>
  <c r="CI184" i="54"/>
  <c r="CI185" i="54"/>
  <c r="CI186" i="54"/>
  <c r="CI187" i="54"/>
  <c r="CI188" i="54"/>
  <c r="CI189" i="54"/>
  <c r="CI190" i="54"/>
  <c r="CI191" i="54"/>
  <c r="CI192" i="54"/>
  <c r="CI193" i="54"/>
  <c r="CI194" i="54"/>
  <c r="CI195" i="54"/>
  <c r="CI196" i="54"/>
  <c r="CI197" i="54"/>
  <c r="CI198" i="54"/>
  <c r="CI199" i="54"/>
  <c r="CI200" i="54"/>
  <c r="CI201" i="54"/>
  <c r="CI202" i="54"/>
  <c r="CI203" i="54"/>
  <c r="CI204" i="54"/>
  <c r="CI205" i="54"/>
  <c r="CI206" i="54"/>
  <c r="CI207" i="54"/>
  <c r="CI208" i="54"/>
  <c r="CI209" i="54"/>
  <c r="CI210" i="54"/>
  <c r="CI211" i="54"/>
  <c r="CI212" i="54"/>
  <c r="CI213" i="54"/>
  <c r="CI214" i="54"/>
  <c r="CI215" i="54"/>
  <c r="CI216" i="54"/>
  <c r="CI217" i="54"/>
  <c r="CI218" i="54"/>
  <c r="CI219" i="54"/>
  <c r="CI220" i="54"/>
  <c r="CI221" i="54"/>
  <c r="CI222" i="54"/>
  <c r="CI223" i="54"/>
  <c r="CI224" i="54"/>
  <c r="CI225" i="54"/>
  <c r="CI226" i="54"/>
  <c r="CI227" i="54"/>
  <c r="CI228" i="54"/>
  <c r="CI229" i="54"/>
  <c r="CI230" i="54"/>
  <c r="CI231" i="54"/>
  <c r="CI232" i="54"/>
  <c r="CI233" i="54"/>
  <c r="CI234" i="54"/>
  <c r="CI235" i="54"/>
  <c r="CI236" i="54"/>
  <c r="CI237" i="54"/>
  <c r="CI238" i="54"/>
  <c r="CI239" i="54"/>
  <c r="CI240" i="54"/>
  <c r="CI241" i="54"/>
  <c r="CI242" i="54"/>
  <c r="CI243" i="54"/>
  <c r="CI244" i="54"/>
  <c r="CI245" i="54"/>
  <c r="CI246" i="54"/>
  <c r="CI247" i="54"/>
  <c r="CI248" i="54"/>
  <c r="CI249" i="54"/>
  <c r="CI250" i="54"/>
  <c r="CI251" i="54"/>
  <c r="CI252" i="54"/>
  <c r="CI253" i="54"/>
  <c r="CI254" i="54"/>
  <c r="CI255" i="54"/>
  <c r="CI256" i="54"/>
  <c r="CI257" i="54"/>
  <c r="CI258" i="54"/>
  <c r="CI259" i="54"/>
  <c r="CI260" i="54"/>
  <c r="CI261" i="54"/>
  <c r="CI262" i="54"/>
  <c r="CI263" i="54"/>
  <c r="CI264" i="54"/>
  <c r="CI265" i="54"/>
  <c r="CI266" i="54"/>
  <c r="CI267" i="54"/>
  <c r="CI268" i="54"/>
  <c r="CI269" i="54"/>
  <c r="CI270" i="54"/>
  <c r="CI271" i="54"/>
  <c r="CI272" i="54"/>
  <c r="CI273" i="54"/>
  <c r="CI274" i="54"/>
  <c r="CI275" i="54"/>
  <c r="CI276" i="54"/>
  <c r="CI277" i="54"/>
  <c r="CI278" i="54"/>
  <c r="CI279" i="54"/>
  <c r="CI280" i="54"/>
  <c r="CI281" i="54"/>
  <c r="CI282" i="54"/>
  <c r="CI283" i="54"/>
  <c r="CI284" i="54"/>
  <c r="CI285" i="54"/>
  <c r="CI286" i="54"/>
  <c r="CI287" i="54"/>
  <c r="CI288" i="54"/>
  <c r="CI289" i="54"/>
  <c r="CI290" i="54"/>
  <c r="CI291" i="54"/>
  <c r="CI292" i="54"/>
  <c r="CI293" i="54"/>
  <c r="CI294" i="54"/>
  <c r="CI295" i="54"/>
  <c r="CI296" i="54"/>
  <c r="CI297" i="54"/>
  <c r="CI298" i="54"/>
  <c r="CI299" i="54"/>
  <c r="CI300" i="54"/>
  <c r="CI301" i="54"/>
  <c r="CI302" i="54"/>
  <c r="CI303" i="54"/>
  <c r="CI304" i="54"/>
  <c r="CI305" i="54"/>
  <c r="CI306" i="54"/>
  <c r="CI307" i="54"/>
  <c r="CI308" i="54"/>
  <c r="CI309" i="54"/>
  <c r="CI310" i="54"/>
  <c r="CI311" i="54"/>
  <c r="CI312" i="54"/>
  <c r="CI313" i="54"/>
  <c r="CI314" i="54"/>
  <c r="CI315" i="54"/>
  <c r="CI316" i="54"/>
  <c r="CI317" i="54"/>
  <c r="CI318" i="54"/>
  <c r="CI323" i="54"/>
  <c r="AI323" i="53"/>
  <c r="AG159" i="53"/>
  <c r="AG160" i="53"/>
  <c r="AG161" i="53"/>
  <c r="AG162" i="53"/>
  <c r="AG163" i="53"/>
  <c r="AG164" i="53"/>
  <c r="AG165" i="53"/>
  <c r="AG166" i="53"/>
  <c r="AG167" i="53"/>
  <c r="AG168" i="53"/>
  <c r="AG169" i="53"/>
  <c r="AG170" i="53"/>
  <c r="AG171" i="53"/>
  <c r="AG172" i="53"/>
  <c r="AG173" i="53"/>
  <c r="AG174" i="53"/>
  <c r="AG175" i="53"/>
  <c r="AG176" i="53"/>
  <c r="AG177" i="53"/>
  <c r="AG178" i="53"/>
  <c r="AG179" i="53"/>
  <c r="AG180" i="53"/>
  <c r="AG181" i="53"/>
  <c r="AG182" i="53"/>
  <c r="AG183" i="53"/>
  <c r="AG184" i="53"/>
  <c r="AG185" i="53"/>
  <c r="AG186" i="53"/>
  <c r="AG187" i="53"/>
  <c r="AG188" i="53"/>
  <c r="AG189" i="53"/>
  <c r="AG190" i="53"/>
  <c r="AG191" i="53"/>
  <c r="AG192" i="53"/>
  <c r="AG193" i="53"/>
  <c r="AG194" i="53"/>
  <c r="AG195" i="53"/>
  <c r="AG196" i="53"/>
  <c r="AG197" i="53"/>
  <c r="AG198" i="53"/>
  <c r="AG199" i="53"/>
  <c r="AG200" i="53"/>
  <c r="AG201" i="53"/>
  <c r="AG202" i="53"/>
  <c r="AG203" i="53"/>
  <c r="AG204" i="53"/>
  <c r="AG205" i="53"/>
  <c r="AG206" i="53"/>
  <c r="AG207" i="53"/>
  <c r="AG208" i="53"/>
  <c r="AG209" i="53"/>
  <c r="AG210" i="53"/>
  <c r="AG211" i="53"/>
  <c r="AG212" i="53"/>
  <c r="AG213" i="53"/>
  <c r="AG214" i="53"/>
  <c r="AG215" i="53"/>
  <c r="AG216" i="53"/>
  <c r="AG217" i="53"/>
  <c r="AG218" i="53"/>
  <c r="AG219" i="53"/>
  <c r="AG220" i="53"/>
  <c r="AG221" i="53"/>
  <c r="AG222" i="53"/>
  <c r="AG223" i="53"/>
  <c r="AG224" i="53"/>
  <c r="AG225" i="53"/>
  <c r="AG226" i="53"/>
  <c r="AG227" i="53"/>
  <c r="AG228" i="53"/>
  <c r="AG229" i="53"/>
  <c r="AG230" i="53"/>
  <c r="AG231" i="53"/>
  <c r="AG232" i="53"/>
  <c r="AG233" i="53"/>
  <c r="AG234" i="53"/>
  <c r="AG235" i="53"/>
  <c r="AG236" i="53"/>
  <c r="AG237" i="53"/>
  <c r="AG238" i="53"/>
  <c r="AG239" i="53"/>
  <c r="AG240" i="53"/>
  <c r="AG241" i="53"/>
  <c r="AG242" i="53"/>
  <c r="AG243" i="53"/>
  <c r="AG244" i="53"/>
  <c r="AG245" i="53"/>
  <c r="AG246" i="53"/>
  <c r="AG247" i="53"/>
  <c r="AG248" i="53"/>
  <c r="AG249" i="53"/>
  <c r="AG250" i="53"/>
  <c r="AG251" i="53"/>
  <c r="AG252" i="53"/>
  <c r="AG253" i="53"/>
  <c r="AG254" i="53"/>
  <c r="AG255" i="53"/>
  <c r="AG256" i="53"/>
  <c r="AG257" i="53"/>
  <c r="AG258" i="53"/>
  <c r="AG259" i="53"/>
  <c r="AG260" i="53"/>
  <c r="AG261" i="53"/>
  <c r="AG262" i="53"/>
  <c r="AG263" i="53"/>
  <c r="AG264" i="53"/>
  <c r="AG265" i="53"/>
  <c r="AG266" i="53"/>
  <c r="AG267" i="53"/>
  <c r="AG268" i="53"/>
  <c r="AG269" i="53"/>
  <c r="AG270" i="53"/>
  <c r="AG271" i="53"/>
  <c r="AG272" i="53"/>
  <c r="AG273" i="53"/>
  <c r="AG274" i="53"/>
  <c r="AG275" i="53"/>
  <c r="AG276" i="53"/>
  <c r="AG277" i="53"/>
  <c r="AG278" i="53"/>
  <c r="AG279" i="53"/>
  <c r="AG280" i="53"/>
  <c r="AG281" i="53"/>
  <c r="AG282" i="53"/>
  <c r="AG283" i="53"/>
  <c r="AG284" i="53"/>
  <c r="AG285" i="53"/>
  <c r="AG286" i="53"/>
  <c r="AG287" i="53"/>
  <c r="AG288" i="53"/>
  <c r="AG289" i="53"/>
  <c r="AG290" i="53"/>
  <c r="AG291" i="53"/>
  <c r="AG292" i="53"/>
  <c r="AG293" i="53"/>
  <c r="AG294" i="53"/>
  <c r="AG295" i="53"/>
  <c r="AG296" i="53"/>
  <c r="AG297" i="53"/>
  <c r="AG298" i="53"/>
  <c r="AG299" i="53"/>
  <c r="AG300" i="53"/>
  <c r="AG301" i="53"/>
  <c r="AG302" i="53"/>
  <c r="AG303" i="53"/>
  <c r="AG304" i="53"/>
  <c r="AG305" i="53"/>
  <c r="AG306" i="53"/>
  <c r="AG307" i="53"/>
  <c r="AG308" i="53"/>
  <c r="AG309" i="53"/>
  <c r="AG310" i="53"/>
  <c r="AG311" i="53"/>
  <c r="AG312" i="53"/>
  <c r="AG313" i="53"/>
  <c r="AG314" i="53"/>
  <c r="AG315" i="53"/>
  <c r="AG316" i="53"/>
  <c r="AG317" i="53"/>
  <c r="AG318" i="53"/>
  <c r="AG323" i="53"/>
  <c r="AK323" i="55"/>
  <c r="AM323" i="55"/>
  <c r="Z323" i="35"/>
  <c r="E37" i="53"/>
  <c r="E36" i="53"/>
  <c r="E37" i="55"/>
  <c r="E36" i="55"/>
  <c r="E37" i="35"/>
  <c r="E36" i="35"/>
  <c r="E37" i="54"/>
  <c r="E36" i="54"/>
  <c r="CE42" i="54"/>
  <c r="CB41" i="54"/>
  <c r="CA41" i="54"/>
  <c r="BZ40" i="54"/>
  <c r="BX40" i="54"/>
  <c r="BV42" i="54"/>
  <c r="BS41" i="54"/>
  <c r="BR41" i="54"/>
  <c r="BQ40" i="54"/>
  <c r="BO40" i="54"/>
  <c r="BM42" i="54"/>
  <c r="BJ41" i="54"/>
  <c r="BI41" i="54"/>
  <c r="BH40" i="54"/>
  <c r="BF40" i="54"/>
  <c r="BD42" i="54"/>
  <c r="BA41" i="54"/>
  <c r="AZ41" i="54"/>
  <c r="AY40" i="54"/>
  <c r="AW40" i="54"/>
  <c r="AU42" i="54"/>
  <c r="AR41" i="54"/>
  <c r="AQ41" i="54"/>
  <c r="AP40" i="54"/>
  <c r="AN40" i="54"/>
  <c r="AL42" i="54"/>
  <c r="AI41" i="54"/>
  <c r="AH41" i="54"/>
  <c r="AG40" i="54"/>
  <c r="AE40" i="54"/>
  <c r="AC42" i="54"/>
  <c r="Z41" i="54"/>
  <c r="Y41" i="54"/>
  <c r="X40" i="54"/>
  <c r="V40" i="54"/>
  <c r="Q41" i="54"/>
  <c r="P41" i="54"/>
  <c r="O40" i="54"/>
  <c r="CR318" i="54"/>
  <c r="CR317" i="54"/>
  <c r="CR316" i="54"/>
  <c r="CR315" i="54"/>
  <c r="CR314" i="54"/>
  <c r="CR313" i="54"/>
  <c r="CR312" i="54"/>
  <c r="CR311" i="54"/>
  <c r="CR310" i="54"/>
  <c r="CR309" i="54"/>
  <c r="CR308" i="54"/>
  <c r="CR307" i="54"/>
  <c r="CR306" i="54"/>
  <c r="CR305" i="54"/>
  <c r="CR304" i="54"/>
  <c r="CR303" i="54"/>
  <c r="CR302" i="54"/>
  <c r="CR301" i="54"/>
  <c r="CR300" i="54"/>
  <c r="CR299" i="54"/>
  <c r="CR298" i="54"/>
  <c r="CR297" i="54"/>
  <c r="CR296" i="54"/>
  <c r="CR295" i="54"/>
  <c r="CR294" i="54"/>
  <c r="CR293" i="54"/>
  <c r="CR292" i="54"/>
  <c r="CR291" i="54"/>
  <c r="CR290" i="54"/>
  <c r="CR289" i="54"/>
  <c r="CR288" i="54"/>
  <c r="CR287" i="54"/>
  <c r="CR286" i="54"/>
  <c r="CR285" i="54"/>
  <c r="CR284" i="54"/>
  <c r="CR283" i="54"/>
  <c r="CR282" i="54"/>
  <c r="CR281" i="54"/>
  <c r="CR280" i="54"/>
  <c r="CR279" i="54"/>
  <c r="CR278" i="54"/>
  <c r="CR277" i="54"/>
  <c r="CR276" i="54"/>
  <c r="CR275" i="54"/>
  <c r="CR274" i="54"/>
  <c r="CR273" i="54"/>
  <c r="CR272" i="54"/>
  <c r="CR271" i="54"/>
  <c r="CR270" i="54"/>
  <c r="CR269" i="54"/>
  <c r="CR268" i="54"/>
  <c r="CR267" i="54"/>
  <c r="CR266" i="54"/>
  <c r="CR265" i="54"/>
  <c r="CR264" i="54"/>
  <c r="CR263" i="54"/>
  <c r="CR262" i="54"/>
  <c r="CR261" i="54"/>
  <c r="CR260" i="54"/>
  <c r="CR259" i="54"/>
  <c r="CR258" i="54"/>
  <c r="CR257" i="54"/>
  <c r="CR256" i="54"/>
  <c r="CR255" i="54"/>
  <c r="CR254" i="54"/>
  <c r="CR253" i="54"/>
  <c r="CR252" i="54"/>
  <c r="CR251" i="54"/>
  <c r="CR250" i="54"/>
  <c r="CR249" i="54"/>
  <c r="CR248" i="54"/>
  <c r="CR247" i="54"/>
  <c r="CR246" i="54"/>
  <c r="CR245" i="54"/>
  <c r="CR244" i="54"/>
  <c r="CR243" i="54"/>
  <c r="CR242" i="54"/>
  <c r="CR241" i="54"/>
  <c r="CR240" i="54"/>
  <c r="CR239" i="54"/>
  <c r="CR238" i="54"/>
  <c r="CR237" i="54"/>
  <c r="CR236" i="54"/>
  <c r="CR235" i="54"/>
  <c r="CR234" i="54"/>
  <c r="CR233" i="54"/>
  <c r="CR232" i="54"/>
  <c r="CR231" i="54"/>
  <c r="CR230" i="54"/>
  <c r="CR229" i="54"/>
  <c r="CR228" i="54"/>
  <c r="CR227" i="54"/>
  <c r="CR226" i="54"/>
  <c r="CR225" i="54"/>
  <c r="CR224" i="54"/>
  <c r="CR223" i="54"/>
  <c r="CR222" i="54"/>
  <c r="CR221" i="54"/>
  <c r="CR220" i="54"/>
  <c r="CR219" i="54"/>
  <c r="CR218" i="54"/>
  <c r="CR217" i="54"/>
  <c r="CR216" i="54"/>
  <c r="CR215" i="54"/>
  <c r="CR214" i="54"/>
  <c r="CR213" i="54"/>
  <c r="CR212" i="54"/>
  <c r="CR211" i="54"/>
  <c r="CR210" i="54"/>
  <c r="CR209" i="54"/>
  <c r="CR208" i="54"/>
  <c r="CR207" i="54"/>
  <c r="CR206" i="54"/>
  <c r="CR205" i="54"/>
  <c r="CR204" i="54"/>
  <c r="CR203" i="54"/>
  <c r="CR202" i="54"/>
  <c r="CR201" i="54"/>
  <c r="CR200" i="54"/>
  <c r="CR199" i="54"/>
  <c r="CR198" i="54"/>
  <c r="CR197" i="54"/>
  <c r="CR196" i="54"/>
  <c r="CR195" i="54"/>
  <c r="CR194" i="54"/>
  <c r="CR193" i="54"/>
  <c r="CR192" i="54"/>
  <c r="CR191" i="54"/>
  <c r="CR190" i="54"/>
  <c r="CR189" i="54"/>
  <c r="CR188" i="54"/>
  <c r="CR187" i="54"/>
  <c r="CR186" i="54"/>
  <c r="CR185" i="54"/>
  <c r="CR184" i="54"/>
  <c r="CR183" i="54"/>
  <c r="CR182" i="54"/>
  <c r="CR181" i="54"/>
  <c r="CR180" i="54"/>
  <c r="CR179" i="54"/>
  <c r="CR178" i="54"/>
  <c r="CR177" i="54"/>
  <c r="CR176" i="54"/>
  <c r="CR175" i="54"/>
  <c r="CR174" i="54"/>
  <c r="CR173" i="54"/>
  <c r="CR172" i="54"/>
  <c r="CR171" i="54"/>
  <c r="CR170" i="54"/>
  <c r="CR169" i="54"/>
  <c r="CR168" i="54"/>
  <c r="CR167" i="54"/>
  <c r="CR166" i="54"/>
  <c r="CR165" i="54"/>
  <c r="CR164" i="54"/>
  <c r="CR163" i="54"/>
  <c r="CR162" i="54"/>
  <c r="CR161" i="54"/>
  <c r="CR160" i="54"/>
  <c r="CR159" i="54"/>
  <c r="CR158" i="54"/>
  <c r="CR157" i="54"/>
  <c r="CR156" i="54"/>
  <c r="CR155" i="54"/>
  <c r="CR154" i="54"/>
  <c r="CR153" i="54"/>
  <c r="CR152" i="54"/>
  <c r="CR151" i="54"/>
  <c r="CR150" i="54"/>
  <c r="CR149" i="54"/>
  <c r="CR148" i="54"/>
  <c r="CR147" i="54"/>
  <c r="CR146" i="54"/>
  <c r="CR145" i="54"/>
  <c r="CR144" i="54"/>
  <c r="CR143" i="54"/>
  <c r="CR142" i="54"/>
  <c r="CR141" i="54"/>
  <c r="CR140" i="54"/>
  <c r="CR139" i="54"/>
  <c r="CR138" i="54"/>
  <c r="CR137" i="54"/>
  <c r="CR136" i="54"/>
  <c r="CR135" i="54"/>
  <c r="CR134" i="54"/>
  <c r="CR133" i="54"/>
  <c r="CR132" i="54"/>
  <c r="CR131" i="54"/>
  <c r="CR130" i="54"/>
  <c r="CR129" i="54"/>
  <c r="CR128" i="54"/>
  <c r="CR127" i="54"/>
  <c r="CR126" i="54"/>
  <c r="CR125" i="54"/>
  <c r="CR124" i="54"/>
  <c r="CR123" i="54"/>
  <c r="CR122" i="54"/>
  <c r="CR121" i="54"/>
  <c r="CR120" i="54"/>
  <c r="CR119" i="54"/>
  <c r="CR118" i="54"/>
  <c r="T93" i="29"/>
  <c r="T92" i="29"/>
  <c r="T91" i="29"/>
  <c r="T90" i="29"/>
  <c r="T89" i="29"/>
  <c r="T88" i="29"/>
  <c r="T87" i="29"/>
  <c r="T86" i="29"/>
  <c r="T85" i="29"/>
  <c r="T84" i="29"/>
  <c r="T83" i="29"/>
  <c r="T82" i="29"/>
  <c r="T81" i="29"/>
  <c r="T80" i="29"/>
  <c r="T79" i="29"/>
  <c r="T78" i="29"/>
  <c r="T77" i="29"/>
  <c r="T76" i="29"/>
  <c r="T75" i="29"/>
  <c r="T74" i="29"/>
  <c r="T73" i="29"/>
  <c r="T72" i="29"/>
  <c r="T71" i="29"/>
  <c r="T70" i="29"/>
  <c r="T69" i="29"/>
  <c r="T68" i="29"/>
  <c r="T67" i="29"/>
  <c r="T66" i="29"/>
  <c r="T65" i="29"/>
  <c r="T64" i="29"/>
  <c r="T63" i="29"/>
  <c r="T62" i="29"/>
  <c r="T61" i="29"/>
  <c r="T60" i="29"/>
  <c r="T59" i="29"/>
  <c r="T58" i="29"/>
  <c r="T57" i="29"/>
  <c r="T56" i="29"/>
  <c r="T55" i="29"/>
  <c r="T54" i="29"/>
  <c r="T53" i="29"/>
  <c r="T52" i="29"/>
  <c r="T51" i="29"/>
  <c r="T50" i="29"/>
  <c r="T49" i="29"/>
  <c r="T48" i="29"/>
  <c r="T47" i="29"/>
  <c r="T46" i="29"/>
  <c r="T45" i="29"/>
  <c r="T44" i="29"/>
  <c r="T43" i="29"/>
  <c r="T42" i="29"/>
  <c r="T41" i="29"/>
  <c r="T40" i="29"/>
  <c r="T39" i="29"/>
  <c r="T38" i="29"/>
  <c r="T37" i="29"/>
  <c r="T36" i="29"/>
  <c r="T35" i="29"/>
  <c r="T34" i="29"/>
  <c r="T33" i="29"/>
  <c r="T32" i="29"/>
  <c r="T31" i="29"/>
  <c r="T30" i="29"/>
  <c r="T29" i="29"/>
  <c r="T28" i="29"/>
  <c r="T27" i="29"/>
  <c r="T26" i="29"/>
  <c r="T25" i="29"/>
  <c r="T24" i="29"/>
  <c r="T23" i="29"/>
  <c r="T22" i="29"/>
  <c r="T21" i="29"/>
  <c r="T20" i="29"/>
  <c r="T19" i="29"/>
  <c r="T18" i="29"/>
  <c r="T17" i="29"/>
  <c r="T16" i="29"/>
  <c r="T15" i="29"/>
  <c r="D172" i="29"/>
  <c r="D171" i="29"/>
  <c r="V93" i="29"/>
  <c r="D170" i="29"/>
  <c r="V92" i="29"/>
  <c r="D169" i="29"/>
  <c r="V91" i="29"/>
  <c r="D168" i="29"/>
  <c r="V90" i="29"/>
  <c r="D167" i="29"/>
  <c r="V89" i="29"/>
  <c r="D166" i="29"/>
  <c r="V88" i="29"/>
  <c r="D165" i="29"/>
  <c r="V87" i="29"/>
  <c r="D164" i="29"/>
  <c r="V86" i="29"/>
  <c r="D163" i="29"/>
  <c r="V85" i="29"/>
  <c r="D162" i="29"/>
  <c r="V84" i="29"/>
  <c r="D161" i="29"/>
  <c r="V83" i="29"/>
  <c r="D160" i="29"/>
  <c r="V82" i="29"/>
  <c r="D159" i="29"/>
  <c r="V81" i="29"/>
  <c r="D158" i="29"/>
  <c r="V80" i="29"/>
  <c r="D157" i="29"/>
  <c r="V79" i="29"/>
  <c r="D156" i="29"/>
  <c r="V78" i="29"/>
  <c r="D155" i="29"/>
  <c r="V77" i="29"/>
  <c r="D154" i="29"/>
  <c r="V76" i="29"/>
  <c r="V75" i="29"/>
  <c r="D152" i="29"/>
  <c r="V74" i="29"/>
  <c r="D151" i="29"/>
  <c r="V73" i="29"/>
  <c r="D150" i="29"/>
  <c r="V72" i="29"/>
  <c r="D149" i="29"/>
  <c r="V71" i="29"/>
  <c r="D148" i="29"/>
  <c r="V70" i="29"/>
  <c r="D147" i="29"/>
  <c r="V69" i="29"/>
  <c r="D146" i="29"/>
  <c r="V68" i="29"/>
  <c r="D145" i="29"/>
  <c r="V67" i="29"/>
  <c r="D144" i="29"/>
  <c r="V66" i="29"/>
  <c r="D143" i="29"/>
  <c r="V65" i="29"/>
  <c r="D142" i="29"/>
  <c r="V64" i="29"/>
  <c r="D141" i="29"/>
  <c r="V63" i="29"/>
  <c r="D140" i="29"/>
  <c r="V62" i="29"/>
  <c r="D139" i="29"/>
  <c r="V61" i="29"/>
  <c r="D138" i="29"/>
  <c r="V60" i="29"/>
  <c r="D137" i="29"/>
  <c r="V59" i="29"/>
  <c r="D136" i="29"/>
  <c r="V58" i="29"/>
  <c r="D135" i="29"/>
  <c r="V57" i="29"/>
  <c r="D134" i="29"/>
  <c r="V56" i="29"/>
  <c r="V55" i="29"/>
  <c r="D132" i="29"/>
  <c r="V54" i="29"/>
  <c r="D131" i="29"/>
  <c r="V53" i="29"/>
  <c r="D130" i="29"/>
  <c r="V52" i="29"/>
  <c r="D129" i="29"/>
  <c r="V51" i="29"/>
  <c r="D128" i="29"/>
  <c r="V50" i="29"/>
  <c r="D127" i="29"/>
  <c r="V49" i="29"/>
  <c r="D126" i="29"/>
  <c r="V48" i="29"/>
  <c r="D125" i="29"/>
  <c r="V47" i="29"/>
  <c r="D124" i="29"/>
  <c r="V46" i="29"/>
  <c r="D123" i="29"/>
  <c r="V45" i="29"/>
  <c r="D122" i="29"/>
  <c r="V44" i="29"/>
  <c r="D121" i="29"/>
  <c r="V43" i="29"/>
  <c r="D120" i="29"/>
  <c r="V42" i="29"/>
  <c r="D119" i="29"/>
  <c r="V41" i="29"/>
  <c r="D118" i="29"/>
  <c r="V40" i="29"/>
  <c r="D117" i="29"/>
  <c r="V39" i="29"/>
  <c r="D116" i="29"/>
  <c r="V38" i="29"/>
  <c r="D115" i="29"/>
  <c r="V37" i="29"/>
  <c r="D114" i="29"/>
  <c r="V36" i="29"/>
  <c r="V35" i="29"/>
  <c r="D112" i="29"/>
  <c r="V34" i="29"/>
  <c r="D111" i="29"/>
  <c r="V33" i="29"/>
  <c r="D110" i="29"/>
  <c r="V32" i="29"/>
  <c r="D109" i="29"/>
  <c r="V31" i="29"/>
  <c r="D108" i="29"/>
  <c r="V30" i="29"/>
  <c r="D107" i="29"/>
  <c r="V29" i="29"/>
  <c r="D106" i="29"/>
  <c r="V28" i="29"/>
  <c r="D105" i="29"/>
  <c r="V27" i="29"/>
  <c r="D104" i="29"/>
  <c r="V26" i="29"/>
  <c r="D103" i="29"/>
  <c r="V25" i="29"/>
  <c r="D102" i="29"/>
  <c r="V24" i="29"/>
  <c r="D101" i="29"/>
  <c r="V23" i="29"/>
  <c r="D100" i="29"/>
  <c r="V22" i="29"/>
  <c r="D99" i="29"/>
  <c r="V21" i="29"/>
  <c r="D98" i="29"/>
  <c r="V20" i="29"/>
  <c r="D97" i="29"/>
  <c r="V19" i="29"/>
  <c r="D96" i="29"/>
  <c r="V18" i="29"/>
  <c r="D95" i="29"/>
  <c r="V17" i="29"/>
  <c r="D94" i="29"/>
  <c r="V16" i="29"/>
  <c r="C92" i="29"/>
  <c r="U93" i="29"/>
  <c r="C91" i="29"/>
  <c r="U92" i="29"/>
  <c r="C90" i="29"/>
  <c r="U91" i="29"/>
  <c r="C89" i="29"/>
  <c r="U90" i="29"/>
  <c r="C88" i="29"/>
  <c r="U89" i="29"/>
  <c r="C87" i="29"/>
  <c r="U88" i="29"/>
  <c r="C86" i="29"/>
  <c r="U87" i="29"/>
  <c r="C85" i="29"/>
  <c r="U86" i="29"/>
  <c r="C84" i="29"/>
  <c r="U85" i="29"/>
  <c r="C83" i="29"/>
  <c r="U84" i="29"/>
  <c r="C82" i="29"/>
  <c r="U83" i="29"/>
  <c r="C81" i="29"/>
  <c r="U82" i="29"/>
  <c r="C80" i="29"/>
  <c r="U81" i="29"/>
  <c r="C79" i="29"/>
  <c r="U80" i="29"/>
  <c r="C78" i="29"/>
  <c r="U79" i="29"/>
  <c r="C77" i="29"/>
  <c r="U78" i="29"/>
  <c r="C76" i="29"/>
  <c r="U77" i="29"/>
  <c r="C75" i="29"/>
  <c r="U76" i="29"/>
  <c r="C74" i="29"/>
  <c r="U75" i="29"/>
  <c r="U74" i="29"/>
  <c r="C72" i="29"/>
  <c r="U73" i="29"/>
  <c r="C71" i="29"/>
  <c r="U72" i="29"/>
  <c r="C70" i="29"/>
  <c r="U71" i="29"/>
  <c r="C69" i="29"/>
  <c r="U70" i="29"/>
  <c r="C68" i="29"/>
  <c r="U69" i="29"/>
  <c r="C67" i="29"/>
  <c r="U68" i="29"/>
  <c r="C66" i="29"/>
  <c r="U67" i="29"/>
  <c r="C65" i="29"/>
  <c r="U66" i="29"/>
  <c r="C64" i="29"/>
  <c r="U65" i="29"/>
  <c r="C63" i="29"/>
  <c r="U64" i="29"/>
  <c r="C62" i="29"/>
  <c r="U63" i="29"/>
  <c r="C61" i="29"/>
  <c r="U62" i="29"/>
  <c r="C60" i="29"/>
  <c r="U61" i="29"/>
  <c r="C59" i="29"/>
  <c r="U60" i="29"/>
  <c r="C58" i="29"/>
  <c r="U59" i="29"/>
  <c r="C57" i="29"/>
  <c r="U58" i="29"/>
  <c r="C56" i="29"/>
  <c r="U57" i="29"/>
  <c r="C55" i="29"/>
  <c r="U56" i="29"/>
  <c r="C54" i="29"/>
  <c r="U55" i="29"/>
  <c r="U54" i="29"/>
  <c r="C52" i="29"/>
  <c r="U53" i="29"/>
  <c r="C51" i="29"/>
  <c r="U52" i="29"/>
  <c r="C50" i="29"/>
  <c r="U51" i="29"/>
  <c r="C49" i="29"/>
  <c r="U50" i="29"/>
  <c r="C48" i="29"/>
  <c r="U49" i="29"/>
  <c r="C47" i="29"/>
  <c r="U48" i="29"/>
  <c r="C46" i="29"/>
  <c r="U47" i="29"/>
  <c r="C45" i="29"/>
  <c r="U46" i="29"/>
  <c r="C44" i="29"/>
  <c r="U45" i="29"/>
  <c r="C43" i="29"/>
  <c r="U44" i="29"/>
  <c r="C42" i="29"/>
  <c r="U43" i="29"/>
  <c r="C41" i="29"/>
  <c r="U42" i="29"/>
  <c r="C40" i="29"/>
  <c r="U41" i="29"/>
  <c r="C39" i="29"/>
  <c r="U40" i="29"/>
  <c r="C38" i="29"/>
  <c r="U39" i="29"/>
  <c r="C37" i="29"/>
  <c r="U38" i="29"/>
  <c r="C36" i="29"/>
  <c r="U37" i="29"/>
  <c r="C35" i="29"/>
  <c r="U36" i="29"/>
  <c r="C34" i="29"/>
  <c r="U35" i="29"/>
  <c r="U34" i="29"/>
  <c r="C32" i="29"/>
  <c r="U33" i="29"/>
  <c r="C31" i="29"/>
  <c r="U32" i="29"/>
  <c r="C30" i="29"/>
  <c r="U31" i="29"/>
  <c r="C29" i="29"/>
  <c r="U30" i="29"/>
  <c r="C28" i="29"/>
  <c r="U29" i="29"/>
  <c r="C27" i="29"/>
  <c r="U28" i="29"/>
  <c r="C26" i="29"/>
  <c r="U27" i="29"/>
  <c r="C25" i="29"/>
  <c r="U26" i="29"/>
  <c r="C24" i="29"/>
  <c r="U25" i="29"/>
  <c r="C23" i="29"/>
  <c r="U24" i="29"/>
  <c r="C22" i="29"/>
  <c r="U23" i="29"/>
  <c r="C21" i="29"/>
  <c r="U22" i="29"/>
  <c r="C20" i="29"/>
  <c r="U21" i="29"/>
  <c r="C19" i="29"/>
  <c r="U20" i="29"/>
  <c r="C18" i="29"/>
  <c r="U19" i="29"/>
  <c r="C17" i="29"/>
  <c r="U18" i="29"/>
  <c r="C16" i="29"/>
  <c r="U17" i="29"/>
  <c r="C15" i="29"/>
  <c r="U16" i="29"/>
  <c r="U322" i="55"/>
  <c r="T322" i="55"/>
  <c r="S322" i="55"/>
  <c r="R322" i="55"/>
  <c r="N322" i="55"/>
  <c r="N320" i="55"/>
  <c r="P320" i="55"/>
  <c r="Q320" i="55"/>
  <c r="R320" i="55"/>
  <c r="S320" i="55"/>
  <c r="T320" i="55"/>
  <c r="U320" i="55"/>
  <c r="N321" i="55"/>
  <c r="O320" i="55"/>
  <c r="AE237" i="55"/>
  <c r="AE236" i="55"/>
  <c r="AE235" i="55"/>
  <c r="AE234" i="55"/>
  <c r="AE233" i="55"/>
  <c r="AE232" i="55"/>
  <c r="AE231" i="55"/>
  <c r="AE230" i="55"/>
  <c r="AE229" i="55"/>
  <c r="AE228" i="55"/>
  <c r="AE227" i="55"/>
  <c r="AE226" i="55"/>
  <c r="AE225" i="55"/>
  <c r="AE224" i="55"/>
  <c r="AE223" i="55"/>
  <c r="AE222" i="55"/>
  <c r="AE221" i="55"/>
  <c r="AE220" i="55"/>
  <c r="AE219" i="55"/>
  <c r="AE218" i="55"/>
  <c r="AE217" i="55"/>
  <c r="AE216" i="55"/>
  <c r="AE215" i="55"/>
  <c r="AE214" i="55"/>
  <c r="AE213" i="55"/>
  <c r="AE212" i="55"/>
  <c r="AE211" i="55"/>
  <c r="AE210" i="55"/>
  <c r="AE209" i="55"/>
  <c r="AE208" i="55"/>
  <c r="AE207" i="55"/>
  <c r="AE206" i="55"/>
  <c r="AE205" i="55"/>
  <c r="AE204" i="55"/>
  <c r="AE203" i="55"/>
  <c r="AE202" i="55"/>
  <c r="AE201" i="55"/>
  <c r="AE200" i="55"/>
  <c r="AE199" i="55"/>
  <c r="AE198" i="55"/>
  <c r="AE197" i="55"/>
  <c r="AE196" i="55"/>
  <c r="AE195" i="55"/>
  <c r="AE194" i="55"/>
  <c r="AE193" i="55"/>
  <c r="AE192" i="55"/>
  <c r="AE191" i="55"/>
  <c r="AE190" i="55"/>
  <c r="AE189" i="55"/>
  <c r="AE188" i="55"/>
  <c r="AE187" i="55"/>
  <c r="AE186" i="55"/>
  <c r="AE185" i="55"/>
  <c r="AE184" i="55"/>
  <c r="AE183" i="55"/>
  <c r="AE182" i="55"/>
  <c r="AE181" i="55"/>
  <c r="AE180" i="55"/>
  <c r="AE179" i="55"/>
  <c r="AE178" i="55"/>
  <c r="AE177" i="55"/>
  <c r="AE176" i="55"/>
  <c r="AE175" i="55"/>
  <c r="AE174" i="55"/>
  <c r="AE173" i="55"/>
  <c r="AE172" i="55"/>
  <c r="AE171" i="55"/>
  <c r="AE170" i="55"/>
  <c r="AE169" i="55"/>
  <c r="AE168" i="55"/>
  <c r="AE167" i="55"/>
  <c r="AE166" i="55"/>
  <c r="AE165" i="55"/>
  <c r="AE164" i="55"/>
  <c r="AE163" i="55"/>
  <c r="AE162" i="55"/>
  <c r="AE161" i="55"/>
  <c r="AE160" i="55"/>
  <c r="AE159" i="55"/>
  <c r="AE158" i="55"/>
  <c r="A157" i="55"/>
  <c r="AE157" i="55"/>
  <c r="A156" i="55"/>
  <c r="AE156" i="55"/>
  <c r="A155" i="55"/>
  <c r="AE155" i="55"/>
  <c r="A154" i="55"/>
  <c r="AE154" i="55"/>
  <c r="A153" i="55"/>
  <c r="AE153" i="55"/>
  <c r="A152" i="55"/>
  <c r="AE152" i="55"/>
  <c r="A151" i="55"/>
  <c r="AE151" i="55"/>
  <c r="A150" i="55"/>
  <c r="AE150" i="55"/>
  <c r="A149" i="55"/>
  <c r="AE149" i="55"/>
  <c r="A148" i="55"/>
  <c r="AE148" i="55"/>
  <c r="A147" i="55"/>
  <c r="AE147" i="55"/>
  <c r="A146" i="55"/>
  <c r="AE146" i="55"/>
  <c r="A145" i="55"/>
  <c r="AE145" i="55"/>
  <c r="A144" i="55"/>
  <c r="AE144" i="55"/>
  <c r="A143" i="55"/>
  <c r="AE143" i="55"/>
  <c r="A142" i="55"/>
  <c r="AE142" i="55"/>
  <c r="A141" i="55"/>
  <c r="AE141" i="55"/>
  <c r="A140" i="55"/>
  <c r="AE140" i="55"/>
  <c r="A139" i="55"/>
  <c r="AE139" i="55"/>
  <c r="A138" i="55"/>
  <c r="AE138" i="55"/>
  <c r="A137" i="55"/>
  <c r="AE137" i="55"/>
  <c r="A136" i="55"/>
  <c r="AE136" i="55"/>
  <c r="A135" i="55"/>
  <c r="AE135" i="55"/>
  <c r="A134" i="55"/>
  <c r="AE134" i="55"/>
  <c r="A133" i="55"/>
  <c r="AE133" i="55"/>
  <c r="A132" i="55"/>
  <c r="AE132" i="55"/>
  <c r="A131" i="55"/>
  <c r="AE131" i="55"/>
  <c r="A130" i="55"/>
  <c r="AE130" i="55"/>
  <c r="A129" i="55"/>
  <c r="AE129" i="55"/>
  <c r="A128" i="55"/>
  <c r="AE128" i="55"/>
  <c r="A127" i="55"/>
  <c r="AE127" i="55"/>
  <c r="A126" i="55"/>
  <c r="AE126" i="55"/>
  <c r="A125" i="55"/>
  <c r="AE125" i="55"/>
  <c r="A124" i="55"/>
  <c r="AE124" i="55"/>
  <c r="A123" i="55"/>
  <c r="AE123" i="55"/>
  <c r="A122" i="55"/>
  <c r="AE122" i="55"/>
  <c r="A121" i="55"/>
  <c r="AE121" i="55"/>
  <c r="A120" i="55"/>
  <c r="AE120" i="55"/>
  <c r="A119" i="55"/>
  <c r="AE119" i="55"/>
  <c r="A118" i="55"/>
  <c r="AE118" i="55"/>
  <c r="A117" i="55"/>
  <c r="AE117" i="55"/>
  <c r="A116" i="55"/>
  <c r="AE116" i="55"/>
  <c r="A115" i="55"/>
  <c r="AE115" i="55"/>
  <c r="A114" i="55"/>
  <c r="AE114" i="55"/>
  <c r="A113" i="55"/>
  <c r="AE113" i="55"/>
  <c r="A112" i="55"/>
  <c r="AE112" i="55"/>
  <c r="A111" i="55"/>
  <c r="AE111" i="55"/>
  <c r="A110" i="55"/>
  <c r="AE110" i="55"/>
  <c r="A109" i="55"/>
  <c r="AE109" i="55"/>
  <c r="A108" i="55"/>
  <c r="AE108" i="55"/>
  <c r="A107" i="55"/>
  <c r="AE107" i="55"/>
  <c r="A106" i="55"/>
  <c r="AE106" i="55"/>
  <c r="A105" i="55"/>
  <c r="AE105" i="55"/>
  <c r="A104" i="55"/>
  <c r="AE104" i="55"/>
  <c r="A103" i="55"/>
  <c r="AE103" i="55"/>
  <c r="A102" i="55"/>
  <c r="AE102" i="55"/>
  <c r="A101" i="55"/>
  <c r="AE101" i="55"/>
  <c r="A100" i="55"/>
  <c r="AE100" i="55"/>
  <c r="A99" i="55"/>
  <c r="AE99" i="55"/>
  <c r="A98" i="55"/>
  <c r="AE98" i="55"/>
  <c r="A97" i="55"/>
  <c r="AE97" i="55"/>
  <c r="A96" i="55"/>
  <c r="AE96" i="55"/>
  <c r="A95" i="55"/>
  <c r="AE95" i="55"/>
  <c r="A94" i="55"/>
  <c r="AE94" i="55"/>
  <c r="A93" i="55"/>
  <c r="AE93" i="55"/>
  <c r="A92" i="55"/>
  <c r="AE92" i="55"/>
  <c r="A91" i="55"/>
  <c r="AE91" i="55"/>
  <c r="A90" i="55"/>
  <c r="AE90" i="55"/>
  <c r="A89" i="55"/>
  <c r="AE89" i="55"/>
  <c r="A88" i="55"/>
  <c r="AE88" i="55"/>
  <c r="A87" i="55"/>
  <c r="AE87" i="55"/>
  <c r="A86" i="55"/>
  <c r="AE86" i="55"/>
  <c r="A85" i="55"/>
  <c r="AE85" i="55"/>
  <c r="A84" i="55"/>
  <c r="AE84" i="55"/>
  <c r="A83" i="55"/>
  <c r="AE83" i="55"/>
  <c r="A82" i="55"/>
  <c r="AE82" i="55"/>
  <c r="A81" i="55"/>
  <c r="AE81" i="55"/>
  <c r="A80" i="55"/>
  <c r="AE80" i="55"/>
  <c r="A79" i="55"/>
  <c r="AE79" i="55"/>
  <c r="A78" i="55"/>
  <c r="AE78" i="55"/>
  <c r="AR42" i="55"/>
  <c r="AO41" i="55"/>
  <c r="AN41" i="55"/>
  <c r="Q41" i="55"/>
  <c r="P41" i="55"/>
  <c r="AM40" i="55"/>
  <c r="AK40" i="55"/>
  <c r="O40" i="55"/>
  <c r="M40" i="55"/>
  <c r="G37" i="55"/>
  <c r="F37" i="55"/>
  <c r="D37" i="55"/>
  <c r="B37" i="55"/>
  <c r="G36" i="55"/>
  <c r="F36" i="55"/>
  <c r="D36" i="55"/>
  <c r="B36" i="55"/>
  <c r="C26" i="55"/>
  <c r="C25" i="55"/>
  <c r="C21" i="55"/>
  <c r="C20" i="55"/>
  <c r="T322" i="54"/>
  <c r="S322" i="54"/>
  <c r="R322" i="54"/>
  <c r="Q322" i="54"/>
  <c r="M322" i="54"/>
  <c r="M320" i="54"/>
  <c r="O320" i="54"/>
  <c r="P320" i="54"/>
  <c r="Q320" i="54"/>
  <c r="R320" i="54"/>
  <c r="S320" i="54"/>
  <c r="T320" i="54"/>
  <c r="M321" i="54"/>
  <c r="N320" i="54"/>
  <c r="A159" i="54"/>
  <c r="A160" i="54"/>
  <c r="A161" i="54"/>
  <c r="A162" i="54"/>
  <c r="A163" i="54"/>
  <c r="A164" i="54"/>
  <c r="A165" i="54"/>
  <c r="A166" i="54"/>
  <c r="A167" i="54"/>
  <c r="A168" i="54"/>
  <c r="A169" i="54"/>
  <c r="A170" i="54"/>
  <c r="A171" i="54"/>
  <c r="A172" i="54"/>
  <c r="A173" i="54"/>
  <c r="A174" i="54"/>
  <c r="A175" i="54"/>
  <c r="A176" i="54"/>
  <c r="A177" i="54"/>
  <c r="A178" i="54"/>
  <c r="A179" i="54"/>
  <c r="A180" i="54"/>
  <c r="A181" i="54"/>
  <c r="A182" i="54"/>
  <c r="A183" i="54"/>
  <c r="A184" i="54"/>
  <c r="A185" i="54"/>
  <c r="A186" i="54"/>
  <c r="A187" i="54"/>
  <c r="A188" i="54"/>
  <c r="A189" i="54"/>
  <c r="A190" i="54"/>
  <c r="A191" i="54"/>
  <c r="A192" i="54"/>
  <c r="A193" i="54"/>
  <c r="A194" i="54"/>
  <c r="A195" i="54"/>
  <c r="A196" i="54"/>
  <c r="A197" i="54"/>
  <c r="A198" i="54"/>
  <c r="A199" i="54"/>
  <c r="A200" i="54"/>
  <c r="A201" i="54"/>
  <c r="A202" i="54"/>
  <c r="A203" i="54"/>
  <c r="A204" i="54"/>
  <c r="A205" i="54"/>
  <c r="A206" i="54"/>
  <c r="A207" i="54"/>
  <c r="A208" i="54"/>
  <c r="A209" i="54"/>
  <c r="A210" i="54"/>
  <c r="A211" i="54"/>
  <c r="A212" i="54"/>
  <c r="A213" i="54"/>
  <c r="A214" i="54"/>
  <c r="A215" i="54"/>
  <c r="A216" i="54"/>
  <c r="A217" i="54"/>
  <c r="A218" i="54"/>
  <c r="A219" i="54"/>
  <c r="A220" i="54"/>
  <c r="A221" i="54"/>
  <c r="A222" i="54"/>
  <c r="A223" i="54"/>
  <c r="A224" i="54"/>
  <c r="A225" i="54"/>
  <c r="A226" i="54"/>
  <c r="A227" i="54"/>
  <c r="A228" i="54"/>
  <c r="A229" i="54"/>
  <c r="A230" i="54"/>
  <c r="A231" i="54"/>
  <c r="A232" i="54"/>
  <c r="A233" i="54"/>
  <c r="A234" i="54"/>
  <c r="A235" i="54"/>
  <c r="A236" i="54"/>
  <c r="A237" i="54"/>
  <c r="A238" i="54"/>
  <c r="A239" i="54"/>
  <c r="A240" i="54"/>
  <c r="A241" i="54"/>
  <c r="A242" i="54"/>
  <c r="A243" i="54"/>
  <c r="A244" i="54"/>
  <c r="A245" i="54"/>
  <c r="A246" i="54"/>
  <c r="A247" i="54"/>
  <c r="A248" i="54"/>
  <c r="A249" i="54"/>
  <c r="A250" i="54"/>
  <c r="A251" i="54"/>
  <c r="A252" i="54"/>
  <c r="A253" i="54"/>
  <c r="A254" i="54"/>
  <c r="A255" i="54"/>
  <c r="A256" i="54"/>
  <c r="A257" i="54"/>
  <c r="A258" i="54"/>
  <c r="A259" i="54"/>
  <c r="A260" i="54"/>
  <c r="A261" i="54"/>
  <c r="A262" i="54"/>
  <c r="A263" i="54"/>
  <c r="A264" i="54"/>
  <c r="A265" i="54"/>
  <c r="A266" i="54"/>
  <c r="A267" i="54"/>
  <c r="A268" i="54"/>
  <c r="A269" i="54"/>
  <c r="A270" i="54"/>
  <c r="A271" i="54"/>
  <c r="A272" i="54"/>
  <c r="A273" i="54"/>
  <c r="A274" i="54"/>
  <c r="A275" i="54"/>
  <c r="A276" i="54"/>
  <c r="A277" i="54"/>
  <c r="A278" i="54"/>
  <c r="A279" i="54"/>
  <c r="A280" i="54"/>
  <c r="A281" i="54"/>
  <c r="A282" i="54"/>
  <c r="A283" i="54"/>
  <c r="A284" i="54"/>
  <c r="A285" i="54"/>
  <c r="A286" i="54"/>
  <c r="A287" i="54"/>
  <c r="A288" i="54"/>
  <c r="A289" i="54"/>
  <c r="A290" i="54"/>
  <c r="A291" i="54"/>
  <c r="A292" i="54"/>
  <c r="A293" i="54"/>
  <c r="A294" i="54"/>
  <c r="A295" i="54"/>
  <c r="A296" i="54"/>
  <c r="A297" i="54"/>
  <c r="A298" i="54"/>
  <c r="A299" i="54"/>
  <c r="A300" i="54"/>
  <c r="A301" i="54"/>
  <c r="A302" i="54"/>
  <c r="A303" i="54"/>
  <c r="A304" i="54"/>
  <c r="A305" i="54"/>
  <c r="A306" i="54"/>
  <c r="A307" i="54"/>
  <c r="A308" i="54"/>
  <c r="A309" i="54"/>
  <c r="A310" i="54"/>
  <c r="A311" i="54"/>
  <c r="A312" i="54"/>
  <c r="A313" i="54"/>
  <c r="A314" i="54"/>
  <c r="A315" i="54"/>
  <c r="A316" i="54"/>
  <c r="A317" i="54"/>
  <c r="A318" i="54"/>
  <c r="CH318" i="54"/>
  <c r="CH317" i="54"/>
  <c r="CH316" i="54"/>
  <c r="CH315" i="54"/>
  <c r="CH314" i="54"/>
  <c r="CH313" i="54"/>
  <c r="CH312" i="54"/>
  <c r="CH311" i="54"/>
  <c r="CH310" i="54"/>
  <c r="CH309" i="54"/>
  <c r="CH308" i="54"/>
  <c r="CH307" i="54"/>
  <c r="CH306" i="54"/>
  <c r="CH305" i="54"/>
  <c r="CH304" i="54"/>
  <c r="CH303" i="54"/>
  <c r="CH302" i="54"/>
  <c r="CH301" i="54"/>
  <c r="CH300" i="54"/>
  <c r="CH299" i="54"/>
  <c r="CH298" i="54"/>
  <c r="CH297" i="54"/>
  <c r="CH296" i="54"/>
  <c r="CH295" i="54"/>
  <c r="CH294" i="54"/>
  <c r="CH293" i="54"/>
  <c r="CH292" i="54"/>
  <c r="CH291" i="54"/>
  <c r="CH290" i="54"/>
  <c r="CH289" i="54"/>
  <c r="CH288" i="54"/>
  <c r="CH287" i="54"/>
  <c r="CH286" i="54"/>
  <c r="CH285" i="54"/>
  <c r="CH284" i="54"/>
  <c r="CH283" i="54"/>
  <c r="CH282" i="54"/>
  <c r="CH281" i="54"/>
  <c r="CH280" i="54"/>
  <c r="CH279" i="54"/>
  <c r="CH278" i="54"/>
  <c r="CH277" i="54"/>
  <c r="CH276" i="54"/>
  <c r="CH275" i="54"/>
  <c r="CH274" i="54"/>
  <c r="CH273" i="54"/>
  <c r="CH272" i="54"/>
  <c r="CH271" i="54"/>
  <c r="CH270" i="54"/>
  <c r="CH269" i="54"/>
  <c r="CH268" i="54"/>
  <c r="CH267" i="54"/>
  <c r="CH266" i="54"/>
  <c r="CH265" i="54"/>
  <c r="CH264" i="54"/>
  <c r="CH263" i="54"/>
  <c r="CH262" i="54"/>
  <c r="CH261" i="54"/>
  <c r="CH260" i="54"/>
  <c r="CH259" i="54"/>
  <c r="CH258" i="54"/>
  <c r="CH257" i="54"/>
  <c r="CH256" i="54"/>
  <c r="CH255" i="54"/>
  <c r="CH254" i="54"/>
  <c r="CH253" i="54"/>
  <c r="CH252" i="54"/>
  <c r="CH251" i="54"/>
  <c r="CH250" i="54"/>
  <c r="CH249" i="54"/>
  <c r="CH248" i="54"/>
  <c r="CH247" i="54"/>
  <c r="CH246" i="54"/>
  <c r="CH245" i="54"/>
  <c r="CH244" i="54"/>
  <c r="CH243" i="54"/>
  <c r="CH242" i="54"/>
  <c r="CH241" i="54"/>
  <c r="CH240" i="54"/>
  <c r="CH239" i="54"/>
  <c r="CH238" i="54"/>
  <c r="CH237" i="54"/>
  <c r="CH236" i="54"/>
  <c r="CH235" i="54"/>
  <c r="CH234" i="54"/>
  <c r="CH233" i="54"/>
  <c r="CH232" i="54"/>
  <c r="CH231" i="54"/>
  <c r="CH230" i="54"/>
  <c r="CH229" i="54"/>
  <c r="CH228" i="54"/>
  <c r="CH227" i="54"/>
  <c r="CH226" i="54"/>
  <c r="CH225" i="54"/>
  <c r="CH224" i="54"/>
  <c r="CH223" i="54"/>
  <c r="CH222" i="54"/>
  <c r="CH221" i="54"/>
  <c r="CH220" i="54"/>
  <c r="CH219" i="54"/>
  <c r="CH218" i="54"/>
  <c r="CH217" i="54"/>
  <c r="CH216" i="54"/>
  <c r="CH215" i="54"/>
  <c r="CH214" i="54"/>
  <c r="CH213" i="54"/>
  <c r="CH212" i="54"/>
  <c r="CH211" i="54"/>
  <c r="CH210" i="54"/>
  <c r="CH209" i="54"/>
  <c r="CH208" i="54"/>
  <c r="CH207" i="54"/>
  <c r="CH206" i="54"/>
  <c r="CH205" i="54"/>
  <c r="CH204" i="54"/>
  <c r="CH203" i="54"/>
  <c r="CH202" i="54"/>
  <c r="CH201" i="54"/>
  <c r="CH200" i="54"/>
  <c r="CH199" i="54"/>
  <c r="CH198" i="54"/>
  <c r="CH197" i="54"/>
  <c r="CH196" i="54"/>
  <c r="CH195" i="54"/>
  <c r="CH194" i="54"/>
  <c r="CH193" i="54"/>
  <c r="CH192" i="54"/>
  <c r="CH191" i="54"/>
  <c r="CH190" i="54"/>
  <c r="CH189" i="54"/>
  <c r="CH188" i="54"/>
  <c r="CH187" i="54"/>
  <c r="CH186" i="54"/>
  <c r="CH185" i="54"/>
  <c r="CH184" i="54"/>
  <c r="CH183" i="54"/>
  <c r="CH182" i="54"/>
  <c r="CH181" i="54"/>
  <c r="CH180" i="54"/>
  <c r="CH179" i="54"/>
  <c r="CH178" i="54"/>
  <c r="CH177" i="54"/>
  <c r="CH176" i="54"/>
  <c r="CH175" i="54"/>
  <c r="CH174" i="54"/>
  <c r="CH173" i="54"/>
  <c r="CH172" i="54"/>
  <c r="CH171" i="54"/>
  <c r="CH170" i="54"/>
  <c r="CH169" i="54"/>
  <c r="CH168" i="54"/>
  <c r="CH167" i="54"/>
  <c r="CH166" i="54"/>
  <c r="CH165" i="54"/>
  <c r="CH164" i="54"/>
  <c r="CH163" i="54"/>
  <c r="CH162" i="54"/>
  <c r="CH161" i="54"/>
  <c r="CH160" i="54"/>
  <c r="CH159" i="54"/>
  <c r="CH158" i="54"/>
  <c r="A157" i="54"/>
  <c r="CH157" i="54"/>
  <c r="A156" i="54"/>
  <c r="CH156" i="54"/>
  <c r="A155" i="54"/>
  <c r="CH155" i="54"/>
  <c r="A154" i="54"/>
  <c r="CH154" i="54"/>
  <c r="A153" i="54"/>
  <c r="CH153" i="54"/>
  <c r="A152" i="54"/>
  <c r="CH152" i="54"/>
  <c r="A151" i="54"/>
  <c r="CH151" i="54"/>
  <c r="A150" i="54"/>
  <c r="CH150" i="54"/>
  <c r="A149" i="54"/>
  <c r="CH149" i="54"/>
  <c r="A148" i="54"/>
  <c r="CH148" i="54"/>
  <c r="A147" i="54"/>
  <c r="CH147" i="54"/>
  <c r="A146" i="54"/>
  <c r="CH146" i="54"/>
  <c r="A145" i="54"/>
  <c r="CH145" i="54"/>
  <c r="A144" i="54"/>
  <c r="CH144" i="54"/>
  <c r="A143" i="54"/>
  <c r="CH143" i="54"/>
  <c r="A142" i="54"/>
  <c r="CH142" i="54"/>
  <c r="A141" i="54"/>
  <c r="CH141" i="54"/>
  <c r="A140" i="54"/>
  <c r="CH140" i="54"/>
  <c r="A139" i="54"/>
  <c r="CH139" i="54"/>
  <c r="A138" i="54"/>
  <c r="CH138" i="54"/>
  <c r="A137" i="54"/>
  <c r="CH137" i="54"/>
  <c r="A136" i="54"/>
  <c r="CH136" i="54"/>
  <c r="A135" i="54"/>
  <c r="CH135" i="54"/>
  <c r="A134" i="54"/>
  <c r="CH134" i="54"/>
  <c r="A133" i="54"/>
  <c r="CH133" i="54"/>
  <c r="A132" i="54"/>
  <c r="CH132" i="54"/>
  <c r="A131" i="54"/>
  <c r="CH131" i="54"/>
  <c r="A130" i="54"/>
  <c r="CH130" i="54"/>
  <c r="A129" i="54"/>
  <c r="CH129" i="54"/>
  <c r="A128" i="54"/>
  <c r="CH128" i="54"/>
  <c r="A127" i="54"/>
  <c r="CH127" i="54"/>
  <c r="A126" i="54"/>
  <c r="CH126" i="54"/>
  <c r="A125" i="54"/>
  <c r="CH125" i="54"/>
  <c r="A124" i="54"/>
  <c r="CH124" i="54"/>
  <c r="A123" i="54"/>
  <c r="CH123" i="54"/>
  <c r="A122" i="54"/>
  <c r="CH122" i="54"/>
  <c r="A121" i="54"/>
  <c r="CH121" i="54"/>
  <c r="A120" i="54"/>
  <c r="CH120" i="54"/>
  <c r="A119" i="54"/>
  <c r="CH119" i="54"/>
  <c r="A118" i="54"/>
  <c r="CH118" i="54"/>
  <c r="A117" i="54"/>
  <c r="CH117" i="54"/>
  <c r="A116" i="54"/>
  <c r="CH116" i="54"/>
  <c r="A115" i="54"/>
  <c r="CH115" i="54"/>
  <c r="A114" i="54"/>
  <c r="CH114" i="54"/>
  <c r="A113" i="54"/>
  <c r="CH113" i="54"/>
  <c r="A112" i="54"/>
  <c r="CH112" i="54"/>
  <c r="A111" i="54"/>
  <c r="CH111" i="54"/>
  <c r="A110" i="54"/>
  <c r="CH110" i="54"/>
  <c r="A109" i="54"/>
  <c r="CH109" i="54"/>
  <c r="A108" i="54"/>
  <c r="CH108" i="54"/>
  <c r="A107" i="54"/>
  <c r="CH107" i="54"/>
  <c r="A106" i="54"/>
  <c r="CH106" i="54"/>
  <c r="A105" i="54"/>
  <c r="CH105" i="54"/>
  <c r="A104" i="54"/>
  <c r="CH104" i="54"/>
  <c r="A103" i="54"/>
  <c r="CH103" i="54"/>
  <c r="A102" i="54"/>
  <c r="CH102" i="54"/>
  <c r="A101" i="54"/>
  <c r="CH101" i="54"/>
  <c r="A100" i="54"/>
  <c r="CH100" i="54"/>
  <c r="A99" i="54"/>
  <c r="CH99" i="54"/>
  <c r="A98" i="54"/>
  <c r="CH98" i="54"/>
  <c r="A97" i="54"/>
  <c r="CH97" i="54"/>
  <c r="A96" i="54"/>
  <c r="CH96" i="54"/>
  <c r="A95" i="54"/>
  <c r="CH95" i="54"/>
  <c r="A94" i="54"/>
  <c r="CH94" i="54"/>
  <c r="A93" i="54"/>
  <c r="CH93" i="54"/>
  <c r="A92" i="54"/>
  <c r="CH92" i="54"/>
  <c r="A91" i="54"/>
  <c r="CH91" i="54"/>
  <c r="A90" i="54"/>
  <c r="CH90" i="54"/>
  <c r="A89" i="54"/>
  <c r="CH89" i="54"/>
  <c r="A88" i="54"/>
  <c r="CH88" i="54"/>
  <c r="A87" i="54"/>
  <c r="CH87" i="54"/>
  <c r="A86" i="54"/>
  <c r="CH86" i="54"/>
  <c r="A85" i="54"/>
  <c r="CH85" i="54"/>
  <c r="A84" i="54"/>
  <c r="CH84" i="54"/>
  <c r="A83" i="54"/>
  <c r="CH83" i="54"/>
  <c r="A82" i="54"/>
  <c r="CH82" i="54"/>
  <c r="A81" i="54"/>
  <c r="CH81" i="54"/>
  <c r="A80" i="54"/>
  <c r="CH80" i="54"/>
  <c r="A79" i="54"/>
  <c r="CH79" i="54"/>
  <c r="A78" i="54"/>
  <c r="CH78" i="54"/>
  <c r="CQ42" i="54"/>
  <c r="CN41" i="54"/>
  <c r="CM41" i="54"/>
  <c r="CL40" i="54"/>
  <c r="CJ40" i="54"/>
  <c r="G37" i="54"/>
  <c r="F37" i="54"/>
  <c r="D37" i="54"/>
  <c r="B37" i="54"/>
  <c r="G36" i="54"/>
  <c r="F36" i="54"/>
  <c r="D36" i="54"/>
  <c r="B36" i="54"/>
  <c r="C26" i="54"/>
  <c r="C25" i="54"/>
  <c r="C21" i="54"/>
  <c r="C20" i="54"/>
  <c r="T322" i="53"/>
  <c r="S322" i="53"/>
  <c r="R322" i="53"/>
  <c r="Q322" i="53"/>
  <c r="M322" i="53"/>
  <c r="M320" i="53"/>
  <c r="O320" i="53"/>
  <c r="P320" i="53"/>
  <c r="Q320" i="53"/>
  <c r="R320" i="53"/>
  <c r="S320" i="53"/>
  <c r="T320" i="53"/>
  <c r="M321" i="53"/>
  <c r="N320" i="53"/>
  <c r="AP318" i="53"/>
  <c r="A159" i="53"/>
  <c r="A160" i="53"/>
  <c r="A161" i="53"/>
  <c r="A162" i="53"/>
  <c r="A163" i="53"/>
  <c r="A164" i="53"/>
  <c r="A165" i="53"/>
  <c r="A166" i="53"/>
  <c r="A167" i="53"/>
  <c r="A168" i="53"/>
  <c r="A169" i="53"/>
  <c r="A170" i="53"/>
  <c r="A171" i="53"/>
  <c r="A172" i="53"/>
  <c r="A173" i="53"/>
  <c r="A174" i="53"/>
  <c r="A175" i="53"/>
  <c r="A176" i="53"/>
  <c r="A177" i="53"/>
  <c r="A178" i="53"/>
  <c r="A179" i="53"/>
  <c r="A180" i="53"/>
  <c r="A181" i="53"/>
  <c r="A182" i="53"/>
  <c r="A183" i="53"/>
  <c r="A184" i="53"/>
  <c r="A185" i="53"/>
  <c r="A186" i="53"/>
  <c r="A187" i="53"/>
  <c r="A188" i="53"/>
  <c r="A189" i="53"/>
  <c r="A190" i="53"/>
  <c r="A191" i="53"/>
  <c r="A192" i="53"/>
  <c r="A193" i="53"/>
  <c r="A194" i="53"/>
  <c r="A195" i="53"/>
  <c r="A196" i="53"/>
  <c r="A197" i="53"/>
  <c r="A198" i="53"/>
  <c r="A199" i="53"/>
  <c r="A200" i="53"/>
  <c r="A201" i="53"/>
  <c r="A202" i="53"/>
  <c r="A203" i="53"/>
  <c r="A204" i="53"/>
  <c r="A205" i="53"/>
  <c r="A206" i="53"/>
  <c r="A207" i="53"/>
  <c r="A208" i="53"/>
  <c r="A209" i="53"/>
  <c r="A210" i="53"/>
  <c r="A211" i="53"/>
  <c r="A212" i="53"/>
  <c r="A213" i="53"/>
  <c r="A214" i="53"/>
  <c r="A215" i="53"/>
  <c r="A216" i="53"/>
  <c r="A217" i="53"/>
  <c r="A218" i="53"/>
  <c r="A219" i="53"/>
  <c r="A220" i="53"/>
  <c r="A221" i="53"/>
  <c r="A222" i="53"/>
  <c r="A223" i="53"/>
  <c r="A224" i="53"/>
  <c r="A225" i="53"/>
  <c r="A226" i="53"/>
  <c r="A227" i="53"/>
  <c r="A228" i="53"/>
  <c r="A229" i="53"/>
  <c r="A230" i="53"/>
  <c r="A231" i="53"/>
  <c r="A232" i="53"/>
  <c r="A233" i="53"/>
  <c r="A234" i="53"/>
  <c r="A235" i="53"/>
  <c r="A236" i="53"/>
  <c r="A237" i="53"/>
  <c r="A238" i="53"/>
  <c r="A239" i="53"/>
  <c r="A240" i="53"/>
  <c r="A241" i="53"/>
  <c r="A242" i="53"/>
  <c r="A243" i="53"/>
  <c r="A244" i="53"/>
  <c r="A245" i="53"/>
  <c r="A246" i="53"/>
  <c r="A247" i="53"/>
  <c r="A248" i="53"/>
  <c r="A249" i="53"/>
  <c r="A250" i="53"/>
  <c r="A251" i="53"/>
  <c r="A252" i="53"/>
  <c r="A253" i="53"/>
  <c r="A254" i="53"/>
  <c r="A255" i="53"/>
  <c r="A256" i="53"/>
  <c r="A257" i="53"/>
  <c r="A258" i="53"/>
  <c r="A259" i="53"/>
  <c r="A260" i="53"/>
  <c r="A261" i="53"/>
  <c r="A262" i="53"/>
  <c r="A263" i="53"/>
  <c r="A264" i="53"/>
  <c r="A265" i="53"/>
  <c r="A266" i="53"/>
  <c r="A267" i="53"/>
  <c r="A268" i="53"/>
  <c r="A269" i="53"/>
  <c r="A270" i="53"/>
  <c r="A271" i="53"/>
  <c r="A272" i="53"/>
  <c r="A273" i="53"/>
  <c r="A274" i="53"/>
  <c r="A275" i="53"/>
  <c r="A276" i="53"/>
  <c r="A277" i="53"/>
  <c r="A278" i="53"/>
  <c r="A279" i="53"/>
  <c r="A280" i="53"/>
  <c r="A281" i="53"/>
  <c r="A282" i="53"/>
  <c r="A283" i="53"/>
  <c r="A284" i="53"/>
  <c r="A285" i="53"/>
  <c r="A286" i="53"/>
  <c r="A287" i="53"/>
  <c r="A288" i="53"/>
  <c r="A289" i="53"/>
  <c r="A290" i="53"/>
  <c r="A291" i="53"/>
  <c r="A292" i="53"/>
  <c r="A293" i="53"/>
  <c r="A294" i="53"/>
  <c r="A295" i="53"/>
  <c r="A296" i="53"/>
  <c r="A297" i="53"/>
  <c r="A298" i="53"/>
  <c r="A299" i="53"/>
  <c r="A300" i="53"/>
  <c r="A301" i="53"/>
  <c r="A302" i="53"/>
  <c r="A303" i="53"/>
  <c r="A304" i="53"/>
  <c r="A305" i="53"/>
  <c r="A306" i="53"/>
  <c r="A307" i="53"/>
  <c r="A308" i="53"/>
  <c r="A309" i="53"/>
  <c r="A310" i="53"/>
  <c r="A311" i="53"/>
  <c r="A312" i="53"/>
  <c r="A313" i="53"/>
  <c r="A314" i="53"/>
  <c r="A315" i="53"/>
  <c r="A316" i="53"/>
  <c r="A317" i="53"/>
  <c r="A318" i="53"/>
  <c r="AE318" i="53"/>
  <c r="AP317" i="53"/>
  <c r="AE317" i="53"/>
  <c r="AP316" i="53"/>
  <c r="AE316" i="53"/>
  <c r="AP315" i="53"/>
  <c r="AE315" i="53"/>
  <c r="AP314" i="53"/>
  <c r="AE314" i="53"/>
  <c r="AP313" i="53"/>
  <c r="AE313" i="53"/>
  <c r="AP312" i="53"/>
  <c r="AE312" i="53"/>
  <c r="AP311" i="53"/>
  <c r="AE311" i="53"/>
  <c r="AP310" i="53"/>
  <c r="AE310" i="53"/>
  <c r="AP309" i="53"/>
  <c r="AE309" i="53"/>
  <c r="AP308" i="53"/>
  <c r="AE308" i="53"/>
  <c r="AP307" i="53"/>
  <c r="AE307" i="53"/>
  <c r="AP306" i="53"/>
  <c r="AE306" i="53"/>
  <c r="AP305" i="53"/>
  <c r="AE305" i="53"/>
  <c r="AP304" i="53"/>
  <c r="AE304" i="53"/>
  <c r="AP303" i="53"/>
  <c r="AE303" i="53"/>
  <c r="AP302" i="53"/>
  <c r="AE302" i="53"/>
  <c r="AP301" i="53"/>
  <c r="AE301" i="53"/>
  <c r="AP300" i="53"/>
  <c r="AE300" i="53"/>
  <c r="AP299" i="53"/>
  <c r="AE299" i="53"/>
  <c r="AP298" i="53"/>
  <c r="AE298" i="53"/>
  <c r="AP297" i="53"/>
  <c r="AE297" i="53"/>
  <c r="AP296" i="53"/>
  <c r="AE296" i="53"/>
  <c r="AP295" i="53"/>
  <c r="AE295" i="53"/>
  <c r="AP294" i="53"/>
  <c r="AE294" i="53"/>
  <c r="AP293" i="53"/>
  <c r="AE293" i="53"/>
  <c r="AP292" i="53"/>
  <c r="AE292" i="53"/>
  <c r="AP291" i="53"/>
  <c r="AE291" i="53"/>
  <c r="AP290" i="53"/>
  <c r="AE290" i="53"/>
  <c r="AP289" i="53"/>
  <c r="AE289" i="53"/>
  <c r="AP288" i="53"/>
  <c r="AE288" i="53"/>
  <c r="AP287" i="53"/>
  <c r="AE287" i="53"/>
  <c r="AP286" i="53"/>
  <c r="AE286" i="53"/>
  <c r="AP285" i="53"/>
  <c r="AE285" i="53"/>
  <c r="AP284" i="53"/>
  <c r="AE284" i="53"/>
  <c r="AP283" i="53"/>
  <c r="AE283" i="53"/>
  <c r="AP282" i="53"/>
  <c r="AE282" i="53"/>
  <c r="AP281" i="53"/>
  <c r="AE281" i="53"/>
  <c r="AP280" i="53"/>
  <c r="AE280" i="53"/>
  <c r="AP279" i="53"/>
  <c r="AE279" i="53"/>
  <c r="AP278" i="53"/>
  <c r="AE278" i="53"/>
  <c r="AP277" i="53"/>
  <c r="AE277" i="53"/>
  <c r="AP276" i="53"/>
  <c r="AE276" i="53"/>
  <c r="AP275" i="53"/>
  <c r="AE275" i="53"/>
  <c r="AP274" i="53"/>
  <c r="AE274" i="53"/>
  <c r="AP273" i="53"/>
  <c r="AE273" i="53"/>
  <c r="AP272" i="53"/>
  <c r="AE272" i="53"/>
  <c r="AP271" i="53"/>
  <c r="AE271" i="53"/>
  <c r="AP270" i="53"/>
  <c r="AE270" i="53"/>
  <c r="AP269" i="53"/>
  <c r="AE269" i="53"/>
  <c r="AP268" i="53"/>
  <c r="AE268" i="53"/>
  <c r="AP267" i="53"/>
  <c r="AE267" i="53"/>
  <c r="AP266" i="53"/>
  <c r="AE266" i="53"/>
  <c r="AP265" i="53"/>
  <c r="AE265" i="53"/>
  <c r="AP264" i="53"/>
  <c r="AE264" i="53"/>
  <c r="AP263" i="53"/>
  <c r="AE263" i="53"/>
  <c r="AP262" i="53"/>
  <c r="AE262" i="53"/>
  <c r="AP261" i="53"/>
  <c r="AE261" i="53"/>
  <c r="AP260" i="53"/>
  <c r="AE260" i="53"/>
  <c r="AP259" i="53"/>
  <c r="AE259" i="53"/>
  <c r="AP258" i="53"/>
  <c r="AE258" i="53"/>
  <c r="AP257" i="53"/>
  <c r="AE257" i="53"/>
  <c r="AP256" i="53"/>
  <c r="AE256" i="53"/>
  <c r="AP255" i="53"/>
  <c r="AE255" i="53"/>
  <c r="AP254" i="53"/>
  <c r="AE254" i="53"/>
  <c r="AP253" i="53"/>
  <c r="AE253" i="53"/>
  <c r="AP252" i="53"/>
  <c r="AE252" i="53"/>
  <c r="AP251" i="53"/>
  <c r="AE251" i="53"/>
  <c r="AP250" i="53"/>
  <c r="AE250" i="53"/>
  <c r="AP249" i="53"/>
  <c r="AE249" i="53"/>
  <c r="AP248" i="53"/>
  <c r="AE248" i="53"/>
  <c r="AP247" i="53"/>
  <c r="AE247" i="53"/>
  <c r="AP246" i="53"/>
  <c r="AE246" i="53"/>
  <c r="AP245" i="53"/>
  <c r="AE245" i="53"/>
  <c r="AP244" i="53"/>
  <c r="AE244" i="53"/>
  <c r="AP243" i="53"/>
  <c r="AE243" i="53"/>
  <c r="AP242" i="53"/>
  <c r="AE242" i="53"/>
  <c r="AP241" i="53"/>
  <c r="AE241" i="53"/>
  <c r="AP240" i="53"/>
  <c r="AE240" i="53"/>
  <c r="AP239" i="53"/>
  <c r="AE239" i="53"/>
  <c r="AP238" i="53"/>
  <c r="AE238" i="53"/>
  <c r="AP237" i="53"/>
  <c r="AE237" i="53"/>
  <c r="AP236" i="53"/>
  <c r="AE236" i="53"/>
  <c r="AP235" i="53"/>
  <c r="AE235" i="53"/>
  <c r="AP234" i="53"/>
  <c r="AE234" i="53"/>
  <c r="AP233" i="53"/>
  <c r="AE233" i="53"/>
  <c r="AP232" i="53"/>
  <c r="AE232" i="53"/>
  <c r="AP231" i="53"/>
  <c r="AE231" i="53"/>
  <c r="AP230" i="53"/>
  <c r="AE230" i="53"/>
  <c r="AP229" i="53"/>
  <c r="AE229" i="53"/>
  <c r="AP228" i="53"/>
  <c r="AE228" i="53"/>
  <c r="AP227" i="53"/>
  <c r="AE227" i="53"/>
  <c r="AP226" i="53"/>
  <c r="AE226" i="53"/>
  <c r="AP225" i="53"/>
  <c r="AE225" i="53"/>
  <c r="AP224" i="53"/>
  <c r="AE224" i="53"/>
  <c r="AP223" i="53"/>
  <c r="AE223" i="53"/>
  <c r="AP222" i="53"/>
  <c r="AE222" i="53"/>
  <c r="AP221" i="53"/>
  <c r="AE221" i="53"/>
  <c r="AP220" i="53"/>
  <c r="AE220" i="53"/>
  <c r="AP219" i="53"/>
  <c r="AE219" i="53"/>
  <c r="AP218" i="53"/>
  <c r="AE218" i="53"/>
  <c r="AP217" i="53"/>
  <c r="AE217" i="53"/>
  <c r="AP216" i="53"/>
  <c r="AE216" i="53"/>
  <c r="AP215" i="53"/>
  <c r="AE215" i="53"/>
  <c r="AP214" i="53"/>
  <c r="AE214" i="53"/>
  <c r="AP213" i="53"/>
  <c r="AE213" i="53"/>
  <c r="AP212" i="53"/>
  <c r="AE212" i="53"/>
  <c r="AP211" i="53"/>
  <c r="AE211" i="53"/>
  <c r="AP210" i="53"/>
  <c r="AE210" i="53"/>
  <c r="AP209" i="53"/>
  <c r="AE209" i="53"/>
  <c r="AP208" i="53"/>
  <c r="AE208" i="53"/>
  <c r="AP207" i="53"/>
  <c r="AE207" i="53"/>
  <c r="AP206" i="53"/>
  <c r="AE206" i="53"/>
  <c r="AP205" i="53"/>
  <c r="AE205" i="53"/>
  <c r="AP204" i="53"/>
  <c r="AE204" i="53"/>
  <c r="AP203" i="53"/>
  <c r="AE203" i="53"/>
  <c r="AP202" i="53"/>
  <c r="AE202" i="53"/>
  <c r="AP201" i="53"/>
  <c r="AE201" i="53"/>
  <c r="AP200" i="53"/>
  <c r="AE200" i="53"/>
  <c r="AP199" i="53"/>
  <c r="AE199" i="53"/>
  <c r="AP198" i="53"/>
  <c r="AE198" i="53"/>
  <c r="AP197" i="53"/>
  <c r="AE197" i="53"/>
  <c r="AP196" i="53"/>
  <c r="AE196" i="53"/>
  <c r="AP195" i="53"/>
  <c r="AE195" i="53"/>
  <c r="AP194" i="53"/>
  <c r="AE194" i="53"/>
  <c r="AP193" i="53"/>
  <c r="AE193" i="53"/>
  <c r="AP192" i="53"/>
  <c r="AE192" i="53"/>
  <c r="AP191" i="53"/>
  <c r="AE191" i="53"/>
  <c r="AP190" i="53"/>
  <c r="AE190" i="53"/>
  <c r="AP189" i="53"/>
  <c r="AE189" i="53"/>
  <c r="AP188" i="53"/>
  <c r="AE188" i="53"/>
  <c r="AP187" i="53"/>
  <c r="AE187" i="53"/>
  <c r="AP186" i="53"/>
  <c r="AE186" i="53"/>
  <c r="AP185" i="53"/>
  <c r="AE185" i="53"/>
  <c r="AP184" i="53"/>
  <c r="AE184" i="53"/>
  <c r="AP183" i="53"/>
  <c r="AE183" i="53"/>
  <c r="AP182" i="53"/>
  <c r="AE182" i="53"/>
  <c r="AP181" i="53"/>
  <c r="AE181" i="53"/>
  <c r="AP180" i="53"/>
  <c r="AE180" i="53"/>
  <c r="AP179" i="53"/>
  <c r="AE179" i="53"/>
  <c r="AP178" i="53"/>
  <c r="AE178" i="53"/>
  <c r="AP177" i="53"/>
  <c r="AE177" i="53"/>
  <c r="AP176" i="53"/>
  <c r="AE176" i="53"/>
  <c r="AP175" i="53"/>
  <c r="AE175" i="53"/>
  <c r="AP174" i="53"/>
  <c r="AE174" i="53"/>
  <c r="AP173" i="53"/>
  <c r="AE173" i="53"/>
  <c r="AP172" i="53"/>
  <c r="AE172" i="53"/>
  <c r="AP171" i="53"/>
  <c r="AE171" i="53"/>
  <c r="AP170" i="53"/>
  <c r="AE170" i="53"/>
  <c r="AP169" i="53"/>
  <c r="AE169" i="53"/>
  <c r="AP168" i="53"/>
  <c r="AE168" i="53"/>
  <c r="AP167" i="53"/>
  <c r="AE167" i="53"/>
  <c r="AP166" i="53"/>
  <c r="AE166" i="53"/>
  <c r="AP165" i="53"/>
  <c r="AE165" i="53"/>
  <c r="AP164" i="53"/>
  <c r="AE164" i="53"/>
  <c r="AP163" i="53"/>
  <c r="AE163" i="53"/>
  <c r="AP162" i="53"/>
  <c r="AE162" i="53"/>
  <c r="AP161" i="53"/>
  <c r="AE161" i="53"/>
  <c r="AP160" i="53"/>
  <c r="AE160" i="53"/>
  <c r="AP159" i="53"/>
  <c r="AE159" i="53"/>
  <c r="AP158" i="53"/>
  <c r="AE158" i="53"/>
  <c r="A157" i="53"/>
  <c r="AE157" i="53"/>
  <c r="A156" i="53"/>
  <c r="AE156" i="53"/>
  <c r="A155" i="53"/>
  <c r="AE155" i="53"/>
  <c r="A154" i="53"/>
  <c r="AE154" i="53"/>
  <c r="A153" i="53"/>
  <c r="AE153" i="53"/>
  <c r="A152" i="53"/>
  <c r="AE152" i="53"/>
  <c r="A151" i="53"/>
  <c r="AE151" i="53"/>
  <c r="A150" i="53"/>
  <c r="AE150" i="53"/>
  <c r="A149" i="53"/>
  <c r="AE149" i="53"/>
  <c r="A148" i="53"/>
  <c r="AE148" i="53"/>
  <c r="A147" i="53"/>
  <c r="AE147" i="53"/>
  <c r="A146" i="53"/>
  <c r="AE146" i="53"/>
  <c r="A145" i="53"/>
  <c r="AE145" i="53"/>
  <c r="A144" i="53"/>
  <c r="AE144" i="53"/>
  <c r="A143" i="53"/>
  <c r="AE143" i="53"/>
  <c r="A142" i="53"/>
  <c r="AE142" i="53"/>
  <c r="A141" i="53"/>
  <c r="AE141" i="53"/>
  <c r="A140" i="53"/>
  <c r="AE140" i="53"/>
  <c r="A139" i="53"/>
  <c r="AE139" i="53"/>
  <c r="A138" i="53"/>
  <c r="AE138" i="53"/>
  <c r="A137" i="53"/>
  <c r="AE137" i="53"/>
  <c r="A136" i="53"/>
  <c r="AE136" i="53"/>
  <c r="A135" i="53"/>
  <c r="AE135" i="53"/>
  <c r="A134" i="53"/>
  <c r="AE134" i="53"/>
  <c r="A133" i="53"/>
  <c r="AE133" i="53"/>
  <c r="A132" i="53"/>
  <c r="AE132" i="53"/>
  <c r="A131" i="53"/>
  <c r="AE131" i="53"/>
  <c r="A130" i="53"/>
  <c r="AE130" i="53"/>
  <c r="A129" i="53"/>
  <c r="AE129" i="53"/>
  <c r="A128" i="53"/>
  <c r="AE128" i="53"/>
  <c r="A127" i="53"/>
  <c r="AE127" i="53"/>
  <c r="A126" i="53"/>
  <c r="AE126" i="53"/>
  <c r="A125" i="53"/>
  <c r="AE125" i="53"/>
  <c r="A124" i="53"/>
  <c r="AE124" i="53"/>
  <c r="A123" i="53"/>
  <c r="AE123" i="53"/>
  <c r="A122" i="53"/>
  <c r="AE122" i="53"/>
  <c r="A121" i="53"/>
  <c r="AE121" i="53"/>
  <c r="A120" i="53"/>
  <c r="AE120" i="53"/>
  <c r="A119" i="53"/>
  <c r="AE119" i="53"/>
  <c r="A118" i="53"/>
  <c r="AE118" i="53"/>
  <c r="A117" i="53"/>
  <c r="AE117" i="53"/>
  <c r="A116" i="53"/>
  <c r="AE116" i="53"/>
  <c r="A115" i="53"/>
  <c r="AE115" i="53"/>
  <c r="A114" i="53"/>
  <c r="AE114" i="53"/>
  <c r="A113" i="53"/>
  <c r="AE113" i="53"/>
  <c r="A112" i="53"/>
  <c r="AE112" i="53"/>
  <c r="A111" i="53"/>
  <c r="AE111" i="53"/>
  <c r="A110" i="53"/>
  <c r="AE110" i="53"/>
  <c r="A109" i="53"/>
  <c r="AE109" i="53"/>
  <c r="A108" i="53"/>
  <c r="AE108" i="53"/>
  <c r="A107" i="53"/>
  <c r="AE107" i="53"/>
  <c r="A106" i="53"/>
  <c r="AE106" i="53"/>
  <c r="A105" i="53"/>
  <c r="AE105" i="53"/>
  <c r="A104" i="53"/>
  <c r="AE104" i="53"/>
  <c r="A103" i="53"/>
  <c r="AE103" i="53"/>
  <c r="A102" i="53"/>
  <c r="AE102" i="53"/>
  <c r="A101" i="53"/>
  <c r="AE101" i="53"/>
  <c r="A100" i="53"/>
  <c r="AE100" i="53"/>
  <c r="A99" i="53"/>
  <c r="AE99" i="53"/>
  <c r="A98" i="53"/>
  <c r="AE98" i="53"/>
  <c r="A97" i="53"/>
  <c r="AE97" i="53"/>
  <c r="A96" i="53"/>
  <c r="AE96" i="53"/>
  <c r="A95" i="53"/>
  <c r="AE95" i="53"/>
  <c r="A94" i="53"/>
  <c r="AE94" i="53"/>
  <c r="A93" i="53"/>
  <c r="AE93" i="53"/>
  <c r="A92" i="53"/>
  <c r="AE92" i="53"/>
  <c r="A91" i="53"/>
  <c r="AE91" i="53"/>
  <c r="A90" i="53"/>
  <c r="AE90" i="53"/>
  <c r="A89" i="53"/>
  <c r="AE89" i="53"/>
  <c r="A88" i="53"/>
  <c r="AE88" i="53"/>
  <c r="A87" i="53"/>
  <c r="AE87" i="53"/>
  <c r="A86" i="53"/>
  <c r="AE86" i="53"/>
  <c r="A85" i="53"/>
  <c r="AE85" i="53"/>
  <c r="A84" i="53"/>
  <c r="AE84" i="53"/>
  <c r="A83" i="53"/>
  <c r="AE83" i="53"/>
  <c r="A82" i="53"/>
  <c r="AE82" i="53"/>
  <c r="A81" i="53"/>
  <c r="AE81" i="53"/>
  <c r="A80" i="53"/>
  <c r="AE80" i="53"/>
  <c r="A79" i="53"/>
  <c r="AE79" i="53"/>
  <c r="A78" i="53"/>
  <c r="AE78" i="53"/>
  <c r="AO42" i="53"/>
  <c r="AL41" i="53"/>
  <c r="AK41" i="53"/>
  <c r="Q41" i="53"/>
  <c r="P41" i="53"/>
  <c r="AJ40" i="53"/>
  <c r="AH40" i="53"/>
  <c r="O40" i="53"/>
  <c r="M40" i="53"/>
  <c r="G37" i="53"/>
  <c r="F37" i="53"/>
  <c r="D37" i="53"/>
  <c r="B37" i="53"/>
  <c r="G36" i="53"/>
  <c r="F36" i="53"/>
  <c r="D36" i="53"/>
  <c r="B36" i="53"/>
  <c r="C26" i="53"/>
  <c r="C25" i="53"/>
  <c r="C21" i="53"/>
  <c r="C20" i="53"/>
  <c r="AC42" i="35"/>
  <c r="AB42" i="35"/>
  <c r="AA41" i="35"/>
  <c r="Y41" i="35"/>
  <c r="AF43" i="35"/>
  <c r="K322" i="35"/>
  <c r="J322" i="35"/>
  <c r="I322" i="35"/>
  <c r="H322" i="35"/>
  <c r="D322" i="35"/>
  <c r="F320" i="35"/>
  <c r="D320" i="35"/>
  <c r="G320" i="35"/>
  <c r="H320" i="35"/>
  <c r="I320" i="35"/>
  <c r="J320" i="35"/>
  <c r="K320" i="35"/>
  <c r="D321" i="35"/>
  <c r="E320" i="35"/>
  <c r="F41" i="35"/>
  <c r="D41" i="35"/>
  <c r="C21" i="35"/>
  <c r="C20" i="35"/>
  <c r="X318" i="35"/>
  <c r="X317" i="35"/>
  <c r="X316" i="35"/>
  <c r="X315" i="35"/>
  <c r="X314" i="35"/>
  <c r="X313" i="35"/>
  <c r="X312" i="35"/>
  <c r="X311" i="35"/>
  <c r="X310" i="35"/>
  <c r="X309" i="35"/>
  <c r="X308" i="35"/>
  <c r="X307" i="35"/>
  <c r="X306" i="35"/>
  <c r="X305" i="35"/>
  <c r="X304" i="35"/>
  <c r="X303" i="35"/>
  <c r="X302" i="35"/>
  <c r="X301" i="35"/>
  <c r="X300" i="35"/>
  <c r="X299" i="35"/>
  <c r="X298" i="35"/>
  <c r="X297" i="35"/>
  <c r="X296" i="35"/>
  <c r="X295" i="35"/>
  <c r="X294" i="35"/>
  <c r="X293" i="35"/>
  <c r="X292" i="35"/>
  <c r="X291" i="35"/>
  <c r="X290" i="35"/>
  <c r="X289" i="35"/>
  <c r="X288" i="35"/>
  <c r="X287" i="35"/>
  <c r="X286" i="35"/>
  <c r="X285" i="35"/>
  <c r="X284" i="35"/>
  <c r="X283" i="35"/>
  <c r="X282" i="35"/>
  <c r="X281" i="35"/>
  <c r="X280" i="35"/>
  <c r="X279" i="35"/>
  <c r="X278" i="35"/>
  <c r="X277" i="35"/>
  <c r="X276" i="35"/>
  <c r="X275" i="35"/>
  <c r="X274" i="35"/>
  <c r="X273" i="35"/>
  <c r="X272" i="35"/>
  <c r="X271" i="35"/>
  <c r="X270" i="35"/>
  <c r="X269" i="35"/>
  <c r="X268" i="35"/>
  <c r="X267" i="35"/>
  <c r="X266" i="35"/>
  <c r="X265" i="35"/>
  <c r="X264" i="35"/>
  <c r="X263" i="35"/>
  <c r="X262" i="35"/>
  <c r="X261" i="35"/>
  <c r="X260" i="35"/>
  <c r="X259" i="35"/>
  <c r="X258" i="35"/>
  <c r="X257" i="35"/>
  <c r="X256" i="35"/>
  <c r="X255" i="35"/>
  <c r="X254" i="35"/>
  <c r="X253" i="35"/>
  <c r="X252" i="35"/>
  <c r="X251" i="35"/>
  <c r="X250" i="35"/>
  <c r="X249" i="35"/>
  <c r="X248" i="35"/>
  <c r="X247" i="35"/>
  <c r="X246" i="35"/>
  <c r="X245" i="35"/>
  <c r="X244" i="35"/>
  <c r="X243" i="35"/>
  <c r="X242" i="35"/>
  <c r="X241" i="35"/>
  <c r="X240" i="35"/>
  <c r="X239" i="35"/>
  <c r="X238" i="35"/>
  <c r="X237" i="35"/>
  <c r="X236" i="35"/>
  <c r="X235" i="35"/>
  <c r="X234" i="35"/>
  <c r="X233" i="35"/>
  <c r="X232" i="35"/>
  <c r="X231" i="35"/>
  <c r="X230" i="35"/>
  <c r="X229" i="35"/>
  <c r="X228" i="35"/>
  <c r="X227" i="35"/>
  <c r="X226" i="35"/>
  <c r="X225" i="35"/>
  <c r="X224" i="35"/>
  <c r="X223" i="35"/>
  <c r="X222" i="35"/>
  <c r="X221" i="35"/>
  <c r="X220" i="35"/>
  <c r="X219" i="35"/>
  <c r="X218" i="35"/>
  <c r="X217" i="35"/>
  <c r="X216" i="35"/>
  <c r="X215" i="35"/>
  <c r="X214" i="35"/>
  <c r="X213" i="35"/>
  <c r="X212" i="35"/>
  <c r="X211" i="35"/>
  <c r="X210" i="35"/>
  <c r="X209" i="35"/>
  <c r="X208" i="35"/>
  <c r="X207" i="35"/>
  <c r="X206" i="35"/>
  <c r="X205" i="35"/>
  <c r="X204" i="35"/>
  <c r="X203" i="35"/>
  <c r="X202" i="35"/>
  <c r="X201" i="35"/>
  <c r="X200" i="35"/>
  <c r="X199" i="35"/>
  <c r="X198" i="35"/>
  <c r="X197" i="35"/>
  <c r="X196" i="35"/>
  <c r="X195" i="35"/>
  <c r="X194" i="35"/>
  <c r="X193" i="35"/>
  <c r="X192" i="35"/>
  <c r="X191" i="35"/>
  <c r="X190" i="35"/>
  <c r="X189" i="35"/>
  <c r="X188" i="35"/>
  <c r="X187" i="35"/>
  <c r="X186" i="35"/>
  <c r="X185" i="35"/>
  <c r="X184" i="35"/>
  <c r="X183" i="35"/>
  <c r="X182" i="35"/>
  <c r="X181" i="35"/>
  <c r="X180" i="35"/>
  <c r="X179" i="35"/>
  <c r="X178" i="35"/>
  <c r="X177" i="35"/>
  <c r="X176" i="35"/>
  <c r="X175" i="35"/>
  <c r="X174" i="35"/>
  <c r="X173" i="35"/>
  <c r="X172" i="35"/>
  <c r="X171" i="35"/>
  <c r="X170" i="35"/>
  <c r="X169" i="35"/>
  <c r="X168" i="35"/>
  <c r="X167" i="35"/>
  <c r="X166" i="35"/>
  <c r="X165" i="35"/>
  <c r="X164" i="35"/>
  <c r="X163" i="35"/>
  <c r="X162" i="35"/>
  <c r="X161" i="35"/>
  <c r="X160" i="35"/>
  <c r="X159" i="35"/>
  <c r="H42" i="35"/>
  <c r="G42" i="35"/>
  <c r="G37" i="35"/>
  <c r="F37" i="35"/>
  <c r="D37" i="35"/>
  <c r="B37" i="35"/>
  <c r="G36" i="35"/>
  <c r="F36" i="35"/>
  <c r="D36" i="35"/>
  <c r="B36" i="35"/>
  <c r="C26" i="35"/>
  <c r="C25" i="35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J24" i="2"/>
  <c r="E24" i="2"/>
  <c r="K24" i="2"/>
  <c r="J22" i="2"/>
  <c r="E22" i="2"/>
  <c r="K22" i="2"/>
  <c r="I20" i="2"/>
  <c r="I21" i="2"/>
  <c r="I22" i="2"/>
  <c r="I23" i="2"/>
  <c r="I24" i="2"/>
  <c r="I25" i="2"/>
  <c r="A159" i="35"/>
  <c r="A160" i="35"/>
  <c r="A161" i="35"/>
  <c r="A162" i="35"/>
  <c r="A163" i="35"/>
  <c r="A164" i="35"/>
  <c r="A165" i="35"/>
  <c r="A166" i="35"/>
  <c r="A167" i="35"/>
  <c r="A168" i="35"/>
  <c r="A169" i="35"/>
  <c r="A170" i="35"/>
  <c r="A171" i="35"/>
  <c r="A172" i="35"/>
  <c r="A173" i="35"/>
  <c r="A174" i="35"/>
  <c r="A175" i="35"/>
  <c r="A176" i="35"/>
  <c r="A177" i="35"/>
  <c r="A178" i="35"/>
  <c r="A179" i="35"/>
  <c r="A180" i="35"/>
  <c r="A181" i="35"/>
  <c r="A182" i="35"/>
  <c r="A183" i="35"/>
  <c r="A184" i="35"/>
  <c r="A185" i="35"/>
  <c r="A186" i="35"/>
  <c r="A187" i="35"/>
  <c r="A188" i="35"/>
  <c r="A189" i="35"/>
  <c r="A190" i="35"/>
  <c r="A191" i="35"/>
  <c r="A192" i="35"/>
  <c r="A193" i="35"/>
  <c r="A194" i="35"/>
  <c r="A195" i="35"/>
  <c r="A196" i="35"/>
  <c r="A197" i="35"/>
  <c r="A198" i="35"/>
  <c r="A199" i="35"/>
  <c r="A200" i="35"/>
  <c r="A201" i="35"/>
  <c r="A202" i="35"/>
  <c r="A203" i="35"/>
  <c r="A204" i="35"/>
  <c r="A205" i="35"/>
  <c r="A206" i="35"/>
  <c r="A207" i="35"/>
  <c r="A208" i="35"/>
  <c r="A209" i="35"/>
  <c r="A210" i="35"/>
  <c r="A211" i="35"/>
  <c r="A212" i="35"/>
  <c r="A213" i="35"/>
  <c r="A214" i="35"/>
  <c r="A215" i="35"/>
  <c r="A216" i="35"/>
  <c r="A217" i="35"/>
  <c r="A218" i="35"/>
  <c r="A219" i="35"/>
  <c r="A220" i="35"/>
  <c r="A221" i="35"/>
  <c r="A222" i="35"/>
  <c r="A223" i="35"/>
  <c r="A224" i="35"/>
  <c r="A225" i="35"/>
  <c r="A226" i="35"/>
  <c r="A227" i="35"/>
  <c r="A228" i="35"/>
  <c r="A229" i="35"/>
  <c r="A230" i="35"/>
  <c r="A231" i="35"/>
  <c r="A232" i="35"/>
  <c r="A233" i="35"/>
  <c r="A234" i="35"/>
  <c r="A235" i="35"/>
  <c r="A236" i="35"/>
  <c r="A237" i="35"/>
  <c r="A238" i="35"/>
  <c r="A239" i="35"/>
  <c r="A240" i="35"/>
  <c r="A241" i="35"/>
  <c r="A242" i="35"/>
  <c r="A243" i="35"/>
  <c r="A244" i="35"/>
  <c r="A245" i="35"/>
  <c r="A246" i="35"/>
  <c r="A247" i="35"/>
  <c r="A248" i="35"/>
  <c r="A249" i="35"/>
  <c r="A250" i="35"/>
  <c r="A251" i="35"/>
  <c r="A252" i="35"/>
  <c r="A253" i="35"/>
  <c r="A254" i="35"/>
  <c r="A255" i="35"/>
  <c r="A256" i="35"/>
  <c r="A257" i="35"/>
  <c r="A258" i="35"/>
  <c r="A259" i="35"/>
  <c r="A260" i="35"/>
  <c r="A261" i="35"/>
  <c r="A262" i="35"/>
  <c r="A263" i="35"/>
  <c r="A264" i="35"/>
  <c r="A265" i="35"/>
  <c r="A266" i="35"/>
  <c r="A267" i="35"/>
  <c r="A268" i="35"/>
  <c r="A269" i="35"/>
  <c r="A270" i="35"/>
  <c r="A271" i="35"/>
  <c r="A272" i="35"/>
  <c r="A273" i="35"/>
  <c r="A274" i="35"/>
  <c r="A275" i="35"/>
  <c r="A276" i="35"/>
  <c r="A277" i="35"/>
  <c r="A278" i="35"/>
  <c r="A279" i="35"/>
  <c r="A280" i="35"/>
  <c r="A281" i="35"/>
  <c r="A282" i="35"/>
  <c r="A283" i="35"/>
  <c r="A284" i="35"/>
  <c r="A285" i="35"/>
  <c r="A286" i="35"/>
  <c r="A287" i="35"/>
  <c r="A288" i="35"/>
  <c r="A289" i="35"/>
  <c r="A290" i="35"/>
  <c r="A291" i="35"/>
  <c r="A292" i="35"/>
  <c r="A293" i="35"/>
  <c r="A294" i="35"/>
  <c r="A295" i="35"/>
  <c r="A296" i="35"/>
  <c r="A297" i="35"/>
  <c r="A298" i="35"/>
  <c r="A299" i="35"/>
  <c r="A300" i="35"/>
  <c r="A301" i="35"/>
  <c r="A302" i="35"/>
  <c r="A303" i="35"/>
  <c r="A304" i="35"/>
  <c r="A305" i="35"/>
  <c r="A306" i="35"/>
  <c r="A307" i="35"/>
  <c r="A308" i="35"/>
  <c r="A309" i="35"/>
  <c r="A310" i="35"/>
  <c r="A311" i="35"/>
  <c r="A312" i="35"/>
  <c r="A313" i="35"/>
  <c r="A314" i="35"/>
  <c r="A315" i="35"/>
  <c r="A316" i="35"/>
  <c r="A317" i="35"/>
  <c r="A318" i="35"/>
  <c r="V318" i="35"/>
  <c r="V317" i="35"/>
  <c r="V316" i="35"/>
  <c r="V315" i="35"/>
  <c r="V314" i="35"/>
  <c r="V313" i="35"/>
  <c r="V312" i="35"/>
  <c r="V311" i="35"/>
  <c r="V310" i="35"/>
  <c r="V309" i="35"/>
  <c r="V308" i="35"/>
  <c r="V307" i="35"/>
  <c r="V306" i="35"/>
  <c r="V305" i="35"/>
  <c r="V304" i="35"/>
  <c r="V303" i="35"/>
  <c r="V302" i="35"/>
  <c r="V301" i="35"/>
  <c r="V300" i="35"/>
  <c r="V299" i="35"/>
  <c r="V298" i="35"/>
  <c r="V297" i="35"/>
  <c r="V296" i="35"/>
  <c r="V295" i="35"/>
  <c r="V294" i="35"/>
  <c r="V293" i="35"/>
  <c r="V292" i="35"/>
  <c r="V291" i="35"/>
  <c r="V290" i="35"/>
  <c r="V289" i="35"/>
  <c r="V288" i="35"/>
  <c r="V287" i="35"/>
  <c r="V286" i="35"/>
  <c r="V285" i="35"/>
  <c r="V284" i="35"/>
  <c r="V283" i="35"/>
  <c r="V282" i="35"/>
  <c r="V281" i="35"/>
  <c r="V280" i="35"/>
  <c r="V279" i="35"/>
  <c r="V278" i="35"/>
  <c r="V277" i="35"/>
  <c r="V276" i="35"/>
  <c r="V275" i="35"/>
  <c r="V274" i="35"/>
  <c r="V273" i="35"/>
  <c r="V272" i="35"/>
  <c r="V271" i="35"/>
  <c r="V270" i="35"/>
  <c r="V269" i="35"/>
  <c r="V268" i="35"/>
  <c r="V267" i="35"/>
  <c r="V266" i="35"/>
  <c r="V265" i="35"/>
  <c r="V264" i="35"/>
  <c r="V263" i="35"/>
  <c r="V262" i="35"/>
  <c r="V261" i="35"/>
  <c r="V260" i="35"/>
  <c r="V259" i="35"/>
  <c r="V258" i="35"/>
  <c r="V257" i="35"/>
  <c r="V256" i="35"/>
  <c r="V255" i="35"/>
  <c r="V254" i="35"/>
  <c r="V253" i="35"/>
  <c r="V252" i="35"/>
  <c r="V251" i="35"/>
  <c r="V250" i="35"/>
  <c r="V249" i="35"/>
  <c r="V248" i="35"/>
  <c r="V247" i="35"/>
  <c r="V246" i="35"/>
  <c r="V245" i="35"/>
  <c r="V244" i="35"/>
  <c r="V243" i="35"/>
  <c r="V242" i="35"/>
  <c r="V241" i="35"/>
  <c r="V240" i="35"/>
  <c r="V239" i="35"/>
  <c r="V238" i="35"/>
  <c r="V237" i="35"/>
  <c r="V236" i="35"/>
  <c r="V235" i="35"/>
  <c r="V234" i="35"/>
  <c r="V233" i="35"/>
  <c r="V232" i="35"/>
  <c r="V231" i="35"/>
  <c r="V230" i="35"/>
  <c r="V229" i="35"/>
  <c r="V228" i="35"/>
  <c r="V227" i="35"/>
  <c r="V226" i="35"/>
  <c r="V225" i="35"/>
  <c r="V224" i="35"/>
  <c r="V223" i="35"/>
  <c r="V222" i="35"/>
  <c r="V221" i="35"/>
  <c r="V220" i="35"/>
  <c r="V219" i="35"/>
  <c r="V218" i="35"/>
  <c r="V217" i="35"/>
  <c r="V216" i="35"/>
  <c r="V215" i="35"/>
  <c r="V214" i="35"/>
  <c r="V213" i="35"/>
  <c r="V212" i="35"/>
  <c r="V211" i="35"/>
  <c r="V210" i="35"/>
  <c r="V209" i="35"/>
  <c r="V208" i="35"/>
  <c r="V207" i="35"/>
  <c r="V206" i="35"/>
  <c r="V205" i="35"/>
  <c r="V204" i="35"/>
  <c r="V203" i="35"/>
  <c r="V202" i="35"/>
  <c r="V201" i="35"/>
  <c r="V200" i="35"/>
  <c r="V199" i="35"/>
  <c r="V198" i="35"/>
  <c r="V197" i="35"/>
  <c r="V196" i="35"/>
  <c r="V195" i="35"/>
  <c r="V194" i="35"/>
  <c r="V193" i="35"/>
  <c r="V192" i="35"/>
  <c r="V191" i="35"/>
  <c r="V190" i="35"/>
  <c r="V189" i="35"/>
  <c r="V188" i="35"/>
  <c r="V187" i="35"/>
  <c r="V186" i="35"/>
  <c r="V185" i="35"/>
  <c r="V184" i="35"/>
  <c r="V183" i="35"/>
  <c r="V182" i="35"/>
  <c r="V181" i="35"/>
  <c r="V180" i="35"/>
  <c r="V179" i="35"/>
  <c r="V178" i="35"/>
  <c r="V177" i="35"/>
  <c r="V176" i="35"/>
  <c r="V175" i="35"/>
  <c r="V174" i="35"/>
  <c r="V173" i="35"/>
  <c r="V172" i="35"/>
  <c r="V171" i="35"/>
  <c r="V170" i="35"/>
  <c r="V169" i="35"/>
  <c r="V168" i="35"/>
  <c r="V167" i="35"/>
  <c r="V166" i="35"/>
  <c r="V165" i="35"/>
  <c r="V164" i="35"/>
  <c r="V163" i="35"/>
  <c r="V162" i="35"/>
  <c r="V161" i="35"/>
  <c r="V160" i="35"/>
  <c r="V159" i="35"/>
  <c r="V158" i="35"/>
  <c r="A157" i="35"/>
  <c r="V157" i="35"/>
  <c r="A156" i="35"/>
  <c r="V156" i="35"/>
  <c r="A155" i="35"/>
  <c r="V155" i="35"/>
  <c r="A154" i="35"/>
  <c r="V154" i="35"/>
  <c r="A153" i="35"/>
  <c r="V153" i="35"/>
  <c r="A152" i="35"/>
  <c r="V152" i="35"/>
  <c r="A151" i="35"/>
  <c r="V151" i="35"/>
  <c r="A150" i="35"/>
  <c r="V150" i="35"/>
  <c r="A149" i="35"/>
  <c r="V149" i="35"/>
  <c r="A148" i="35"/>
  <c r="V148" i="35"/>
  <c r="A147" i="35"/>
  <c r="V147" i="35"/>
  <c r="A146" i="35"/>
  <c r="V146" i="35"/>
  <c r="A145" i="35"/>
  <c r="V145" i="35"/>
  <c r="A144" i="35"/>
  <c r="V144" i="35"/>
  <c r="A143" i="35"/>
  <c r="V143" i="35"/>
  <c r="A142" i="35"/>
  <c r="V142" i="35"/>
  <c r="A141" i="35"/>
  <c r="V141" i="35"/>
  <c r="A140" i="35"/>
  <c r="V140" i="35"/>
  <c r="A139" i="35"/>
  <c r="V139" i="35"/>
  <c r="A138" i="35"/>
  <c r="V138" i="35"/>
  <c r="A137" i="35"/>
  <c r="V137" i="35"/>
  <c r="A136" i="35"/>
  <c r="V136" i="35"/>
  <c r="A135" i="35"/>
  <c r="V135" i="35"/>
  <c r="A134" i="35"/>
  <c r="V134" i="35"/>
  <c r="A133" i="35"/>
  <c r="V133" i="35"/>
  <c r="A132" i="35"/>
  <c r="V132" i="35"/>
  <c r="A131" i="35"/>
  <c r="V131" i="35"/>
  <c r="A130" i="35"/>
  <c r="V130" i="35"/>
  <c r="A129" i="35"/>
  <c r="V129" i="35"/>
  <c r="A128" i="35"/>
  <c r="V128" i="35"/>
  <c r="A127" i="35"/>
  <c r="V127" i="35"/>
  <c r="A126" i="35"/>
  <c r="V126" i="35"/>
  <c r="A125" i="35"/>
  <c r="V125" i="35"/>
  <c r="A124" i="35"/>
  <c r="V124" i="35"/>
  <c r="A123" i="35"/>
  <c r="V123" i="35"/>
  <c r="A122" i="35"/>
  <c r="V122" i="35"/>
  <c r="A121" i="35"/>
  <c r="V121" i="35"/>
  <c r="A120" i="35"/>
  <c r="V120" i="35"/>
  <c r="A119" i="35"/>
  <c r="V119" i="35"/>
  <c r="A118" i="35"/>
  <c r="V118" i="35"/>
  <c r="A117" i="35"/>
  <c r="V117" i="35"/>
  <c r="A116" i="35"/>
  <c r="V116" i="35"/>
  <c r="A115" i="35"/>
  <c r="V115" i="35"/>
  <c r="A114" i="35"/>
  <c r="V114" i="35"/>
  <c r="A113" i="35"/>
  <c r="V113" i="35"/>
  <c r="A112" i="35"/>
  <c r="V112" i="35"/>
  <c r="A111" i="35"/>
  <c r="V111" i="35"/>
  <c r="A110" i="35"/>
  <c r="V110" i="35"/>
  <c r="A109" i="35"/>
  <c r="V109" i="35"/>
  <c r="A108" i="35"/>
  <c r="V108" i="35"/>
  <c r="A107" i="35"/>
  <c r="V107" i="35"/>
  <c r="A106" i="35"/>
  <c r="V106" i="35"/>
  <c r="A105" i="35"/>
  <c r="V105" i="35"/>
  <c r="A104" i="35"/>
  <c r="V104" i="35"/>
  <c r="A103" i="35"/>
  <c r="V103" i="35"/>
  <c r="A102" i="35"/>
  <c r="V102" i="35"/>
  <c r="A101" i="35"/>
  <c r="V101" i="35"/>
  <c r="A100" i="35"/>
  <c r="V100" i="35"/>
  <c r="A99" i="35"/>
  <c r="V99" i="35"/>
  <c r="A98" i="35"/>
  <c r="V98" i="35"/>
  <c r="A97" i="35"/>
  <c r="V97" i="35"/>
  <c r="A96" i="35"/>
  <c r="V96" i="35"/>
  <c r="A95" i="35"/>
  <c r="V95" i="35"/>
  <c r="A94" i="35"/>
  <c r="V94" i="35"/>
  <c r="A93" i="35"/>
  <c r="V93" i="35"/>
  <c r="A92" i="35"/>
  <c r="V92" i="35"/>
  <c r="A91" i="35"/>
  <c r="V91" i="35"/>
  <c r="A90" i="35"/>
  <c r="V90" i="35"/>
  <c r="A89" i="35"/>
  <c r="V89" i="35"/>
  <c r="A88" i="35"/>
  <c r="V88" i="35"/>
  <c r="A87" i="35"/>
  <c r="V87" i="35"/>
  <c r="A86" i="35"/>
  <c r="V86" i="35"/>
  <c r="A85" i="35"/>
  <c r="V85" i="35"/>
  <c r="A84" i="35"/>
  <c r="V84" i="35"/>
  <c r="A83" i="35"/>
  <c r="V83" i="35"/>
  <c r="A82" i="35"/>
  <c r="V82" i="35"/>
  <c r="A81" i="35"/>
  <c r="V81" i="35"/>
  <c r="A80" i="35"/>
  <c r="V80" i="35"/>
  <c r="A79" i="35"/>
  <c r="V79" i="35"/>
  <c r="AG318" i="35"/>
  <c r="AG317" i="35"/>
  <c r="AG316" i="35"/>
  <c r="AG315" i="35"/>
  <c r="AG314" i="35"/>
  <c r="AG313" i="35"/>
  <c r="AG312" i="35"/>
  <c r="AG311" i="35"/>
  <c r="AG310" i="35"/>
  <c r="AG309" i="35"/>
  <c r="AG308" i="35"/>
  <c r="AG307" i="35"/>
  <c r="AG306" i="35"/>
  <c r="AG305" i="35"/>
  <c r="AG304" i="35"/>
  <c r="AG303" i="35"/>
  <c r="AG302" i="35"/>
  <c r="AG301" i="35"/>
  <c r="AG300" i="35"/>
  <c r="AG299" i="35"/>
  <c r="AG298" i="35"/>
  <c r="AG297" i="35"/>
  <c r="AG296" i="35"/>
  <c r="AG295" i="35"/>
  <c r="AG294" i="35"/>
  <c r="AG293" i="35"/>
  <c r="AG292" i="35"/>
  <c r="AG291" i="35"/>
  <c r="AG290" i="35"/>
  <c r="AG289" i="35"/>
  <c r="AG288" i="35"/>
  <c r="AG287" i="35"/>
  <c r="AG286" i="35"/>
  <c r="AG285" i="35"/>
  <c r="AG284" i="35"/>
  <c r="AG283" i="35"/>
  <c r="AG282" i="35"/>
  <c r="AG281" i="35"/>
  <c r="AG280" i="35"/>
  <c r="AG279" i="35"/>
  <c r="AG278" i="35"/>
  <c r="AG277" i="35"/>
  <c r="AG276" i="35"/>
  <c r="AG275" i="35"/>
  <c r="AG274" i="35"/>
  <c r="AG273" i="35"/>
  <c r="AG272" i="35"/>
  <c r="AG271" i="35"/>
  <c r="AG270" i="35"/>
  <c r="AG269" i="35"/>
  <c r="AG268" i="35"/>
  <c r="AG267" i="35"/>
  <c r="AG266" i="35"/>
  <c r="AG265" i="35"/>
  <c r="AG264" i="35"/>
  <c r="AG263" i="35"/>
  <c r="AG262" i="35"/>
  <c r="AG261" i="35"/>
  <c r="AG260" i="35"/>
  <c r="AG259" i="35"/>
  <c r="AG258" i="35"/>
  <c r="AG257" i="35"/>
  <c r="AG256" i="35"/>
  <c r="AG255" i="35"/>
  <c r="AG254" i="35"/>
  <c r="AG253" i="35"/>
  <c r="AG252" i="35"/>
  <c r="AG251" i="35"/>
  <c r="AG250" i="35"/>
  <c r="AG249" i="35"/>
  <c r="AG248" i="35"/>
  <c r="AG247" i="35"/>
  <c r="AG246" i="35"/>
  <c r="AG245" i="35"/>
  <c r="AG244" i="35"/>
  <c r="AG243" i="35"/>
  <c r="AG242" i="35"/>
  <c r="AG241" i="35"/>
  <c r="AG240" i="35"/>
  <c r="AG239" i="35"/>
  <c r="AG238" i="35"/>
  <c r="AG237" i="35"/>
  <c r="AG236" i="35"/>
  <c r="AG235" i="35"/>
  <c r="AG234" i="35"/>
  <c r="AG233" i="35"/>
  <c r="AG232" i="35"/>
  <c r="AG231" i="35"/>
  <c r="AG230" i="35"/>
  <c r="AG229" i="35"/>
  <c r="AG228" i="35"/>
  <c r="AG227" i="35"/>
  <c r="AG226" i="35"/>
  <c r="AG225" i="35"/>
  <c r="AG224" i="35"/>
  <c r="AG223" i="35"/>
  <c r="AG222" i="35"/>
  <c r="AG221" i="35"/>
  <c r="AG220" i="35"/>
  <c r="AG219" i="35"/>
  <c r="AG218" i="35"/>
  <c r="AG217" i="35"/>
  <c r="AG216" i="35"/>
  <c r="AG215" i="35"/>
  <c r="AG214" i="35"/>
  <c r="AG213" i="35"/>
  <c r="AG212" i="35"/>
  <c r="AG211" i="35"/>
  <c r="AG210" i="35"/>
  <c r="AG209" i="35"/>
  <c r="AG208" i="35"/>
  <c r="AG207" i="35"/>
  <c r="AG206" i="35"/>
  <c r="AG205" i="35"/>
  <c r="AG204" i="35"/>
  <c r="AG203" i="35"/>
  <c r="AG202" i="35"/>
  <c r="AG201" i="35"/>
  <c r="AG200" i="35"/>
  <c r="AG199" i="35"/>
  <c r="AG198" i="35"/>
  <c r="AG197" i="35"/>
  <c r="AG196" i="35"/>
  <c r="AG195" i="35"/>
  <c r="AG194" i="35"/>
  <c r="AG193" i="35"/>
  <c r="AG192" i="35"/>
  <c r="AG191" i="35"/>
  <c r="AG190" i="35"/>
  <c r="AG189" i="35"/>
  <c r="AG188" i="35"/>
  <c r="AG187" i="35"/>
  <c r="AG186" i="35"/>
  <c r="AG185" i="35"/>
  <c r="AG184" i="35"/>
  <c r="AG183" i="35"/>
  <c r="AG182" i="35"/>
  <c r="AG181" i="35"/>
  <c r="AG180" i="35"/>
  <c r="AG179" i="35"/>
  <c r="AG178" i="35"/>
  <c r="AG177" i="35"/>
  <c r="AG176" i="35"/>
  <c r="AG175" i="35"/>
  <c r="AG174" i="35"/>
  <c r="AG173" i="35"/>
  <c r="AG172" i="35"/>
  <c r="AG171" i="35"/>
  <c r="AG170" i="35"/>
  <c r="AG169" i="35"/>
  <c r="AG168" i="35"/>
  <c r="AG167" i="35"/>
  <c r="AG166" i="35"/>
  <c r="AG165" i="35"/>
  <c r="AG164" i="35"/>
  <c r="AG163" i="35"/>
  <c r="AG162" i="35"/>
  <c r="AG161" i="35"/>
  <c r="AG160" i="35"/>
  <c r="AG159" i="35"/>
  <c r="AG158" i="35"/>
  <c r="A78" i="35"/>
  <c r="V78" i="35"/>
  <c r="S179" i="2"/>
  <c r="R179" i="2"/>
  <c r="Q179" i="2"/>
  <c r="J119" i="2"/>
  <c r="E119" i="2"/>
  <c r="K119" i="2"/>
  <c r="E20" i="2"/>
  <c r="J20" i="2"/>
  <c r="K20" i="2"/>
  <c r="O19" i="2"/>
  <c r="O20" i="2"/>
  <c r="E21" i="2"/>
  <c r="J21" i="2"/>
  <c r="K21" i="2"/>
  <c r="O21" i="2"/>
  <c r="O22" i="2"/>
  <c r="E23" i="2"/>
  <c r="J23" i="2"/>
  <c r="K23" i="2"/>
  <c r="O23" i="2"/>
  <c r="O24" i="2"/>
  <c r="E25" i="2"/>
  <c r="J25" i="2"/>
  <c r="K25" i="2"/>
  <c r="O25" i="2"/>
  <c r="E26" i="2"/>
  <c r="J26" i="2"/>
  <c r="K26" i="2"/>
  <c r="O26" i="2"/>
  <c r="E27" i="2"/>
  <c r="J27" i="2"/>
  <c r="K27" i="2"/>
  <c r="O27" i="2"/>
  <c r="E28" i="2"/>
  <c r="J28" i="2"/>
  <c r="K28" i="2"/>
  <c r="O28" i="2"/>
  <c r="E29" i="2"/>
  <c r="J29" i="2"/>
  <c r="K29" i="2"/>
  <c r="O29" i="2"/>
  <c r="E30" i="2"/>
  <c r="J30" i="2"/>
  <c r="K30" i="2"/>
  <c r="O30" i="2"/>
  <c r="E31" i="2"/>
  <c r="J31" i="2"/>
  <c r="K31" i="2"/>
  <c r="O31" i="2"/>
  <c r="E32" i="2"/>
  <c r="J32" i="2"/>
  <c r="K32" i="2"/>
  <c r="O32" i="2"/>
  <c r="E33" i="2"/>
  <c r="J33" i="2"/>
  <c r="K33" i="2"/>
  <c r="O33" i="2"/>
  <c r="E34" i="2"/>
  <c r="J34" i="2"/>
  <c r="K34" i="2"/>
  <c r="O34" i="2"/>
  <c r="E35" i="2"/>
  <c r="J35" i="2"/>
  <c r="K35" i="2"/>
  <c r="O35" i="2"/>
  <c r="E36" i="2"/>
  <c r="J36" i="2"/>
  <c r="K36" i="2"/>
  <c r="O36" i="2"/>
  <c r="E37" i="2"/>
  <c r="J37" i="2"/>
  <c r="K37" i="2"/>
  <c r="O37" i="2"/>
  <c r="E38" i="2"/>
  <c r="J38" i="2"/>
  <c r="K38" i="2"/>
  <c r="O38" i="2"/>
  <c r="E39" i="2"/>
  <c r="J39" i="2"/>
  <c r="K39" i="2"/>
  <c r="O39" i="2"/>
  <c r="E40" i="2"/>
  <c r="J40" i="2"/>
  <c r="K40" i="2"/>
  <c r="O40" i="2"/>
  <c r="E41" i="2"/>
  <c r="J41" i="2"/>
  <c r="K41" i="2"/>
  <c r="O41" i="2"/>
  <c r="E42" i="2"/>
  <c r="J42" i="2"/>
  <c r="K42" i="2"/>
  <c r="O42" i="2"/>
  <c r="E43" i="2"/>
  <c r="J43" i="2"/>
  <c r="K43" i="2"/>
  <c r="O43" i="2"/>
  <c r="E44" i="2"/>
  <c r="J44" i="2"/>
  <c r="K44" i="2"/>
  <c r="O44" i="2"/>
  <c r="E45" i="2"/>
  <c r="J45" i="2"/>
  <c r="K45" i="2"/>
  <c r="O45" i="2"/>
  <c r="E46" i="2"/>
  <c r="J46" i="2"/>
  <c r="K46" i="2"/>
  <c r="O46" i="2"/>
  <c r="E47" i="2"/>
  <c r="J47" i="2"/>
  <c r="K47" i="2"/>
  <c r="O47" i="2"/>
  <c r="E48" i="2"/>
  <c r="J48" i="2"/>
  <c r="K48" i="2"/>
  <c r="O48" i="2"/>
  <c r="E49" i="2"/>
  <c r="J49" i="2"/>
  <c r="K49" i="2"/>
  <c r="O49" i="2"/>
  <c r="E50" i="2"/>
  <c r="J50" i="2"/>
  <c r="K50" i="2"/>
  <c r="O50" i="2"/>
  <c r="E51" i="2"/>
  <c r="J51" i="2"/>
  <c r="K51" i="2"/>
  <c r="O51" i="2"/>
  <c r="E52" i="2"/>
  <c r="J52" i="2"/>
  <c r="K52" i="2"/>
  <c r="O52" i="2"/>
  <c r="E53" i="2"/>
  <c r="J53" i="2"/>
  <c r="K53" i="2"/>
  <c r="O53" i="2"/>
  <c r="E54" i="2"/>
  <c r="J54" i="2"/>
  <c r="K54" i="2"/>
  <c r="O54" i="2"/>
  <c r="E55" i="2"/>
  <c r="J55" i="2"/>
  <c r="K55" i="2"/>
  <c r="O55" i="2"/>
  <c r="E56" i="2"/>
  <c r="J56" i="2"/>
  <c r="K56" i="2"/>
  <c r="O56" i="2"/>
  <c r="E57" i="2"/>
  <c r="J57" i="2"/>
  <c r="K57" i="2"/>
  <c r="O57" i="2"/>
  <c r="E58" i="2"/>
  <c r="J58" i="2"/>
  <c r="K58" i="2"/>
  <c r="O58" i="2"/>
  <c r="E59" i="2"/>
  <c r="J59" i="2"/>
  <c r="K59" i="2"/>
  <c r="O59" i="2"/>
  <c r="E60" i="2"/>
  <c r="J60" i="2"/>
  <c r="K60" i="2"/>
  <c r="O60" i="2"/>
  <c r="E61" i="2"/>
  <c r="J61" i="2"/>
  <c r="K61" i="2"/>
  <c r="O61" i="2"/>
  <c r="E62" i="2"/>
  <c r="J62" i="2"/>
  <c r="K62" i="2"/>
  <c r="O62" i="2"/>
  <c r="E63" i="2"/>
  <c r="J63" i="2"/>
  <c r="K63" i="2"/>
  <c r="O63" i="2"/>
  <c r="E64" i="2"/>
  <c r="J64" i="2"/>
  <c r="K64" i="2"/>
  <c r="O64" i="2"/>
  <c r="E65" i="2"/>
  <c r="J65" i="2"/>
  <c r="K65" i="2"/>
  <c r="O65" i="2"/>
  <c r="E66" i="2"/>
  <c r="J66" i="2"/>
  <c r="K66" i="2"/>
  <c r="O66" i="2"/>
  <c r="E67" i="2"/>
  <c r="J67" i="2"/>
  <c r="K67" i="2"/>
  <c r="O67" i="2"/>
  <c r="E68" i="2"/>
  <c r="J68" i="2"/>
  <c r="K68" i="2"/>
  <c r="O68" i="2"/>
  <c r="E69" i="2"/>
  <c r="J69" i="2"/>
  <c r="K69" i="2"/>
  <c r="O69" i="2"/>
  <c r="E70" i="2"/>
  <c r="J70" i="2"/>
  <c r="K70" i="2"/>
  <c r="O70" i="2"/>
  <c r="E71" i="2"/>
  <c r="J71" i="2"/>
  <c r="K71" i="2"/>
  <c r="O71" i="2"/>
  <c r="E72" i="2"/>
  <c r="J72" i="2"/>
  <c r="K72" i="2"/>
  <c r="O72" i="2"/>
  <c r="E73" i="2"/>
  <c r="J73" i="2"/>
  <c r="K73" i="2"/>
  <c r="O73" i="2"/>
  <c r="E74" i="2"/>
  <c r="J74" i="2"/>
  <c r="K74" i="2"/>
  <c r="O74" i="2"/>
  <c r="E75" i="2"/>
  <c r="J75" i="2"/>
  <c r="K75" i="2"/>
  <c r="O75" i="2"/>
  <c r="E76" i="2"/>
  <c r="J76" i="2"/>
  <c r="K76" i="2"/>
  <c r="O76" i="2"/>
  <c r="E77" i="2"/>
  <c r="J77" i="2"/>
  <c r="K77" i="2"/>
  <c r="O77" i="2"/>
  <c r="E78" i="2"/>
  <c r="J78" i="2"/>
  <c r="K78" i="2"/>
  <c r="O78" i="2"/>
  <c r="E79" i="2"/>
  <c r="J79" i="2"/>
  <c r="K79" i="2"/>
  <c r="O79" i="2"/>
  <c r="E80" i="2"/>
  <c r="J80" i="2"/>
  <c r="K80" i="2"/>
  <c r="O80" i="2"/>
  <c r="E81" i="2"/>
  <c r="J81" i="2"/>
  <c r="K81" i="2"/>
  <c r="O81" i="2"/>
  <c r="E82" i="2"/>
  <c r="J82" i="2"/>
  <c r="K82" i="2"/>
  <c r="O82" i="2"/>
  <c r="E83" i="2"/>
  <c r="J83" i="2"/>
  <c r="K83" i="2"/>
  <c r="O83" i="2"/>
  <c r="E84" i="2"/>
  <c r="J84" i="2"/>
  <c r="K84" i="2"/>
  <c r="O84" i="2"/>
  <c r="E85" i="2"/>
  <c r="J85" i="2"/>
  <c r="K85" i="2"/>
  <c r="O85" i="2"/>
  <c r="E86" i="2"/>
  <c r="J86" i="2"/>
  <c r="K86" i="2"/>
  <c r="O86" i="2"/>
  <c r="E87" i="2"/>
  <c r="J87" i="2"/>
  <c r="K87" i="2"/>
  <c r="O87" i="2"/>
  <c r="E88" i="2"/>
  <c r="J88" i="2"/>
  <c r="K88" i="2"/>
  <c r="O88" i="2"/>
  <c r="E89" i="2"/>
  <c r="J89" i="2"/>
  <c r="K89" i="2"/>
  <c r="O89" i="2"/>
  <c r="E90" i="2"/>
  <c r="J90" i="2"/>
  <c r="K90" i="2"/>
  <c r="O90" i="2"/>
  <c r="E91" i="2"/>
  <c r="J91" i="2"/>
  <c r="K91" i="2"/>
  <c r="O91" i="2"/>
  <c r="E92" i="2"/>
  <c r="J92" i="2"/>
  <c r="K92" i="2"/>
  <c r="O92" i="2"/>
  <c r="E93" i="2"/>
  <c r="J93" i="2"/>
  <c r="K93" i="2"/>
  <c r="O93" i="2"/>
  <c r="E94" i="2"/>
  <c r="J94" i="2"/>
  <c r="K94" i="2"/>
  <c r="O94" i="2"/>
  <c r="E95" i="2"/>
  <c r="J95" i="2"/>
  <c r="K95" i="2"/>
  <c r="O95" i="2"/>
  <c r="E96" i="2"/>
  <c r="J96" i="2"/>
  <c r="K96" i="2"/>
  <c r="O96" i="2"/>
  <c r="E97" i="2"/>
  <c r="J97" i="2"/>
  <c r="K97" i="2"/>
  <c r="O97" i="2"/>
  <c r="E98" i="2"/>
  <c r="J98" i="2"/>
  <c r="K98" i="2"/>
  <c r="O98" i="2"/>
  <c r="E99" i="2"/>
  <c r="J99" i="2"/>
  <c r="K99" i="2"/>
  <c r="O99" i="2"/>
  <c r="E100" i="2"/>
  <c r="J100" i="2"/>
  <c r="K100" i="2"/>
  <c r="O100" i="2"/>
  <c r="E101" i="2"/>
  <c r="J101" i="2"/>
  <c r="K101" i="2"/>
  <c r="O101" i="2"/>
  <c r="E102" i="2"/>
  <c r="J102" i="2"/>
  <c r="K102" i="2"/>
  <c r="O102" i="2"/>
  <c r="E103" i="2"/>
  <c r="J103" i="2"/>
  <c r="K103" i="2"/>
  <c r="O103" i="2"/>
  <c r="E104" i="2"/>
  <c r="J104" i="2"/>
  <c r="K104" i="2"/>
  <c r="O104" i="2"/>
  <c r="E105" i="2"/>
  <c r="J105" i="2"/>
  <c r="K105" i="2"/>
  <c r="O105" i="2"/>
  <c r="E106" i="2"/>
  <c r="J106" i="2"/>
  <c r="K106" i="2"/>
  <c r="O106" i="2"/>
  <c r="E107" i="2"/>
  <c r="J107" i="2"/>
  <c r="K107" i="2"/>
  <c r="O107" i="2"/>
  <c r="E108" i="2"/>
  <c r="J108" i="2"/>
  <c r="K108" i="2"/>
  <c r="O108" i="2"/>
  <c r="E109" i="2"/>
  <c r="J109" i="2"/>
  <c r="K109" i="2"/>
  <c r="O109" i="2"/>
  <c r="E110" i="2"/>
  <c r="J110" i="2"/>
  <c r="K110" i="2"/>
  <c r="O110" i="2"/>
  <c r="E111" i="2"/>
  <c r="J111" i="2"/>
  <c r="K111" i="2"/>
  <c r="O111" i="2"/>
  <c r="E112" i="2"/>
  <c r="J112" i="2"/>
  <c r="K112" i="2"/>
  <c r="O112" i="2"/>
  <c r="E113" i="2"/>
  <c r="J113" i="2"/>
  <c r="K113" i="2"/>
  <c r="O113" i="2"/>
  <c r="E114" i="2"/>
  <c r="J114" i="2"/>
  <c r="K114" i="2"/>
  <c r="O114" i="2"/>
  <c r="E115" i="2"/>
  <c r="J115" i="2"/>
  <c r="K115" i="2"/>
  <c r="O115" i="2"/>
  <c r="E116" i="2"/>
  <c r="J116" i="2"/>
  <c r="K116" i="2"/>
  <c r="O116" i="2"/>
  <c r="E117" i="2"/>
  <c r="J117" i="2"/>
  <c r="K117" i="2"/>
  <c r="O117" i="2"/>
  <c r="E118" i="2"/>
  <c r="J118" i="2"/>
  <c r="K118" i="2"/>
  <c r="O118" i="2"/>
  <c r="O119" i="2"/>
  <c r="J120" i="2"/>
  <c r="E120" i="2"/>
  <c r="K120" i="2"/>
  <c r="O120" i="2"/>
  <c r="J121" i="2"/>
  <c r="E121" i="2"/>
  <c r="K121" i="2"/>
  <c r="O121" i="2"/>
  <c r="J122" i="2"/>
  <c r="E122" i="2"/>
  <c r="K122" i="2"/>
  <c r="O122" i="2"/>
  <c r="J123" i="2"/>
  <c r="E123" i="2"/>
  <c r="K123" i="2"/>
  <c r="O123" i="2"/>
  <c r="J124" i="2"/>
  <c r="E124" i="2"/>
  <c r="K124" i="2"/>
  <c r="O124" i="2"/>
  <c r="J125" i="2"/>
  <c r="E125" i="2"/>
  <c r="K125" i="2"/>
  <c r="O125" i="2"/>
  <c r="J126" i="2"/>
  <c r="E126" i="2"/>
  <c r="K126" i="2"/>
  <c r="O126" i="2"/>
  <c r="J127" i="2"/>
  <c r="E127" i="2"/>
  <c r="K127" i="2"/>
  <c r="O127" i="2"/>
  <c r="J128" i="2"/>
  <c r="E128" i="2"/>
  <c r="K128" i="2"/>
  <c r="O128" i="2"/>
  <c r="J129" i="2"/>
  <c r="E129" i="2"/>
  <c r="K129" i="2"/>
  <c r="O129" i="2"/>
  <c r="J130" i="2"/>
  <c r="E130" i="2"/>
  <c r="K130" i="2"/>
  <c r="O130" i="2"/>
  <c r="J131" i="2"/>
  <c r="E131" i="2"/>
  <c r="K131" i="2"/>
  <c r="O131" i="2"/>
  <c r="J132" i="2"/>
  <c r="E132" i="2"/>
  <c r="K132" i="2"/>
  <c r="O132" i="2"/>
  <c r="J133" i="2"/>
  <c r="E133" i="2"/>
  <c r="K133" i="2"/>
  <c r="O133" i="2"/>
  <c r="J134" i="2"/>
  <c r="E134" i="2"/>
  <c r="K134" i="2"/>
  <c r="O134" i="2"/>
  <c r="J135" i="2"/>
  <c r="E135" i="2"/>
  <c r="K135" i="2"/>
  <c r="O135" i="2"/>
  <c r="J136" i="2"/>
  <c r="E136" i="2"/>
  <c r="K136" i="2"/>
  <c r="O136" i="2"/>
  <c r="J137" i="2"/>
  <c r="E137" i="2"/>
  <c r="K137" i="2"/>
  <c r="O137" i="2"/>
  <c r="J138" i="2"/>
  <c r="E138" i="2"/>
  <c r="K138" i="2"/>
  <c r="O138" i="2"/>
  <c r="J139" i="2"/>
  <c r="E139" i="2"/>
  <c r="K139" i="2"/>
  <c r="O139" i="2"/>
  <c r="J140" i="2"/>
  <c r="E140" i="2"/>
  <c r="K140" i="2"/>
  <c r="O140" i="2"/>
  <c r="J141" i="2"/>
  <c r="E141" i="2"/>
  <c r="K141" i="2"/>
  <c r="O141" i="2"/>
  <c r="J142" i="2"/>
  <c r="E142" i="2"/>
  <c r="K142" i="2"/>
  <c r="O142" i="2"/>
  <c r="J143" i="2"/>
  <c r="E143" i="2"/>
  <c r="K143" i="2"/>
  <c r="O143" i="2"/>
  <c r="J144" i="2"/>
  <c r="E144" i="2"/>
  <c r="K144" i="2"/>
  <c r="O144" i="2"/>
  <c r="J145" i="2"/>
  <c r="E145" i="2"/>
  <c r="K145" i="2"/>
  <c r="O145" i="2"/>
  <c r="J146" i="2"/>
  <c r="E146" i="2"/>
  <c r="K146" i="2"/>
  <c r="O146" i="2"/>
  <c r="J147" i="2"/>
  <c r="E147" i="2"/>
  <c r="K147" i="2"/>
  <c r="O147" i="2"/>
  <c r="J148" i="2"/>
  <c r="E148" i="2"/>
  <c r="K148" i="2"/>
  <c r="O148" i="2"/>
  <c r="J149" i="2"/>
  <c r="E149" i="2"/>
  <c r="K149" i="2"/>
  <c r="O149" i="2"/>
  <c r="J150" i="2"/>
  <c r="E150" i="2"/>
  <c r="K150" i="2"/>
  <c r="O150" i="2"/>
  <c r="J151" i="2"/>
  <c r="E151" i="2"/>
  <c r="K151" i="2"/>
  <c r="O151" i="2"/>
  <c r="J152" i="2"/>
  <c r="E152" i="2"/>
  <c r="K152" i="2"/>
  <c r="O152" i="2"/>
  <c r="J153" i="2"/>
  <c r="E153" i="2"/>
  <c r="K153" i="2"/>
  <c r="O153" i="2"/>
  <c r="J154" i="2"/>
  <c r="E154" i="2"/>
  <c r="K154" i="2"/>
  <c r="O154" i="2"/>
  <c r="J155" i="2"/>
  <c r="E155" i="2"/>
  <c r="K155" i="2"/>
  <c r="O155" i="2"/>
  <c r="J156" i="2"/>
  <c r="E156" i="2"/>
  <c r="K156" i="2"/>
  <c r="O156" i="2"/>
  <c r="J157" i="2"/>
  <c r="E157" i="2"/>
  <c r="K157" i="2"/>
  <c r="O157" i="2"/>
  <c r="J158" i="2"/>
  <c r="E158" i="2"/>
  <c r="K158" i="2"/>
  <c r="O158" i="2"/>
  <c r="J159" i="2"/>
  <c r="E159" i="2"/>
  <c r="K159" i="2"/>
  <c r="O159" i="2"/>
  <c r="J160" i="2"/>
  <c r="E160" i="2"/>
  <c r="K160" i="2"/>
  <c r="O160" i="2"/>
  <c r="J161" i="2"/>
  <c r="E161" i="2"/>
  <c r="K161" i="2"/>
  <c r="O161" i="2"/>
  <c r="J162" i="2"/>
  <c r="E162" i="2"/>
  <c r="K162" i="2"/>
  <c r="O162" i="2"/>
  <c r="J163" i="2"/>
  <c r="E163" i="2"/>
  <c r="K163" i="2"/>
  <c r="O163" i="2"/>
  <c r="J164" i="2"/>
  <c r="E164" i="2"/>
  <c r="K164" i="2"/>
  <c r="O164" i="2"/>
  <c r="J165" i="2"/>
  <c r="E165" i="2"/>
  <c r="K165" i="2"/>
  <c r="O165" i="2"/>
  <c r="J166" i="2"/>
  <c r="E166" i="2"/>
  <c r="K166" i="2"/>
  <c r="O166" i="2"/>
  <c r="J167" i="2"/>
  <c r="E167" i="2"/>
  <c r="K167" i="2"/>
  <c r="O167" i="2"/>
  <c r="J168" i="2"/>
  <c r="E168" i="2"/>
  <c r="K168" i="2"/>
  <c r="O168" i="2"/>
  <c r="J169" i="2"/>
  <c r="E169" i="2"/>
  <c r="K169" i="2"/>
  <c r="O169" i="2"/>
  <c r="J170" i="2"/>
  <c r="E170" i="2"/>
  <c r="K170" i="2"/>
  <c r="O170" i="2"/>
  <c r="J171" i="2"/>
  <c r="E171" i="2"/>
  <c r="K171" i="2"/>
  <c r="O171" i="2"/>
  <c r="J172" i="2"/>
  <c r="E172" i="2"/>
  <c r="K172" i="2"/>
  <c r="O172" i="2"/>
  <c r="J173" i="2"/>
  <c r="E173" i="2"/>
  <c r="K173" i="2"/>
  <c r="O173" i="2"/>
  <c r="J174" i="2"/>
  <c r="E174" i="2"/>
  <c r="K174" i="2"/>
  <c r="O174" i="2"/>
  <c r="J175" i="2"/>
  <c r="E175" i="2"/>
  <c r="K175" i="2"/>
  <c r="O175" i="2"/>
  <c r="J176" i="2"/>
  <c r="E176" i="2"/>
  <c r="K176" i="2"/>
  <c r="O176" i="2"/>
  <c r="J177" i="2"/>
  <c r="E177" i="2"/>
  <c r="K177" i="2"/>
  <c r="O177" i="2"/>
  <c r="J178" i="2"/>
  <c r="E178" i="2"/>
  <c r="K178" i="2"/>
  <c r="O178" i="2"/>
  <c r="J179" i="2"/>
  <c r="E179" i="2"/>
  <c r="K179" i="2"/>
  <c r="O179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S178" i="2"/>
  <c r="R178" i="2"/>
  <c r="Q178" i="2"/>
  <c r="S177" i="2"/>
  <c r="R177" i="2"/>
  <c r="Q177" i="2"/>
  <c r="S176" i="2"/>
  <c r="R176" i="2"/>
  <c r="Q176" i="2"/>
  <c r="S175" i="2"/>
  <c r="R175" i="2"/>
  <c r="Q175" i="2"/>
  <c r="S174" i="2"/>
  <c r="R174" i="2"/>
  <c r="Q174" i="2"/>
  <c r="S173" i="2"/>
  <c r="R173" i="2"/>
  <c r="Q173" i="2"/>
  <c r="S172" i="2"/>
  <c r="R172" i="2"/>
  <c r="Q172" i="2"/>
  <c r="S171" i="2"/>
  <c r="R171" i="2"/>
  <c r="Q171" i="2"/>
  <c r="S170" i="2"/>
  <c r="R170" i="2"/>
  <c r="Q170" i="2"/>
  <c r="S169" i="2"/>
  <c r="R169" i="2"/>
  <c r="Q169" i="2"/>
  <c r="S168" i="2"/>
  <c r="R168" i="2"/>
  <c r="Q168" i="2"/>
  <c r="S167" i="2"/>
  <c r="R167" i="2"/>
  <c r="Q167" i="2"/>
  <c r="S166" i="2"/>
  <c r="R166" i="2"/>
  <c r="Q166" i="2"/>
  <c r="S165" i="2"/>
  <c r="R165" i="2"/>
  <c r="Q165" i="2"/>
  <c r="S164" i="2"/>
  <c r="R164" i="2"/>
  <c r="Q164" i="2"/>
  <c r="S163" i="2"/>
  <c r="R163" i="2"/>
  <c r="Q163" i="2"/>
  <c r="S162" i="2"/>
  <c r="R162" i="2"/>
  <c r="Q162" i="2"/>
  <c r="S161" i="2"/>
  <c r="R161" i="2"/>
  <c r="Q161" i="2"/>
  <c r="S160" i="2"/>
  <c r="R160" i="2"/>
  <c r="Q160" i="2"/>
  <c r="S159" i="2"/>
  <c r="R159" i="2"/>
  <c r="Q159" i="2"/>
  <c r="S158" i="2"/>
  <c r="R158" i="2"/>
  <c r="Q158" i="2"/>
  <c r="S157" i="2"/>
  <c r="R157" i="2"/>
  <c r="Q157" i="2"/>
  <c r="S156" i="2"/>
  <c r="R156" i="2"/>
  <c r="Q156" i="2"/>
  <c r="S155" i="2"/>
  <c r="R155" i="2"/>
  <c r="Q155" i="2"/>
  <c r="S154" i="2"/>
  <c r="R154" i="2"/>
  <c r="Q154" i="2"/>
  <c r="S153" i="2"/>
  <c r="R153" i="2"/>
  <c r="Q153" i="2"/>
  <c r="S152" i="2"/>
  <c r="R152" i="2"/>
  <c r="Q152" i="2"/>
  <c r="S151" i="2"/>
  <c r="R151" i="2"/>
  <c r="Q151" i="2"/>
  <c r="S150" i="2"/>
  <c r="R150" i="2"/>
  <c r="Q150" i="2"/>
  <c r="S149" i="2"/>
  <c r="R149" i="2"/>
  <c r="Q149" i="2"/>
  <c r="S148" i="2"/>
  <c r="R148" i="2"/>
  <c r="Q148" i="2"/>
  <c r="S147" i="2"/>
  <c r="R147" i="2"/>
  <c r="Q147" i="2"/>
  <c r="S146" i="2"/>
  <c r="R146" i="2"/>
  <c r="Q146" i="2"/>
  <c r="S145" i="2"/>
  <c r="R145" i="2"/>
  <c r="Q145" i="2"/>
  <c r="S144" i="2"/>
  <c r="R144" i="2"/>
  <c r="Q144" i="2"/>
  <c r="S143" i="2"/>
  <c r="R143" i="2"/>
  <c r="Q143" i="2"/>
  <c r="S142" i="2"/>
  <c r="R142" i="2"/>
  <c r="Q142" i="2"/>
  <c r="S141" i="2"/>
  <c r="R141" i="2"/>
  <c r="Q141" i="2"/>
  <c r="S140" i="2"/>
  <c r="R140" i="2"/>
  <c r="Q140" i="2"/>
  <c r="S139" i="2"/>
  <c r="R139" i="2"/>
  <c r="Q139" i="2"/>
  <c r="S138" i="2"/>
  <c r="R138" i="2"/>
  <c r="Q138" i="2"/>
  <c r="S137" i="2"/>
  <c r="R137" i="2"/>
  <c r="Q137" i="2"/>
  <c r="S136" i="2"/>
  <c r="R136" i="2"/>
  <c r="Q136" i="2"/>
  <c r="S135" i="2"/>
  <c r="R135" i="2"/>
  <c r="Q135" i="2"/>
  <c r="S134" i="2"/>
  <c r="R134" i="2"/>
  <c r="Q134" i="2"/>
  <c r="S133" i="2"/>
  <c r="R133" i="2"/>
  <c r="Q133" i="2"/>
  <c r="S132" i="2"/>
  <c r="R132" i="2"/>
  <c r="Q132" i="2"/>
  <c r="S131" i="2"/>
  <c r="R131" i="2"/>
  <c r="Q131" i="2"/>
  <c r="S130" i="2"/>
  <c r="R130" i="2"/>
  <c r="Q130" i="2"/>
  <c r="S129" i="2"/>
  <c r="R129" i="2"/>
  <c r="Q129" i="2"/>
  <c r="S128" i="2"/>
  <c r="R128" i="2"/>
  <c r="Q128" i="2"/>
  <c r="S127" i="2"/>
  <c r="R127" i="2"/>
  <c r="Q127" i="2"/>
  <c r="S126" i="2"/>
  <c r="R126" i="2"/>
  <c r="Q126" i="2"/>
  <c r="S125" i="2"/>
  <c r="R125" i="2"/>
  <c r="Q125" i="2"/>
  <c r="S124" i="2"/>
  <c r="R124" i="2"/>
  <c r="Q124" i="2"/>
  <c r="S123" i="2"/>
  <c r="R123" i="2"/>
  <c r="Q123" i="2"/>
  <c r="S122" i="2"/>
  <c r="R122" i="2"/>
  <c r="Q122" i="2"/>
  <c r="S121" i="2"/>
  <c r="R121" i="2"/>
  <c r="Q121" i="2"/>
  <c r="S120" i="2"/>
  <c r="R120" i="2"/>
  <c r="Q120" i="2"/>
  <c r="I173" i="29"/>
  <c r="J172" i="29"/>
  <c r="I172" i="29"/>
  <c r="J171" i="29"/>
  <c r="I171" i="29"/>
  <c r="J170" i="29"/>
  <c r="I170" i="29"/>
  <c r="J169" i="29"/>
  <c r="I169" i="29"/>
  <c r="J168" i="29"/>
  <c r="I168" i="29"/>
  <c r="J167" i="29"/>
  <c r="I167" i="29"/>
  <c r="J166" i="29"/>
  <c r="I166" i="29"/>
  <c r="J165" i="29"/>
  <c r="I165" i="29"/>
  <c r="J164" i="29"/>
  <c r="I164" i="29"/>
  <c r="J163" i="29"/>
  <c r="I163" i="29"/>
  <c r="J162" i="29"/>
  <c r="I162" i="29"/>
  <c r="J161" i="29"/>
  <c r="I161" i="29"/>
  <c r="J160" i="29"/>
  <c r="I160" i="29"/>
  <c r="J159" i="29"/>
  <c r="I159" i="29"/>
  <c r="J158" i="29"/>
  <c r="I158" i="29"/>
  <c r="J157" i="29"/>
  <c r="I157" i="29"/>
  <c r="J156" i="29"/>
  <c r="I156" i="29"/>
  <c r="J155" i="29"/>
  <c r="I155" i="29"/>
  <c r="J154" i="29"/>
  <c r="I154" i="29"/>
  <c r="I153" i="29"/>
  <c r="J152" i="29"/>
  <c r="I152" i="29"/>
  <c r="J151" i="29"/>
  <c r="I151" i="29"/>
  <c r="J150" i="29"/>
  <c r="I150" i="29"/>
  <c r="J149" i="29"/>
  <c r="I149" i="29"/>
  <c r="J148" i="29"/>
  <c r="I148" i="29"/>
  <c r="J147" i="29"/>
  <c r="I147" i="29"/>
  <c r="J146" i="29"/>
  <c r="I146" i="29"/>
  <c r="J145" i="29"/>
  <c r="I145" i="29"/>
  <c r="J144" i="29"/>
  <c r="I144" i="29"/>
  <c r="J143" i="29"/>
  <c r="I143" i="29"/>
  <c r="J142" i="29"/>
  <c r="I142" i="29"/>
  <c r="J141" i="29"/>
  <c r="I141" i="29"/>
  <c r="J140" i="29"/>
  <c r="I140" i="29"/>
  <c r="J139" i="29"/>
  <c r="I139" i="29"/>
  <c r="J138" i="29"/>
  <c r="I138" i="29"/>
  <c r="J137" i="29"/>
  <c r="I137" i="29"/>
  <c r="J136" i="29"/>
  <c r="I136" i="29"/>
  <c r="J135" i="29"/>
  <c r="I135" i="29"/>
  <c r="J134" i="29"/>
  <c r="I134" i="29"/>
  <c r="I133" i="29"/>
  <c r="J132" i="29"/>
  <c r="I132" i="29"/>
  <c r="J131" i="29"/>
  <c r="I131" i="29"/>
  <c r="J130" i="29"/>
  <c r="I130" i="29"/>
  <c r="J129" i="29"/>
  <c r="I129" i="29"/>
  <c r="J128" i="29"/>
  <c r="I128" i="29"/>
  <c r="J127" i="29"/>
  <c r="I127" i="29"/>
  <c r="J126" i="29"/>
  <c r="I126" i="29"/>
  <c r="J125" i="29"/>
  <c r="I125" i="29"/>
  <c r="J124" i="29"/>
  <c r="I124" i="29"/>
  <c r="J123" i="29"/>
  <c r="I123" i="29"/>
  <c r="J122" i="29"/>
  <c r="I122" i="29"/>
  <c r="J121" i="29"/>
  <c r="I121" i="29"/>
  <c r="J120" i="29"/>
  <c r="I120" i="29"/>
  <c r="J119" i="29"/>
  <c r="I119" i="29"/>
  <c r="J118" i="29"/>
  <c r="I118" i="29"/>
  <c r="J117" i="29"/>
  <c r="I117" i="29"/>
  <c r="J116" i="29"/>
  <c r="I116" i="29"/>
  <c r="J115" i="29"/>
  <c r="I115" i="29"/>
  <c r="J114" i="29"/>
  <c r="I114" i="29"/>
  <c r="I113" i="29"/>
  <c r="J112" i="29"/>
  <c r="I112" i="29"/>
  <c r="J111" i="29"/>
  <c r="I111" i="29"/>
  <c r="J110" i="29"/>
  <c r="I110" i="29"/>
  <c r="J109" i="29"/>
  <c r="I109" i="29"/>
  <c r="J108" i="29"/>
  <c r="I108" i="29"/>
  <c r="J107" i="29"/>
  <c r="I107" i="29"/>
  <c r="J106" i="29"/>
  <c r="I106" i="29"/>
  <c r="J105" i="29"/>
  <c r="I105" i="29"/>
  <c r="J104" i="29"/>
  <c r="I104" i="29"/>
  <c r="J103" i="29"/>
  <c r="I103" i="29"/>
  <c r="J102" i="29"/>
  <c r="I102" i="29"/>
  <c r="J101" i="29"/>
  <c r="I101" i="29"/>
  <c r="J100" i="29"/>
  <c r="I100" i="29"/>
  <c r="J99" i="29"/>
  <c r="I99" i="29"/>
  <c r="J98" i="29"/>
  <c r="I98" i="29"/>
  <c r="J97" i="29"/>
  <c r="I97" i="29"/>
  <c r="J96" i="29"/>
  <c r="I96" i="29"/>
  <c r="J95" i="29"/>
  <c r="I95" i="29"/>
  <c r="J94" i="29"/>
  <c r="I94" i="29"/>
  <c r="J93" i="29"/>
  <c r="I92" i="29"/>
  <c r="I91" i="29"/>
  <c r="I90" i="29"/>
  <c r="I89" i="29"/>
  <c r="I88" i="29"/>
  <c r="I87" i="29"/>
  <c r="I86" i="29"/>
  <c r="I85" i="29"/>
  <c r="I84" i="29"/>
  <c r="I83" i="29"/>
  <c r="I82" i="29"/>
  <c r="I81" i="29"/>
  <c r="I80" i="29"/>
  <c r="I79" i="29"/>
  <c r="I78" i="29"/>
  <c r="I77" i="29"/>
  <c r="I76" i="29"/>
  <c r="I75" i="29"/>
  <c r="I74" i="29"/>
  <c r="I72" i="29"/>
  <c r="I71" i="29"/>
  <c r="I70" i="29"/>
  <c r="I69" i="29"/>
  <c r="I68" i="29"/>
  <c r="I67" i="29"/>
  <c r="I66" i="29"/>
  <c r="I65" i="29"/>
  <c r="I64" i="29"/>
  <c r="I63" i="29"/>
  <c r="I62" i="29"/>
  <c r="I61" i="29"/>
  <c r="I60" i="29"/>
  <c r="I59" i="29"/>
  <c r="I58" i="29"/>
  <c r="I57" i="29"/>
  <c r="I56" i="29"/>
  <c r="I55" i="29"/>
  <c r="I54" i="29"/>
  <c r="I52" i="29"/>
  <c r="I51" i="29"/>
  <c r="I50" i="29"/>
  <c r="I49" i="29"/>
  <c r="I48" i="29"/>
  <c r="I47" i="29"/>
  <c r="I46" i="29"/>
  <c r="I45" i="29"/>
  <c r="I44" i="29"/>
  <c r="I43" i="29"/>
  <c r="I42" i="29"/>
  <c r="I41" i="29"/>
  <c r="I40" i="29"/>
  <c r="I39" i="29"/>
  <c r="I38" i="29"/>
  <c r="I37" i="29"/>
  <c r="I36" i="29"/>
  <c r="I35" i="29"/>
  <c r="I34" i="29"/>
  <c r="I32" i="29"/>
  <c r="I31" i="29"/>
  <c r="I30" i="29"/>
  <c r="I29" i="29"/>
  <c r="I28" i="29"/>
  <c r="I27" i="29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G173" i="29"/>
  <c r="H172" i="29"/>
  <c r="G172" i="29"/>
  <c r="H171" i="29"/>
  <c r="G171" i="29"/>
  <c r="H170" i="29"/>
  <c r="G170" i="29"/>
  <c r="H169" i="29"/>
  <c r="G169" i="29"/>
  <c r="H168" i="29"/>
  <c r="G168" i="29"/>
  <c r="H167" i="29"/>
  <c r="G167" i="29"/>
  <c r="H166" i="29"/>
  <c r="G166" i="29"/>
  <c r="H165" i="29"/>
  <c r="G165" i="29"/>
  <c r="H164" i="29"/>
  <c r="G164" i="29"/>
  <c r="H163" i="29"/>
  <c r="G163" i="29"/>
  <c r="H162" i="29"/>
  <c r="G162" i="29"/>
  <c r="H161" i="29"/>
  <c r="G161" i="29"/>
  <c r="H160" i="29"/>
  <c r="G160" i="29"/>
  <c r="H159" i="29"/>
  <c r="G159" i="29"/>
  <c r="H158" i="29"/>
  <c r="G158" i="29"/>
  <c r="H157" i="29"/>
  <c r="G157" i="29"/>
  <c r="H156" i="29"/>
  <c r="G156" i="29"/>
  <c r="H155" i="29"/>
  <c r="G155" i="29"/>
  <c r="H154" i="29"/>
  <c r="G154" i="29"/>
  <c r="G153" i="29"/>
  <c r="H152" i="29"/>
  <c r="G152" i="29"/>
  <c r="H151" i="29"/>
  <c r="G151" i="29"/>
  <c r="H150" i="29"/>
  <c r="G150" i="29"/>
  <c r="H149" i="29"/>
  <c r="G149" i="29"/>
  <c r="H148" i="29"/>
  <c r="G148" i="29"/>
  <c r="H147" i="29"/>
  <c r="G147" i="29"/>
  <c r="H146" i="29"/>
  <c r="G146" i="29"/>
  <c r="H145" i="29"/>
  <c r="G145" i="29"/>
  <c r="H144" i="29"/>
  <c r="G144" i="29"/>
  <c r="H143" i="29"/>
  <c r="G143" i="29"/>
  <c r="H142" i="29"/>
  <c r="G142" i="29"/>
  <c r="H141" i="29"/>
  <c r="G141" i="29"/>
  <c r="H140" i="29"/>
  <c r="G140" i="29"/>
  <c r="H139" i="29"/>
  <c r="G139" i="29"/>
  <c r="H138" i="29"/>
  <c r="G138" i="29"/>
  <c r="H137" i="29"/>
  <c r="G137" i="29"/>
  <c r="H136" i="29"/>
  <c r="G136" i="29"/>
  <c r="H135" i="29"/>
  <c r="G135" i="29"/>
  <c r="H134" i="29"/>
  <c r="G134" i="29"/>
  <c r="G133" i="29"/>
  <c r="H132" i="29"/>
  <c r="G132" i="29"/>
  <c r="H131" i="29"/>
  <c r="G131" i="29"/>
  <c r="H130" i="29"/>
  <c r="G130" i="29"/>
  <c r="H129" i="29"/>
  <c r="G129" i="29"/>
  <c r="H128" i="29"/>
  <c r="G128" i="29"/>
  <c r="H127" i="29"/>
  <c r="G127" i="29"/>
  <c r="H126" i="29"/>
  <c r="G126" i="29"/>
  <c r="H125" i="29"/>
  <c r="G125" i="29"/>
  <c r="H124" i="29"/>
  <c r="G124" i="29"/>
  <c r="H123" i="29"/>
  <c r="G123" i="29"/>
  <c r="H122" i="29"/>
  <c r="G122" i="29"/>
  <c r="H121" i="29"/>
  <c r="G121" i="29"/>
  <c r="H120" i="29"/>
  <c r="G120" i="29"/>
  <c r="H119" i="29"/>
  <c r="G119" i="29"/>
  <c r="H118" i="29"/>
  <c r="G118" i="29"/>
  <c r="H117" i="29"/>
  <c r="G117" i="29"/>
  <c r="H116" i="29"/>
  <c r="G116" i="29"/>
  <c r="H115" i="29"/>
  <c r="G115" i="29"/>
  <c r="H114" i="29"/>
  <c r="G114" i="29"/>
  <c r="G113" i="29"/>
  <c r="H112" i="29"/>
  <c r="G112" i="29"/>
  <c r="H111" i="29"/>
  <c r="G111" i="29"/>
  <c r="H110" i="29"/>
  <c r="G110" i="29"/>
  <c r="H109" i="29"/>
  <c r="G109" i="29"/>
  <c r="H108" i="29"/>
  <c r="G108" i="29"/>
  <c r="H107" i="29"/>
  <c r="G107" i="29"/>
  <c r="H106" i="29"/>
  <c r="G106" i="29"/>
  <c r="H105" i="29"/>
  <c r="G105" i="29"/>
  <c r="H104" i="29"/>
  <c r="G104" i="29"/>
  <c r="H103" i="29"/>
  <c r="G103" i="29"/>
  <c r="H102" i="29"/>
  <c r="G102" i="29"/>
  <c r="H101" i="29"/>
  <c r="G101" i="29"/>
  <c r="H100" i="29"/>
  <c r="G100" i="29"/>
  <c r="H99" i="29"/>
  <c r="G99" i="29"/>
  <c r="H98" i="29"/>
  <c r="G98" i="29"/>
  <c r="H97" i="29"/>
  <c r="G97" i="29"/>
  <c r="H96" i="29"/>
  <c r="G96" i="29"/>
  <c r="H95" i="29"/>
  <c r="G95" i="29"/>
  <c r="H94" i="29"/>
  <c r="G94" i="29"/>
  <c r="H93" i="29"/>
  <c r="G92" i="29"/>
  <c r="G91" i="29"/>
  <c r="G90" i="29"/>
  <c r="G89" i="29"/>
  <c r="G88" i="29"/>
  <c r="G87" i="29"/>
  <c r="G86" i="29"/>
  <c r="G85" i="29"/>
  <c r="G84" i="29"/>
  <c r="G83" i="29"/>
  <c r="G82" i="29"/>
  <c r="G81" i="29"/>
  <c r="G80" i="29"/>
  <c r="G79" i="29"/>
  <c r="G78" i="29"/>
  <c r="G77" i="29"/>
  <c r="G76" i="29"/>
  <c r="G75" i="29"/>
  <c r="G74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E173" i="29"/>
  <c r="F172" i="29"/>
  <c r="E172" i="29"/>
  <c r="F171" i="29"/>
  <c r="E171" i="29"/>
  <c r="F170" i="29"/>
  <c r="E170" i="29"/>
  <c r="F169" i="29"/>
  <c r="E169" i="29"/>
  <c r="F168" i="29"/>
  <c r="E168" i="29"/>
  <c r="F167" i="29"/>
  <c r="E167" i="29"/>
  <c r="F166" i="29"/>
  <c r="E166" i="29"/>
  <c r="F165" i="29"/>
  <c r="E165" i="29"/>
  <c r="F164" i="29"/>
  <c r="E164" i="29"/>
  <c r="F163" i="29"/>
  <c r="E163" i="29"/>
  <c r="F162" i="29"/>
  <c r="E162" i="29"/>
  <c r="F161" i="29"/>
  <c r="E161" i="29"/>
  <c r="F160" i="29"/>
  <c r="E160" i="29"/>
  <c r="F159" i="29"/>
  <c r="E159" i="29"/>
  <c r="F158" i="29"/>
  <c r="E158" i="29"/>
  <c r="F157" i="29"/>
  <c r="E157" i="29"/>
  <c r="F156" i="29"/>
  <c r="E156" i="29"/>
  <c r="F155" i="29"/>
  <c r="E155" i="29"/>
  <c r="F154" i="29"/>
  <c r="E154" i="29"/>
  <c r="E153" i="29"/>
  <c r="F152" i="29"/>
  <c r="E152" i="29"/>
  <c r="F151" i="29"/>
  <c r="E151" i="29"/>
  <c r="F150" i="29"/>
  <c r="E150" i="29"/>
  <c r="F149" i="29"/>
  <c r="E149" i="29"/>
  <c r="F148" i="29"/>
  <c r="E148" i="29"/>
  <c r="F147" i="29"/>
  <c r="E147" i="29"/>
  <c r="F146" i="29"/>
  <c r="E146" i="29"/>
  <c r="F145" i="29"/>
  <c r="E145" i="29"/>
  <c r="F144" i="29"/>
  <c r="E144" i="29"/>
  <c r="F143" i="29"/>
  <c r="E143" i="29"/>
  <c r="F142" i="29"/>
  <c r="E142" i="29"/>
  <c r="F141" i="29"/>
  <c r="E141" i="29"/>
  <c r="F140" i="29"/>
  <c r="E140" i="29"/>
  <c r="F139" i="29"/>
  <c r="E139" i="29"/>
  <c r="F138" i="29"/>
  <c r="E138" i="29"/>
  <c r="F137" i="29"/>
  <c r="E137" i="29"/>
  <c r="F136" i="29"/>
  <c r="E136" i="29"/>
  <c r="F135" i="29"/>
  <c r="E135" i="29"/>
  <c r="F134" i="29"/>
  <c r="E134" i="29"/>
  <c r="E133" i="29"/>
  <c r="F132" i="29"/>
  <c r="E132" i="29"/>
  <c r="F131" i="29"/>
  <c r="E131" i="29"/>
  <c r="F130" i="29"/>
  <c r="E130" i="29"/>
  <c r="F129" i="29"/>
  <c r="E129" i="29"/>
  <c r="F128" i="29"/>
  <c r="E128" i="29"/>
  <c r="F127" i="29"/>
  <c r="E127" i="29"/>
  <c r="F126" i="29"/>
  <c r="E126" i="29"/>
  <c r="F125" i="29"/>
  <c r="E125" i="29"/>
  <c r="F124" i="29"/>
  <c r="E124" i="29"/>
  <c r="F123" i="29"/>
  <c r="E123" i="29"/>
  <c r="F122" i="29"/>
  <c r="E122" i="29"/>
  <c r="F121" i="29"/>
  <c r="E121" i="29"/>
  <c r="F120" i="29"/>
  <c r="E120" i="29"/>
  <c r="F119" i="29"/>
  <c r="E119" i="29"/>
  <c r="F118" i="29"/>
  <c r="E118" i="29"/>
  <c r="F117" i="29"/>
  <c r="E117" i="29"/>
  <c r="F116" i="29"/>
  <c r="E116" i="29"/>
  <c r="F115" i="29"/>
  <c r="E115" i="29"/>
  <c r="F114" i="29"/>
  <c r="E114" i="29"/>
  <c r="E113" i="29"/>
  <c r="F112" i="29"/>
  <c r="E112" i="29"/>
  <c r="F111" i="29"/>
  <c r="E111" i="29"/>
  <c r="F110" i="29"/>
  <c r="E110" i="29"/>
  <c r="F109" i="29"/>
  <c r="E109" i="29"/>
  <c r="F108" i="29"/>
  <c r="E108" i="29"/>
  <c r="F107" i="29"/>
  <c r="E107" i="29"/>
  <c r="F106" i="29"/>
  <c r="E106" i="29"/>
  <c r="F105" i="29"/>
  <c r="E105" i="29"/>
  <c r="F104" i="29"/>
  <c r="E104" i="29"/>
  <c r="F103" i="29"/>
  <c r="E103" i="29"/>
  <c r="F102" i="29"/>
  <c r="E102" i="29"/>
  <c r="F101" i="29"/>
  <c r="E101" i="29"/>
  <c r="F100" i="29"/>
  <c r="E100" i="29"/>
  <c r="F99" i="29"/>
  <c r="E99" i="29"/>
  <c r="F98" i="29"/>
  <c r="E98" i="29"/>
  <c r="F97" i="29"/>
  <c r="E97" i="29"/>
  <c r="F96" i="29"/>
  <c r="E96" i="29"/>
  <c r="F95" i="29"/>
  <c r="E95" i="29"/>
  <c r="F94" i="29"/>
  <c r="E94" i="29"/>
  <c r="F93" i="29"/>
  <c r="E92" i="29"/>
  <c r="E91" i="29"/>
  <c r="E90" i="29"/>
  <c r="E89" i="29"/>
  <c r="E88" i="29"/>
  <c r="E87" i="29"/>
  <c r="E86" i="29"/>
  <c r="E85" i="29"/>
  <c r="E84" i="29"/>
  <c r="E83" i="29"/>
  <c r="E82" i="29"/>
  <c r="E81" i="29"/>
  <c r="E80" i="29"/>
  <c r="E79" i="29"/>
  <c r="E78" i="29"/>
  <c r="E77" i="29"/>
  <c r="E76" i="29"/>
  <c r="E75" i="29"/>
  <c r="E74" i="29"/>
  <c r="E72" i="29"/>
  <c r="E71" i="29"/>
  <c r="E70" i="29"/>
  <c r="E69" i="29"/>
  <c r="E68" i="29"/>
  <c r="E67" i="29"/>
  <c r="E66" i="29"/>
  <c r="E65" i="29"/>
  <c r="E64" i="29"/>
  <c r="E63" i="29"/>
  <c r="E62" i="29"/>
  <c r="E61" i="29"/>
  <c r="E60" i="29"/>
  <c r="E59" i="29"/>
  <c r="E58" i="29"/>
  <c r="E57" i="29"/>
  <c r="E56" i="29"/>
  <c r="E55" i="29"/>
  <c r="E54" i="29"/>
  <c r="E52" i="29"/>
  <c r="E51" i="29"/>
  <c r="E50" i="29"/>
  <c r="E49" i="29"/>
  <c r="E48" i="29"/>
  <c r="E47" i="29"/>
  <c r="E46" i="29"/>
  <c r="E45" i="29"/>
  <c r="E44" i="29"/>
  <c r="E43" i="29"/>
  <c r="E42" i="29"/>
  <c r="E41" i="29"/>
  <c r="E40" i="29"/>
  <c r="E39" i="29"/>
  <c r="E38" i="29"/>
  <c r="E37" i="29"/>
  <c r="E36" i="29"/>
  <c r="E35" i="29"/>
  <c r="E34" i="29"/>
  <c r="E32" i="29"/>
  <c r="E31" i="29"/>
  <c r="E30" i="29"/>
  <c r="E29" i="29"/>
  <c r="E28" i="29"/>
  <c r="E27" i="29"/>
  <c r="E26" i="29"/>
  <c r="E25" i="29"/>
  <c r="E24" i="29"/>
  <c r="E23" i="29"/>
  <c r="E22" i="29"/>
  <c r="E21" i="29"/>
  <c r="E20" i="29"/>
  <c r="E19" i="29"/>
  <c r="E18" i="29"/>
  <c r="E17" i="29"/>
  <c r="E16" i="29"/>
  <c r="E15" i="29"/>
  <c r="E14" i="29"/>
  <c r="E13" i="29"/>
  <c r="D93" i="29"/>
  <c r="D176" i="29"/>
  <c r="C94" i="29"/>
  <c r="C95" i="29"/>
  <c r="C96" i="29"/>
  <c r="C97" i="29"/>
  <c r="C98" i="29"/>
  <c r="C99" i="29"/>
  <c r="C100" i="29"/>
  <c r="C101" i="29"/>
  <c r="C102" i="29"/>
  <c r="C103" i="29"/>
  <c r="C104" i="29"/>
  <c r="C105" i="29"/>
  <c r="C106" i="29"/>
  <c r="C107" i="29"/>
  <c r="C108" i="29"/>
  <c r="C109" i="29"/>
  <c r="C110" i="29"/>
  <c r="C111" i="29"/>
  <c r="C112" i="29"/>
  <c r="C113" i="29"/>
  <c r="C114" i="29"/>
  <c r="C115" i="29"/>
  <c r="C116" i="29"/>
  <c r="C117" i="29"/>
  <c r="C118" i="29"/>
  <c r="C119" i="29"/>
  <c r="C120" i="29"/>
  <c r="C121" i="29"/>
  <c r="C122" i="29"/>
  <c r="C123" i="29"/>
  <c r="C124" i="29"/>
  <c r="C125" i="29"/>
  <c r="C126" i="29"/>
  <c r="C127" i="29"/>
  <c r="C128" i="29"/>
  <c r="C129" i="29"/>
  <c r="C130" i="29"/>
  <c r="C131" i="29"/>
  <c r="C132" i="29"/>
  <c r="C133" i="29"/>
  <c r="C134" i="29"/>
  <c r="C135" i="29"/>
  <c r="C136" i="29"/>
  <c r="C137" i="29"/>
  <c r="C138" i="29"/>
  <c r="C139" i="29"/>
  <c r="C140" i="29"/>
  <c r="C141" i="29"/>
  <c r="C142" i="29"/>
  <c r="C143" i="29"/>
  <c r="C144" i="29"/>
  <c r="C145" i="29"/>
  <c r="C146" i="29"/>
  <c r="C147" i="29"/>
  <c r="C148" i="29"/>
  <c r="C149" i="29"/>
  <c r="C150" i="29"/>
  <c r="C151" i="29"/>
  <c r="C152" i="29"/>
  <c r="C153" i="29"/>
  <c r="C154" i="29"/>
  <c r="C155" i="29"/>
  <c r="C156" i="29"/>
  <c r="C157" i="29"/>
  <c r="C158" i="29"/>
  <c r="C159" i="29"/>
  <c r="C160" i="29"/>
  <c r="C161" i="29"/>
  <c r="C162" i="29"/>
  <c r="C163" i="29"/>
  <c r="C164" i="29"/>
  <c r="C165" i="29"/>
  <c r="C166" i="29"/>
  <c r="C167" i="29"/>
  <c r="C168" i="29"/>
  <c r="C169" i="29"/>
  <c r="C170" i="29"/>
  <c r="C171" i="29"/>
  <c r="C172" i="29"/>
  <c r="C173" i="29"/>
  <c r="C176" i="29"/>
  <c r="C178" i="29"/>
  <c r="D182" i="29"/>
  <c r="D181" i="29"/>
  <c r="D180" i="29"/>
  <c r="D177" i="29"/>
  <c r="D178" i="29"/>
  <c r="D179" i="29"/>
  <c r="A94" i="29"/>
  <c r="A95" i="29"/>
  <c r="A96" i="29"/>
  <c r="A97" i="29"/>
  <c r="A98" i="29"/>
  <c r="A99" i="29"/>
  <c r="A100" i="29"/>
  <c r="A101" i="29"/>
  <c r="A102" i="29"/>
  <c r="A103" i="29"/>
  <c r="A104" i="29"/>
  <c r="A105" i="29"/>
  <c r="A106" i="29"/>
  <c r="A107" i="29"/>
  <c r="A108" i="29"/>
  <c r="A109" i="29"/>
  <c r="A110" i="29"/>
  <c r="A111" i="29"/>
  <c r="A112" i="29"/>
  <c r="A113" i="29"/>
  <c r="A114" i="29"/>
  <c r="A115" i="29"/>
  <c r="A116" i="29"/>
  <c r="A117" i="29"/>
  <c r="A118" i="29"/>
  <c r="A119" i="29"/>
  <c r="A120" i="29"/>
  <c r="A121" i="29"/>
  <c r="A122" i="29"/>
  <c r="A123" i="29"/>
  <c r="A124" i="29"/>
  <c r="A125" i="29"/>
  <c r="A126" i="29"/>
  <c r="A127" i="29"/>
  <c r="A128" i="29"/>
  <c r="A129" i="29"/>
  <c r="A130" i="29"/>
  <c r="A131" i="29"/>
  <c r="A132" i="29"/>
  <c r="A133" i="29"/>
  <c r="A134" i="29"/>
  <c r="A135" i="29"/>
  <c r="A136" i="29"/>
  <c r="A137" i="29"/>
  <c r="A138" i="29"/>
  <c r="A139" i="29"/>
  <c r="A140" i="29"/>
  <c r="A141" i="29"/>
  <c r="A142" i="29"/>
  <c r="A143" i="29"/>
  <c r="A144" i="29"/>
  <c r="A145" i="29"/>
  <c r="A146" i="29"/>
  <c r="A147" i="29"/>
  <c r="A148" i="29"/>
  <c r="A149" i="29"/>
  <c r="A150" i="29"/>
  <c r="A151" i="29"/>
  <c r="A152" i="29"/>
  <c r="A153" i="29"/>
  <c r="A154" i="29"/>
  <c r="A155" i="29"/>
  <c r="A156" i="29"/>
  <c r="A157" i="29"/>
  <c r="A158" i="29"/>
  <c r="A159" i="29"/>
  <c r="A160" i="29"/>
  <c r="A161" i="29"/>
  <c r="A162" i="29"/>
  <c r="A163" i="29"/>
  <c r="A164" i="29"/>
  <c r="A165" i="29"/>
  <c r="A166" i="29"/>
  <c r="A167" i="29"/>
  <c r="A168" i="29"/>
  <c r="A169" i="29"/>
  <c r="A170" i="29"/>
  <c r="A171" i="29"/>
  <c r="A172" i="29"/>
  <c r="A173" i="29"/>
  <c r="A92" i="29"/>
  <c r="A91" i="29"/>
  <c r="A90" i="29"/>
  <c r="A89" i="29"/>
  <c r="A88" i="29"/>
  <c r="A87" i="29"/>
  <c r="A86" i="29"/>
  <c r="A85" i="29"/>
  <c r="A84" i="29"/>
  <c r="A83" i="29"/>
  <c r="A82" i="29"/>
  <c r="A81" i="29"/>
  <c r="A80" i="29"/>
  <c r="A79" i="29"/>
  <c r="A78" i="29"/>
  <c r="A77" i="29"/>
  <c r="A76" i="29"/>
  <c r="A75" i="29"/>
  <c r="A74" i="29"/>
  <c r="A73" i="29"/>
  <c r="A72" i="29"/>
  <c r="A71" i="29"/>
  <c r="A70" i="29"/>
  <c r="A69" i="29"/>
  <c r="A68" i="29"/>
  <c r="A67" i="29"/>
  <c r="A66" i="29"/>
  <c r="A65" i="29"/>
  <c r="A64" i="29"/>
  <c r="A63" i="29"/>
  <c r="A62" i="29"/>
  <c r="A61" i="29"/>
  <c r="A60" i="29"/>
  <c r="A59" i="29"/>
  <c r="A58" i="29"/>
  <c r="A57" i="29"/>
  <c r="A56" i="29"/>
  <c r="A55" i="29"/>
  <c r="A54" i="29"/>
  <c r="A53" i="29"/>
  <c r="A52" i="29"/>
  <c r="A51" i="29"/>
  <c r="A50" i="29"/>
  <c r="A49" i="29"/>
  <c r="A48" i="29"/>
  <c r="A47" i="29"/>
  <c r="A46" i="29"/>
  <c r="A45" i="29"/>
  <c r="A44" i="29"/>
  <c r="A43" i="29"/>
  <c r="A42" i="29"/>
  <c r="A41" i="29"/>
  <c r="A40" i="29"/>
  <c r="A39" i="29"/>
  <c r="A38" i="29"/>
  <c r="A37" i="29"/>
  <c r="A36" i="29"/>
  <c r="A35" i="29"/>
  <c r="A34" i="29"/>
  <c r="A33" i="29"/>
  <c r="A32" i="29"/>
  <c r="A31" i="29"/>
  <c r="A30" i="29"/>
  <c r="A29" i="29"/>
  <c r="A28" i="29"/>
  <c r="A27" i="29"/>
  <c r="A26" i="29"/>
  <c r="A25" i="29"/>
  <c r="A24" i="29"/>
  <c r="A23" i="29"/>
  <c r="A22" i="29"/>
  <c r="A21" i="29"/>
  <c r="A20" i="29"/>
  <c r="A19" i="29"/>
  <c r="A18" i="29"/>
  <c r="A17" i="29"/>
  <c r="A16" i="29"/>
  <c r="A15" i="29"/>
  <c r="C14" i="29"/>
  <c r="A14" i="29"/>
  <c r="C13" i="29"/>
  <c r="A13" i="29"/>
  <c r="L18" i="2"/>
  <c r="Q19" i="2"/>
  <c r="R19" i="2"/>
  <c r="S19" i="2"/>
  <c r="Q20" i="2"/>
  <c r="R20" i="2"/>
  <c r="S20" i="2"/>
  <c r="Q21" i="2"/>
  <c r="R21" i="2"/>
  <c r="S21" i="2"/>
  <c r="Q22" i="2"/>
  <c r="R22" i="2"/>
  <c r="S22" i="2"/>
  <c r="Q23" i="2"/>
  <c r="R23" i="2"/>
  <c r="S23" i="2"/>
  <c r="Q24" i="2"/>
  <c r="R24" i="2"/>
  <c r="S24" i="2"/>
  <c r="Q25" i="2"/>
  <c r="R25" i="2"/>
  <c r="S25" i="2"/>
  <c r="Q26" i="2"/>
  <c r="R26" i="2"/>
  <c r="S26" i="2"/>
  <c r="Q27" i="2"/>
  <c r="R27" i="2"/>
  <c r="S27" i="2"/>
  <c r="Q28" i="2"/>
  <c r="R28" i="2"/>
  <c r="S28" i="2"/>
  <c r="Q29" i="2"/>
  <c r="R29" i="2"/>
  <c r="S29" i="2"/>
  <c r="Q30" i="2"/>
  <c r="R30" i="2"/>
  <c r="S30" i="2"/>
  <c r="Q31" i="2"/>
  <c r="R31" i="2"/>
  <c r="S31" i="2"/>
  <c r="Q32" i="2"/>
  <c r="R32" i="2"/>
  <c r="S32" i="2"/>
  <c r="Q33" i="2"/>
  <c r="R33" i="2"/>
  <c r="S33" i="2"/>
  <c r="Q34" i="2"/>
  <c r="R34" i="2"/>
  <c r="S34" i="2"/>
  <c r="Q35" i="2"/>
  <c r="R35" i="2"/>
  <c r="S35" i="2"/>
  <c r="Q36" i="2"/>
  <c r="R36" i="2"/>
  <c r="S36" i="2"/>
  <c r="Q37" i="2"/>
  <c r="R37" i="2"/>
  <c r="S37" i="2"/>
  <c r="Q38" i="2"/>
  <c r="R38" i="2"/>
  <c r="S38" i="2"/>
  <c r="Q39" i="2"/>
  <c r="R39" i="2"/>
  <c r="S39" i="2"/>
  <c r="Q40" i="2"/>
  <c r="R40" i="2"/>
  <c r="S40" i="2"/>
  <c r="Q41" i="2"/>
  <c r="R41" i="2"/>
  <c r="S41" i="2"/>
  <c r="Q42" i="2"/>
  <c r="R42" i="2"/>
  <c r="S42" i="2"/>
  <c r="Q43" i="2"/>
  <c r="R43" i="2"/>
  <c r="S43" i="2"/>
  <c r="Q44" i="2"/>
  <c r="R44" i="2"/>
  <c r="S44" i="2"/>
  <c r="Q45" i="2"/>
  <c r="R45" i="2"/>
  <c r="S45" i="2"/>
  <c r="Q46" i="2"/>
  <c r="R46" i="2"/>
  <c r="S46" i="2"/>
  <c r="Q47" i="2"/>
  <c r="R47" i="2"/>
  <c r="S47" i="2"/>
  <c r="Q48" i="2"/>
  <c r="R48" i="2"/>
  <c r="S48" i="2"/>
  <c r="Q49" i="2"/>
  <c r="R49" i="2"/>
  <c r="S49" i="2"/>
  <c r="Q50" i="2"/>
  <c r="R50" i="2"/>
  <c r="S50" i="2"/>
  <c r="Q51" i="2"/>
  <c r="R51" i="2"/>
  <c r="S51" i="2"/>
  <c r="Q52" i="2"/>
  <c r="R52" i="2"/>
  <c r="S52" i="2"/>
  <c r="Q53" i="2"/>
  <c r="R53" i="2"/>
  <c r="S53" i="2"/>
  <c r="Q54" i="2"/>
  <c r="R54" i="2"/>
  <c r="S54" i="2"/>
  <c r="Q55" i="2"/>
  <c r="R55" i="2"/>
  <c r="S55" i="2"/>
  <c r="Q56" i="2"/>
  <c r="R56" i="2"/>
  <c r="S56" i="2"/>
  <c r="Q57" i="2"/>
  <c r="R57" i="2"/>
  <c r="S57" i="2"/>
  <c r="Q58" i="2"/>
  <c r="R58" i="2"/>
  <c r="S58" i="2"/>
  <c r="Q59" i="2"/>
  <c r="R59" i="2"/>
  <c r="S59" i="2"/>
  <c r="Q60" i="2"/>
  <c r="R60" i="2"/>
  <c r="S60" i="2"/>
  <c r="Q61" i="2"/>
  <c r="R61" i="2"/>
  <c r="S61" i="2"/>
  <c r="Q62" i="2"/>
  <c r="R62" i="2"/>
  <c r="S62" i="2"/>
  <c r="Q63" i="2"/>
  <c r="R63" i="2"/>
  <c r="S63" i="2"/>
  <c r="Q64" i="2"/>
  <c r="R64" i="2"/>
  <c r="S64" i="2"/>
  <c r="Q65" i="2"/>
  <c r="R65" i="2"/>
  <c r="S65" i="2"/>
  <c r="Q66" i="2"/>
  <c r="R66" i="2"/>
  <c r="S66" i="2"/>
  <c r="Q67" i="2"/>
  <c r="R67" i="2"/>
  <c r="S67" i="2"/>
  <c r="Q68" i="2"/>
  <c r="R68" i="2"/>
  <c r="S68" i="2"/>
  <c r="Q69" i="2"/>
  <c r="R69" i="2"/>
  <c r="S69" i="2"/>
  <c r="Q70" i="2"/>
  <c r="R70" i="2"/>
  <c r="S70" i="2"/>
  <c r="Q71" i="2"/>
  <c r="R71" i="2"/>
  <c r="S71" i="2"/>
  <c r="Q72" i="2"/>
  <c r="R72" i="2"/>
  <c r="S72" i="2"/>
  <c r="Q73" i="2"/>
  <c r="R73" i="2"/>
  <c r="S73" i="2"/>
  <c r="Q74" i="2"/>
  <c r="R74" i="2"/>
  <c r="S74" i="2"/>
  <c r="Q75" i="2"/>
  <c r="R75" i="2"/>
  <c r="S75" i="2"/>
  <c r="Q76" i="2"/>
  <c r="R76" i="2"/>
  <c r="S76" i="2"/>
  <c r="Q77" i="2"/>
  <c r="R77" i="2"/>
  <c r="S77" i="2"/>
  <c r="Q78" i="2"/>
  <c r="R78" i="2"/>
  <c r="S78" i="2"/>
  <c r="Q79" i="2"/>
  <c r="R79" i="2"/>
  <c r="S79" i="2"/>
  <c r="Q80" i="2"/>
  <c r="R80" i="2"/>
  <c r="S80" i="2"/>
  <c r="Q81" i="2"/>
  <c r="R81" i="2"/>
  <c r="S81" i="2"/>
  <c r="Q82" i="2"/>
  <c r="R82" i="2"/>
  <c r="S82" i="2"/>
  <c r="Q83" i="2"/>
  <c r="R83" i="2"/>
  <c r="S83" i="2"/>
  <c r="Q84" i="2"/>
  <c r="R84" i="2"/>
  <c r="S84" i="2"/>
  <c r="Q85" i="2"/>
  <c r="R85" i="2"/>
  <c r="S85" i="2"/>
  <c r="Q86" i="2"/>
  <c r="R86" i="2"/>
  <c r="S86" i="2"/>
  <c r="Q87" i="2"/>
  <c r="R87" i="2"/>
  <c r="S87" i="2"/>
  <c r="Q88" i="2"/>
  <c r="R88" i="2"/>
  <c r="S88" i="2"/>
  <c r="Q89" i="2"/>
  <c r="R89" i="2"/>
  <c r="S89" i="2"/>
  <c r="Q90" i="2"/>
  <c r="R90" i="2"/>
  <c r="S90" i="2"/>
  <c r="Q91" i="2"/>
  <c r="R91" i="2"/>
  <c r="S91" i="2"/>
  <c r="Q92" i="2"/>
  <c r="R92" i="2"/>
  <c r="S92" i="2"/>
  <c r="Q93" i="2"/>
  <c r="R93" i="2"/>
  <c r="S93" i="2"/>
  <c r="Q94" i="2"/>
  <c r="R94" i="2"/>
  <c r="S94" i="2"/>
  <c r="Q95" i="2"/>
  <c r="R95" i="2"/>
  <c r="S95" i="2"/>
  <c r="Q96" i="2"/>
  <c r="R96" i="2"/>
  <c r="S96" i="2"/>
  <c r="Q97" i="2"/>
  <c r="R97" i="2"/>
  <c r="S97" i="2"/>
  <c r="Q98" i="2"/>
  <c r="R98" i="2"/>
  <c r="S98" i="2"/>
  <c r="Q99" i="2"/>
  <c r="R99" i="2"/>
  <c r="S99" i="2"/>
  <c r="Q100" i="2"/>
  <c r="R100" i="2"/>
  <c r="S100" i="2"/>
  <c r="Q101" i="2"/>
  <c r="R101" i="2"/>
  <c r="S101" i="2"/>
  <c r="Q102" i="2"/>
  <c r="R102" i="2"/>
  <c r="S102" i="2"/>
  <c r="Q103" i="2"/>
  <c r="R103" i="2"/>
  <c r="S103" i="2"/>
  <c r="Q104" i="2"/>
  <c r="R104" i="2"/>
  <c r="S104" i="2"/>
  <c r="Q105" i="2"/>
  <c r="R105" i="2"/>
  <c r="S105" i="2"/>
  <c r="Q106" i="2"/>
  <c r="R106" i="2"/>
  <c r="S106" i="2"/>
  <c r="Q107" i="2"/>
  <c r="R107" i="2"/>
  <c r="S107" i="2"/>
  <c r="Q108" i="2"/>
  <c r="R108" i="2"/>
  <c r="S108" i="2"/>
  <c r="Q109" i="2"/>
  <c r="R109" i="2"/>
  <c r="S109" i="2"/>
  <c r="Q110" i="2"/>
  <c r="R110" i="2"/>
  <c r="S110" i="2"/>
  <c r="Q111" i="2"/>
  <c r="R111" i="2"/>
  <c r="S111" i="2"/>
  <c r="Q112" i="2"/>
  <c r="R112" i="2"/>
  <c r="S112" i="2"/>
  <c r="Q113" i="2"/>
  <c r="R113" i="2"/>
  <c r="S113" i="2"/>
  <c r="Q114" i="2"/>
  <c r="R114" i="2"/>
  <c r="S114" i="2"/>
  <c r="Q115" i="2"/>
  <c r="R115" i="2"/>
  <c r="S115" i="2"/>
  <c r="Q116" i="2"/>
  <c r="R116" i="2"/>
  <c r="S116" i="2"/>
  <c r="Q117" i="2"/>
  <c r="R117" i="2"/>
  <c r="S117" i="2"/>
  <c r="Q118" i="2"/>
  <c r="R118" i="2"/>
  <c r="S118" i="2"/>
  <c r="Q119" i="2"/>
  <c r="R119" i="2"/>
  <c r="S119" i="2"/>
</calcChain>
</file>

<file path=xl/comments1.xml><?xml version="1.0" encoding="utf-8"?>
<comments xmlns="http://schemas.openxmlformats.org/spreadsheetml/2006/main">
  <authors>
    <author>Bill Stewart</author>
  </authors>
  <commentLis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D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F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H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J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V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B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</commentList>
</comments>
</file>

<file path=xl/comments2.xml><?xml version="1.0" encoding="utf-8"?>
<comments xmlns="http://schemas.openxmlformats.org/spreadsheetml/2006/main">
  <authors>
    <author>Bill Stewart</author>
  </authors>
  <commentList>
    <comment ref="B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Harmon et al. 2001</t>
        </r>
      </text>
    </comment>
    <comment ref="B4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half life based on weigthed averages in Skog (2008)
Homes - 80 yr
Multi unit - 50 yr
Remodeling - 30yr
so halflife for long term products is ~60 years for sawn lumber products
2/3 of CA product is structural, 1/3 is othe products. assumeing 15 year half life for ST, the overall halfe life is 45 yr
</t>
        </r>
      </text>
    </comment>
    <comment ref="B10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Based on ARB Scoping Plan components: Renewwable Portfolio Standard and Recyling and Waste
</t>
        </r>
      </text>
    </comment>
    <comment ref="B11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Based on interpretration of AB 32 Scoping Plan: Renewabel Portfolio Standared and Recycling and Waste goals
</t>
        </r>
      </text>
    </comment>
    <comment ref="B12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Based on interpretatino of AB 32 Scoping Plan: Renewable Portfolio Standard and Recycling and Waste
</t>
        </r>
      </text>
    </comment>
    <comment ref="B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Sathre and O'Connor 2010</t>
        </r>
      </text>
    </comment>
    <comment ref="H18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Based on Skog 2008</t>
        </r>
      </text>
    </comment>
  </commentList>
</comments>
</file>

<file path=xl/comments3.xml><?xml version="1.0" encoding="utf-8"?>
<comments xmlns="http://schemas.openxmlformats.org/spreadsheetml/2006/main">
  <authors>
    <author>Bill Stewart</author>
  </authors>
  <commentList>
    <comment ref="D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used as a FIA plot based proxy for post-disturbance brushfield
</t>
        </r>
      </text>
    </commen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C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H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1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</t>
        </r>
      </text>
    </comment>
    <comment ref="C1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E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post thin stand captures future mortality over next 40 years and trend goes back to live trend
</t>
        </r>
      </text>
    </comment>
    <comment ref="C1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C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M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C1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  <comment ref="C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</commentList>
</comments>
</file>

<file path=xl/comments4.xml><?xml version="1.0" encoding="utf-8"?>
<comments xmlns="http://schemas.openxmlformats.org/spreadsheetml/2006/main">
  <authors>
    <author>Bill Stewart</author>
  </authors>
  <commentList>
    <comment ref="M54" authorId="0">
      <text>
        <r>
          <rPr>
            <b/>
            <sz val="9"/>
            <color indexed="81"/>
            <rFont val="Calibri"/>
            <family val="2"/>
          </rPr>
          <t>Bill Stewart:</t>
        </r>
        <r>
          <rPr>
            <sz val="9"/>
            <color indexed="81"/>
            <rFont val="Calibri"/>
            <family val="2"/>
          </rPr>
          <t xml:space="preserve">
from COLE
</t>
        </r>
      </text>
    </comment>
    <comment ref="M55" authorId="0">
      <text>
        <r>
          <rPr>
            <b/>
            <sz val="9"/>
            <color indexed="81"/>
            <rFont val="Calibri"/>
            <family val="2"/>
          </rPr>
          <t>Bill Stewart:</t>
        </r>
        <r>
          <rPr>
            <sz val="9"/>
            <color indexed="81"/>
            <rFont val="Calibri"/>
            <family val="2"/>
          </rPr>
          <t xml:space="preserve">
from COLE
</t>
        </r>
      </text>
    </comment>
    <comment ref="M56" authorId="0">
      <text>
        <r>
          <rPr>
            <b/>
            <sz val="9"/>
            <color indexed="81"/>
            <rFont val="Calibri"/>
            <family val="2"/>
          </rPr>
          <t>Bill Stewart:</t>
        </r>
        <r>
          <rPr>
            <sz val="9"/>
            <color indexed="81"/>
            <rFont val="Calibri"/>
            <family val="2"/>
          </rPr>
          <t xml:space="preserve">
from COLE
</t>
        </r>
      </text>
    </comment>
    <comment ref="M57" authorId="0">
      <text>
        <r>
          <rPr>
            <b/>
            <sz val="9"/>
            <color indexed="81"/>
            <rFont val="Calibri"/>
            <family val="2"/>
          </rPr>
          <t>Bill Stewart:</t>
        </r>
        <r>
          <rPr>
            <sz val="9"/>
            <color indexed="81"/>
            <rFont val="Calibri"/>
            <family val="2"/>
          </rPr>
          <t xml:space="preserve">
from COLE
</t>
        </r>
      </text>
    </comment>
    <comment ref="M58" authorId="0">
      <text>
        <r>
          <rPr>
            <b/>
            <sz val="9"/>
            <color indexed="81"/>
            <rFont val="Calibri"/>
            <family val="2"/>
          </rPr>
          <t>Bill Stewart:</t>
        </r>
        <r>
          <rPr>
            <sz val="9"/>
            <color indexed="81"/>
            <rFont val="Calibri"/>
            <family val="2"/>
          </rPr>
          <t xml:space="preserve">
from COLE
</t>
        </r>
      </text>
    </comment>
  </commentList>
</comments>
</file>

<file path=xl/comments5.xml><?xml version="1.0" encoding="utf-8"?>
<comments xmlns="http://schemas.openxmlformats.org/spreadsheetml/2006/main">
  <authors>
    <author>Bill Stewart</author>
  </authors>
  <commentList>
    <comment ref="D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used as a FIA plot based proxy for post-disturbance brushfield
</t>
        </r>
      </text>
    </commen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FIA poor or nonstocked stands within this forest type from COLE3</t>
        </r>
      </text>
    </comment>
    <comment ref="Z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F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D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F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K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</commentList>
</comments>
</file>

<file path=xl/comments6.xml><?xml version="1.0" encoding="utf-8"?>
<comments xmlns="http://schemas.openxmlformats.org/spreadsheetml/2006/main">
  <authors>
    <author>Bill Stewart</author>
  </authors>
  <commentList>
    <comment ref="D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used as a FIA plot based proxy for post-disturbance brushfield
</t>
        </r>
      </text>
    </commen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C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F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FIA poor or nonstocked stands within this forest type from COLE3</t>
        </r>
      </text>
    </comment>
    <comment ref="AI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O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1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post thin stand captures future mortality over next 40 years and trend goes back to live trend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M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</commentList>
</comments>
</file>

<file path=xl/comments7.xml><?xml version="1.0" encoding="utf-8"?>
<comments xmlns="http://schemas.openxmlformats.org/spreadsheetml/2006/main">
  <authors>
    <author>Bill Stewart</author>
  </authors>
  <commentList>
    <comment ref="D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used as a FIA plot based proxy for post-disturbance brushfield
</t>
        </r>
      </text>
    </commen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C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F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FIA poor or nonstocked stands within this forest type from COLE3</t>
        </r>
      </text>
    </comment>
    <comment ref="AI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O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1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post thin stand captures future mortality over next 40 years and trend goes back to live trend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M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</commentList>
</comments>
</file>

<file path=xl/comments8.xml><?xml version="1.0" encoding="utf-8"?>
<comments xmlns="http://schemas.openxmlformats.org/spreadsheetml/2006/main">
  <authors>
    <author>Bill Stewart</author>
  </authors>
  <commentList>
    <comment ref="D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used as a FIA plot based proxy for post-disturbance brushfield
</t>
        </r>
      </text>
    </commen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C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G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FIA poor or nonstocked stands within this forest type from COLE3</t>
        </r>
      </text>
    </comment>
    <comment ref="AL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R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1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post thin stand captures future mortality over next 40 years and trend goes back to live trend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M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</commentList>
</comments>
</file>

<file path=xl/comments9.xml><?xml version="1.0" encoding="utf-8"?>
<comments xmlns="http://schemas.openxmlformats.org/spreadsheetml/2006/main">
  <authors>
    <author>Bill Stewart</author>
  </authors>
  <commentList>
    <comment ref="D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used as a FIA plot based proxy for post-disturbance brushfield
</t>
        </r>
      </text>
    </commen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C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F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L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O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U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X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BD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BG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BM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BP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BV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BY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C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CQ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1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post thin stand captures future mortality over next 40 years and trend goes back to live trend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M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  <comment ref="M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</commentList>
</comments>
</file>

<file path=xl/sharedStrings.xml><?xml version="1.0" encoding="utf-8"?>
<sst xmlns="http://schemas.openxmlformats.org/spreadsheetml/2006/main" count="1222" uniqueCount="417">
  <si>
    <t>Wood products in use</t>
    <phoneticPr fontId="2" type="noConversion"/>
  </si>
  <si>
    <t>Landfill waste</t>
    <phoneticPr fontId="2" type="noConversion"/>
  </si>
  <si>
    <t>Consumer and landfill waste</t>
    <phoneticPr fontId="2" type="noConversion"/>
  </si>
  <si>
    <t xml:space="preserve">0.225 Carbon tonne = 0.82575 CO2e tonne (tCO2e) </t>
    <phoneticPr fontId="2" type="noConversion"/>
  </si>
  <si>
    <t>Effective Product + Landfill Storage</t>
    <phoneticPr fontId="2" type="noConversion"/>
  </si>
  <si>
    <t>landfill storage</t>
  </si>
  <si>
    <t>a</t>
    <phoneticPr fontId="9" type="noConversion"/>
  </si>
  <si>
    <t>b</t>
    <phoneticPr fontId="9" type="noConversion"/>
  </si>
  <si>
    <t>std error</t>
    <phoneticPr fontId="9" type="noConversion"/>
  </si>
  <si>
    <r>
      <t>Based on y = a(1 − e^(−b</t>
    </r>
    <r>
      <rPr>
        <sz val="10"/>
        <rFont val="Menlo Regular"/>
      </rPr>
      <t>∗</t>
    </r>
    <r>
      <rPr>
        <sz val="10"/>
        <rFont val="Arial"/>
      </rPr>
      <t>AGE))^3 - Von Bertalanffy growth equation</t>
    </r>
    <phoneticPr fontId="9" type="noConversion"/>
  </si>
  <si>
    <t>Post Consumer Energy</t>
    <phoneticPr fontId="2" type="noConversion"/>
  </si>
  <si>
    <t>Substitution Benefits in addition to carbon stored in products</t>
    <phoneticPr fontId="2" type="noConversion"/>
  </si>
  <si>
    <t>Effective C Remaining + Energy</t>
  </si>
  <si>
    <t>To Engineered Landfill Storage</t>
    <phoneticPr fontId="2" type="noConversion"/>
  </si>
  <si>
    <t>Permanent Landfill storage</t>
    <phoneticPr fontId="2" type="noConversion"/>
  </si>
  <si>
    <t>0.45 Bone dry metric tonne = 0.225 C tonne</t>
    <phoneticPr fontId="2" type="noConversion"/>
  </si>
  <si>
    <t>Post-Consumer Waste</t>
    <phoneticPr fontId="2" type="noConversion"/>
  </si>
  <si>
    <t>Post-consumer waste</t>
    <phoneticPr fontId="2" type="noConversion"/>
  </si>
  <si>
    <t>Post consumer energy</t>
    <phoneticPr fontId="2" type="noConversion"/>
  </si>
  <si>
    <t>Year</t>
  </si>
  <si>
    <t>0.9 Green metric tonne = 0.45 Bone dry metric tonne</t>
    <phoneticPr fontId="2" type="noConversion"/>
  </si>
  <si>
    <t>1 Green ton = 0.9 Green metric tonne</t>
    <phoneticPr fontId="2" type="noConversion"/>
  </si>
  <si>
    <t>2 20 2014 analysis CMC live tree tC/ha - all forest til 80, then faster growing private forest for 80</t>
  </si>
  <si>
    <t>all cmc</t>
  </si>
  <si>
    <t>pvt cmc</t>
  </si>
  <si>
    <t>average yr 160-80</t>
  </si>
  <si>
    <t>total products</t>
  </si>
  <si>
    <t>comparison</t>
  </si>
  <si>
    <t>w energy capture of</t>
  </si>
  <si>
    <t>BMPs</t>
  </si>
  <si>
    <t>Substitution factor</t>
  </si>
  <si>
    <t>Post consumer Wood Energy</t>
  </si>
  <si>
    <t xml:space="preserve">Source: COLE2 </t>
  </si>
  <si>
    <t>All California mixed conifer</t>
  </si>
  <si>
    <t>Private California mixed conifer</t>
  </si>
  <si>
    <t># of plots</t>
  </si>
  <si>
    <t>Private Douglas-fir</t>
  </si>
  <si>
    <t>Private Ponderosa pine</t>
  </si>
  <si>
    <t>Private redwood</t>
  </si>
  <si>
    <t>Redwood</t>
  </si>
  <si>
    <t>Ponderosa pine</t>
  </si>
  <si>
    <t>Douglas-fir</t>
  </si>
  <si>
    <t>Project Year</t>
  </si>
  <si>
    <t>Regenerated forest #1</t>
  </si>
  <si>
    <t>Energy from logging residues #1</t>
  </si>
  <si>
    <t>Energy from sawmill residues #1</t>
  </si>
  <si>
    <t>Wood products #1</t>
  </si>
  <si>
    <t>Substitution Benefits #1</t>
  </si>
  <si>
    <t>Landfill #1</t>
  </si>
  <si>
    <t>Energy from post-consumer residues #1</t>
  </si>
  <si>
    <t>Regenerated forest #2</t>
  </si>
  <si>
    <t>Energy from logging residues #2</t>
  </si>
  <si>
    <t>Energy from sawmill residues #2</t>
  </si>
  <si>
    <t>Wood products #2</t>
  </si>
  <si>
    <t>Substitution Benefits #2</t>
  </si>
  <si>
    <t>Landfill #2</t>
  </si>
  <si>
    <t>Energy from post-consumer residues #2</t>
  </si>
  <si>
    <t>Total managed forest climate benefits</t>
  </si>
  <si>
    <t>2 cycles - let grow</t>
  </si>
  <si>
    <t>3 cycles - let grow</t>
  </si>
  <si>
    <t>Logging Residue Slash</t>
  </si>
  <si>
    <t>Logging slash left</t>
  </si>
  <si>
    <t>Project year</t>
  </si>
  <si>
    <t>http://www.ncasi2.org/COLE/</t>
  </si>
  <si>
    <t>http://www.ncasi2.org/GCOLE3/gcole.shtml</t>
  </si>
  <si>
    <t>Let-grow forest</t>
  </si>
  <si>
    <t>1 hectare = 2.47 acres</t>
  </si>
  <si>
    <t>MgC/ha/yr</t>
  </si>
  <si>
    <t>Input</t>
  </si>
  <si>
    <t>Calculation</t>
  </si>
  <si>
    <t>Linked Cell</t>
  </si>
  <si>
    <t>Output</t>
  </si>
  <si>
    <t>Color Key</t>
  </si>
  <si>
    <t>MgC/ha</t>
  </si>
  <si>
    <t>Wood products</t>
  </si>
  <si>
    <t>Remarks</t>
  </si>
  <si>
    <t>Waste</t>
  </si>
  <si>
    <t>Energy</t>
  </si>
  <si>
    <t>Engineered Landfill Storage</t>
  </si>
  <si>
    <t>Wood product  type</t>
  </si>
  <si>
    <t>Half life</t>
  </si>
  <si>
    <t>Type</t>
  </si>
  <si>
    <t>Proportion</t>
  </si>
  <si>
    <t>Remaks</t>
  </si>
  <si>
    <t>Wood permanently inert in Landfill</t>
  </si>
  <si>
    <t>Default 0.77. Based on Skog 2008</t>
  </si>
  <si>
    <t xml:space="preserve">Wood as permanently inert in landfill </t>
  </si>
  <si>
    <t>Post consumer product allocation and proportion of wood as permanently inert in landfill</t>
  </si>
  <si>
    <t>Substitution</t>
  </si>
  <si>
    <t>Scenario</t>
  </si>
  <si>
    <t>C-Stock</t>
  </si>
  <si>
    <t>managed:let grow ratio</t>
  </si>
  <si>
    <t>Logging residues - use/leave ratios</t>
  </si>
  <si>
    <t>Sawmill energy/product/waste ratios</t>
  </si>
  <si>
    <t>Unused</t>
  </si>
  <si>
    <t>Note/remaks</t>
  </si>
  <si>
    <t>Any remark or default value is described</t>
  </si>
  <si>
    <t>Output value produced</t>
  </si>
  <si>
    <t>The cell is linked to some other cells.</t>
  </si>
  <si>
    <t>Intermediate calculation.</t>
  </si>
  <si>
    <t>Any input that can be changed by user</t>
  </si>
  <si>
    <r>
      <t>Based on y = a(1 − e^(−b</t>
    </r>
    <r>
      <rPr>
        <sz val="10"/>
        <color theme="1"/>
        <rFont val="Menlo Regular"/>
      </rPr>
      <t>∗</t>
    </r>
    <r>
      <rPr>
        <sz val="10"/>
        <color theme="1"/>
        <rFont val="Arial"/>
        <family val="2"/>
      </rPr>
      <t>AGE))^3 - Von Bertalanffy growth equation</t>
    </r>
  </si>
  <si>
    <t>The cells are color coded as below:</t>
  </si>
  <si>
    <t>Note/remarks</t>
  </si>
  <si>
    <r>
      <t>3 cycle</t>
    </r>
    <r>
      <rPr>
        <sz val="10"/>
        <rFont val="Arial"/>
      </rPr>
      <t xml:space="preserve"> </t>
    </r>
    <r>
      <rPr>
        <sz val="10"/>
        <rFont val="Arial"/>
      </rPr>
      <t>regen forest + wood products</t>
    </r>
  </si>
  <si>
    <r>
      <t>2 cyc</t>
    </r>
    <r>
      <rPr>
        <sz val="10"/>
        <rFont val="Arial"/>
      </rPr>
      <t>le r</t>
    </r>
    <r>
      <rPr>
        <sz val="10"/>
        <rFont val="Arial"/>
      </rPr>
      <t>egen forest + wood products</t>
    </r>
  </si>
  <si>
    <t xml:space="preserve"> www.ncasi2.org/COLE/</t>
  </si>
  <si>
    <t>from COLE:Carbon On Line Estimator</t>
  </si>
  <si>
    <r>
      <t>Used</t>
    </r>
    <r>
      <rPr>
        <sz val="10"/>
        <rFont val="Arial"/>
      </rPr>
      <t>-Bioenergy</t>
    </r>
  </si>
  <si>
    <t>Used-Products</t>
  </si>
  <si>
    <r>
      <t>Default 0.</t>
    </r>
    <r>
      <rPr>
        <sz val="10"/>
        <rFont val="Arial"/>
      </rPr>
      <t>7</t>
    </r>
    <r>
      <rPr>
        <sz val="10"/>
        <rFont val="Arial"/>
      </rPr>
      <t>5 used, 0.</t>
    </r>
    <r>
      <rPr>
        <sz val="10"/>
        <rFont val="Arial"/>
      </rPr>
      <t>2</t>
    </r>
    <r>
      <rPr>
        <sz val="10"/>
        <rFont val="Arial"/>
      </rPr>
      <t>5 unused logging residues</t>
    </r>
    <r>
      <rPr>
        <sz val="10"/>
        <rFont val="Arial"/>
      </rPr>
      <t xml:space="preserve"> left to decompose on site</t>
    </r>
  </si>
  <si>
    <t>2 cycles - managed forest+products</t>
  </si>
  <si>
    <t>3 cycles - managed forest+products</t>
  </si>
  <si>
    <t>Scenario - let grow forest</t>
  </si>
  <si>
    <t>Live Trees+ Downed Wood + Wood Products</t>
  </si>
  <si>
    <t>Building Products Substitution Benefits</t>
  </si>
  <si>
    <t>Total Benefits</t>
  </si>
  <si>
    <t>Climate Benefits from First Harvest and Regeneration Cycle</t>
  </si>
  <si>
    <t>Additional Climate Benefits from Second Harvest and Regeneration Cycle</t>
  </si>
  <si>
    <t>Cumulative Climate Benefits from Two Harvest and Regeneration Cycles</t>
  </si>
  <si>
    <t>Scenario: managed forest+all product benefits</t>
  </si>
  <si>
    <t>Default 0.24 usedfor energy,  0.75 into products, 0.01 waste</t>
  </si>
  <si>
    <t xml:space="preserve">Regenerated forest </t>
  </si>
  <si>
    <t xml:space="preserve">Logging slash left </t>
  </si>
  <si>
    <t>Energy from logging residues</t>
  </si>
  <si>
    <t>Energy from sawmill residues</t>
  </si>
  <si>
    <t xml:space="preserve">Wood products </t>
  </si>
  <si>
    <t>Landfill storage</t>
  </si>
  <si>
    <t>Energy from post-consumer residues</t>
  </si>
  <si>
    <t>Logging slash utilization percentages</t>
  </si>
  <si>
    <t>Sawlog utilization percentages</t>
  </si>
  <si>
    <t xml:space="preserve">Total Managed Forest Benefits </t>
  </si>
  <si>
    <t>No of FIA plots in COLE2 dataset</t>
  </si>
  <si>
    <r>
      <t>Default 0.65. Based on interpretati</t>
    </r>
    <r>
      <rPr>
        <sz val="10"/>
        <rFont val="Arial"/>
      </rPr>
      <t>on</t>
    </r>
    <r>
      <rPr>
        <sz val="10"/>
        <rFont val="Arial"/>
      </rPr>
      <t xml:space="preserve"> of AB 32 Scoping Plan: Renewable Portfolio Standard and Recycling and Waste</t>
    </r>
  </si>
  <si>
    <r>
      <t>Remark</t>
    </r>
    <r>
      <rPr>
        <sz val="10"/>
        <rFont val="Arial"/>
      </rPr>
      <t>s</t>
    </r>
  </si>
  <si>
    <r>
      <t>Default 20</t>
    </r>
    <r>
      <rPr>
        <sz val="10"/>
        <rFont val="Arial"/>
      </rPr>
      <t xml:space="preserve"> year half-life</t>
    </r>
    <r>
      <rPr>
        <sz val="10"/>
        <rFont val="Arial"/>
      </rPr>
      <t>. Based on Harmon et al. 2001</t>
    </r>
  </si>
  <si>
    <r>
      <t xml:space="preserve">Default 45 year half-life based on weighted average of values in Skog (2008) - </t>
    </r>
    <r>
      <rPr>
        <sz val="10"/>
        <rFont val="Arial"/>
      </rPr>
      <t xml:space="preserve">Single Family </t>
    </r>
    <r>
      <rPr>
        <sz val="10"/>
        <rFont val="Arial"/>
      </rPr>
      <t xml:space="preserve">Homes - 80 yr; Multi unit - 50 yr; Remodeling - 30yr; </t>
    </r>
    <r>
      <rPr>
        <sz val="10"/>
        <rFont val="Arial"/>
      </rPr>
      <t xml:space="preserve">Lumber </t>
    </r>
    <r>
      <rPr>
        <sz val="10"/>
        <rFont val="Arial"/>
      </rPr>
      <t>half</t>
    </r>
    <r>
      <rPr>
        <sz val="10"/>
        <rFont val="Arial"/>
      </rPr>
      <t>-</t>
    </r>
    <r>
      <rPr>
        <sz val="10"/>
        <rFont val="Arial"/>
      </rPr>
      <t xml:space="preserve">life for long term products is ~60 years for </t>
    </r>
    <r>
      <rPr>
        <sz val="10"/>
        <rFont val="Arial"/>
      </rPr>
      <t>structural</t>
    </r>
    <r>
      <rPr>
        <sz val="10"/>
        <rFont val="Arial"/>
      </rPr>
      <t xml:space="preserve"> lumber</t>
    </r>
    <r>
      <rPr>
        <sz val="10"/>
        <rFont val="Arial"/>
      </rPr>
      <t xml:space="preserve"> and plywood</t>
    </r>
    <r>
      <rPr>
        <sz val="10"/>
        <rFont val="Arial"/>
      </rPr>
      <t xml:space="preserve"> products; 2/3 of CA </t>
    </r>
    <r>
      <rPr>
        <sz val="10"/>
        <rFont val="Arial"/>
      </rPr>
      <t xml:space="preserve">sawmill </t>
    </r>
    <r>
      <rPr>
        <sz val="10"/>
        <rFont val="Arial"/>
      </rPr>
      <t>product</t>
    </r>
    <r>
      <rPr>
        <sz val="10"/>
        <rFont val="Arial"/>
      </rPr>
      <t>s</t>
    </r>
    <r>
      <rPr>
        <sz val="10"/>
        <rFont val="Arial"/>
      </rPr>
      <t xml:space="preserve"> </t>
    </r>
    <r>
      <rPr>
        <sz val="10"/>
        <rFont val="Arial"/>
      </rPr>
      <t>are</t>
    </r>
    <r>
      <rPr>
        <sz val="10"/>
        <rFont val="Arial"/>
      </rPr>
      <t xml:space="preserve"> structural</t>
    </r>
    <r>
      <rPr>
        <sz val="10"/>
        <rFont val="Arial"/>
      </rPr>
      <t xml:space="preserve"> lumber and plywood</t>
    </r>
    <r>
      <rPr>
        <sz val="10"/>
        <rFont val="Arial"/>
      </rPr>
      <t>, 1/3 is othe</t>
    </r>
    <r>
      <rPr>
        <sz val="10"/>
        <rFont val="Arial"/>
      </rPr>
      <t>r</t>
    </r>
    <r>
      <rPr>
        <sz val="10"/>
        <rFont val="Arial"/>
      </rPr>
      <t xml:space="preserve"> products.</t>
    </r>
    <r>
      <rPr>
        <sz val="10"/>
        <rFont val="Arial"/>
      </rPr>
      <t xml:space="preserve"> Assuming a</t>
    </r>
    <r>
      <rPr>
        <sz val="10"/>
        <rFont val="Arial"/>
      </rPr>
      <t xml:space="preserve"> 15 year half</t>
    </r>
    <r>
      <rPr>
        <sz val="10"/>
        <rFont val="Arial"/>
      </rPr>
      <t>-</t>
    </r>
    <r>
      <rPr>
        <sz val="10"/>
        <rFont val="Arial"/>
      </rPr>
      <t xml:space="preserve">life for </t>
    </r>
    <r>
      <rPr>
        <sz val="10"/>
        <rFont val="Arial"/>
      </rPr>
      <t>other products</t>
    </r>
    <r>
      <rPr>
        <sz val="10"/>
        <rFont val="Arial"/>
      </rPr>
      <t>, the overall half life is 45 yr</t>
    </r>
    <r>
      <rPr>
        <sz val="10"/>
        <rFont val="Arial"/>
      </rPr>
      <t xml:space="preserve"> for output of California sawmills</t>
    </r>
  </si>
  <si>
    <t>Wood Product Half-life Table for Different Wood Uses</t>
  </si>
  <si>
    <t>FIA est. of live tree carbon/ha</t>
  </si>
  <si>
    <t>coefficients for Von Bertalanffy</t>
  </si>
  <si>
    <t>Von Bertalanffy growth equation coefficients</t>
  </si>
  <si>
    <t>1 cycle average</t>
  </si>
  <si>
    <t>sum of 80yr C storage (direct and indirect) of 1st harvested products</t>
  </si>
  <si>
    <t>2 cycle average</t>
  </si>
  <si>
    <t>Let grow CMixCon forest</t>
  </si>
  <si>
    <t>Regenerated CMixCon forest</t>
  </si>
  <si>
    <t>Let grow DougFir forest</t>
  </si>
  <si>
    <t>Regenerated DougFir forest</t>
  </si>
  <si>
    <t>Let grow PPine forest</t>
  </si>
  <si>
    <t>Regenerated PPine forest</t>
  </si>
  <si>
    <t>Let grow Redwood forest</t>
  </si>
  <si>
    <t>Regenerated Redwood forest</t>
  </si>
  <si>
    <t>Let-grow forest           (Mg /Ha)</t>
  </si>
  <si>
    <t>Wood products going into buildings that get 1:1 substitution benefit</t>
  </si>
  <si>
    <t>Substituion benefits for wood products used in buildings (McKeever 2011)</t>
  </si>
  <si>
    <t>Substitution Benefits for ~57% of wood going into buildings</t>
  </si>
  <si>
    <t>57% of wood products go into buildings where substitution benefits are significant (FPL-GTR-199, 2011)</t>
  </si>
  <si>
    <t>Climate Benefits from First Thinning and Regeneration Cycle</t>
  </si>
  <si>
    <t>Cumulative Climate Benefits from One Thinning, Two Harvest and Regeneration Cycles</t>
  </si>
  <si>
    <t xml:space="preserve"> </t>
  </si>
  <si>
    <t>Thinning utilization</t>
  </si>
  <si>
    <t>Based on partial thinnings(72% chips, 28% sawlogs) in Stewart and Nakamura (2012)</t>
  </si>
  <si>
    <t>Thin percentage of total live biomass</t>
  </si>
  <si>
    <t>1st thin - 0</t>
  </si>
  <si>
    <t>2nd thin - 20</t>
  </si>
  <si>
    <t>3rd thin - 40</t>
  </si>
  <si>
    <t>4th thin - 60</t>
  </si>
  <si>
    <t>5th thin - 80</t>
  </si>
  <si>
    <t>6th thin - 100</t>
  </si>
  <si>
    <t>7th thin - 120</t>
  </si>
  <si>
    <t>8th thin - 140</t>
  </si>
  <si>
    <t>Annual growth rates</t>
  </si>
  <si>
    <t>Climate Benefits from Initial Thinning and Regeneration Cycle</t>
  </si>
  <si>
    <t xml:space="preserve">Cumulative Climate Benefits from PCT/CT@40, Uneven aged entries at yr 80 and on every 20 years </t>
  </si>
  <si>
    <t>PCT/CT</t>
  </si>
  <si>
    <t>(Morgan et al. PNW-GTR-866. 2012)</t>
  </si>
  <si>
    <t xml:space="preserve">Direct Bio- energy </t>
  </si>
  <si>
    <t>Direct Bio- energy</t>
  </si>
  <si>
    <t xml:space="preserve">Direct Bio-energy </t>
  </si>
  <si>
    <t>average live inventory</t>
  </si>
  <si>
    <t>3 cycle avg inventory</t>
  </si>
  <si>
    <t>Thinning utilization energy/products</t>
  </si>
  <si>
    <t>Default 0.75 used, 0.25 unused logging residues left to decompose on site. All unused is like burning all residues</t>
  </si>
  <si>
    <t>Substitution benefits for wood products used in buildings (McKeever 2011)</t>
  </si>
  <si>
    <t>Logging Residue/  Slash</t>
  </si>
  <si>
    <t>Bioenergy</t>
  </si>
  <si>
    <t>Infinite</t>
  </si>
  <si>
    <t>Age Class</t>
  </si>
  <si>
    <t>Live tree</t>
  </si>
  <si>
    <t>Dead tree</t>
  </si>
  <si>
    <t>Understory</t>
  </si>
  <si>
    <t>Down dead wood</t>
  </si>
  <si>
    <t>Forest floor</t>
  </si>
  <si>
    <t>Soil</t>
  </si>
  <si>
    <t>Livet/NewC</t>
  </si>
  <si>
    <t>Soil C</t>
  </si>
  <si>
    <t>Wood products change</t>
  </si>
  <si>
    <t>Default 1. based on Sathre and O'Connor 2010. Only applied to 57% of wood products that go into buildings (FPL-GTR-1999,2011). Packaging, short term construction wood, etc is not alloted substitution benefits.</t>
  </si>
  <si>
    <t xml:space="preserve">Process heat and grid electricity replaces 'always available' baseload energy that (mainly from fossil fuels) and avoids backup requirement of other renewables (Joskow 2011) </t>
  </si>
  <si>
    <t xml:space="preserve">Indexed to 100 percent in spreadsheet below </t>
  </si>
  <si>
    <r>
      <t>Initial wood</t>
    </r>
    <r>
      <rPr>
        <sz val="10"/>
        <rFont val="Arial"/>
      </rPr>
      <t xml:space="preserve"> products</t>
    </r>
    <r>
      <rPr>
        <sz val="10"/>
        <rFont val="Arial"/>
      </rPr>
      <t xml:space="preserve"> carbon</t>
    </r>
  </si>
  <si>
    <t>1:1 Substitution benefits applied wood products used in buildings (McKeever 2011)</t>
  </si>
  <si>
    <r>
      <t>Logging</t>
    </r>
    <r>
      <rPr>
        <sz val="10"/>
        <rFont val="Arial"/>
      </rPr>
      <t xml:space="preserve"> slash</t>
    </r>
    <r>
      <rPr>
        <sz val="10"/>
        <rFont val="Arial"/>
      </rPr>
      <t xml:space="preserve"> - use/leave ratios</t>
    </r>
  </si>
  <si>
    <t>Thin @ yr40 percentage of total live biomass</t>
  </si>
  <si>
    <t>57% of wood products go into buildings where substitution benefits are significant (FPL-GTR-199, McKeever 2011)</t>
  </si>
  <si>
    <t>MixCon Even H80U75 - No intermediate thin, harvest@yr80, utilize 75% of logging slash for bioenergy</t>
  </si>
  <si>
    <t xml:space="preserve"> MixCon Even T40H80U75 - Mixed Conifer Even aged thin@yr40, harvest@yr80, utilize 75% of logging slash for bioenergy and leave rest</t>
  </si>
  <si>
    <t>Mixed Conifer Uneven T40H80U75H20+, intermediate thin@yr40, partial harvest @yr80 and every 20 years after, utilize 75% of slash for bioenergy</t>
  </si>
  <si>
    <t>CMC - poor or nonstocked</t>
  </si>
  <si>
    <t>CMC - poor or nonstocked (poor or nonstocked brushfield)</t>
  </si>
  <si>
    <t>Post- disturbance brushfield</t>
  </si>
  <si>
    <t>cmc - poor or non-stocked</t>
  </si>
  <si>
    <t xml:space="preserve"> MixCon Even T40H80U25 - Mixed Conifer Even aged thin@yr40, harvest@yr80, utilize 25% of logging slash for bioenergy and leave rest</t>
  </si>
  <si>
    <t>2 20 2014 analysis CMC live tree tC/ha - all forest til 80, then use growth rate proportional to stand volume</t>
  </si>
  <si>
    <t>Default 0.25. Based on interpretration of AB 32 Scoping Plan: Renewable Portfolio Standard and Recycling and Waste goals</t>
  </si>
  <si>
    <t>Default 0.1. Based on ARB Scoping Plan components: Renewable Portfolio Standard and Recyling and Waste</t>
  </si>
  <si>
    <t>Let Grow MgC/ha/yr</t>
  </si>
  <si>
    <t>Let Grow MgC/ha</t>
  </si>
  <si>
    <t xml:space="preserve">Scenarios without management </t>
  </si>
  <si>
    <t>Poor/ Nonstocked Forest</t>
  </si>
  <si>
    <t>Wood Products</t>
  </si>
  <si>
    <t xml:space="preserve">Live Trees+ Downed Wood </t>
  </si>
  <si>
    <t>Live Trees+ Downed Wood</t>
  </si>
  <si>
    <t>Total Managed Forest Benefits - yearly average</t>
  </si>
  <si>
    <t>Total Managed Forest Benefits - Annual average</t>
  </si>
  <si>
    <t>Catastrophic fire volatalizes 1/2 biomass, 1/2 rots</t>
  </si>
  <si>
    <t>post initial fire remaining above ground C</t>
  </si>
  <si>
    <t xml:space="preserve"> cycle average</t>
  </si>
  <si>
    <t>Fully stocked natural forests begins at yr 80</t>
  </si>
  <si>
    <t>Let-grow forest (w thin@40)          (Mg /Ha)</t>
  </si>
  <si>
    <t>Total let grow, catastrophe, 80yr poor stocking, then 80yr forest</t>
  </si>
  <si>
    <t>Net energy from logging residues</t>
  </si>
  <si>
    <t>Net energy from logging residues #1</t>
  </si>
  <si>
    <t>Net energy from logging residues #2</t>
  </si>
  <si>
    <t>Product Allocation Ratios</t>
  </si>
  <si>
    <t>Default 0.24 usedfor energy,  0.75 into products, 0.01 waste (Morgan et al. PNW-GTR-866. 2012)</t>
  </si>
  <si>
    <t>Regen- erated forest #1</t>
  </si>
  <si>
    <t>Summary values for tables below</t>
  </si>
  <si>
    <t>Wood products  with 1:1 substitution benefit</t>
  </si>
  <si>
    <t>MgC/ha/ yr</t>
  </si>
  <si>
    <t>1.5 cycle regen forest+wood products</t>
  </si>
  <si>
    <t>1.5 cycle - managed forest+products</t>
  </si>
  <si>
    <t>1.5 cycle - let grow</t>
  </si>
  <si>
    <t>change from 2 cycles</t>
  </si>
  <si>
    <t xml:space="preserve"> MixCon Even T40H80U00 - Mixed Conifer Even aged thin@yr40, harvest@yr80, utilize 0% of logging slash for bioenergy and leave rest</t>
  </si>
  <si>
    <t>CMixCon - Private/All Premium</t>
  </si>
  <si>
    <t>DougFir - Private/All Premium</t>
  </si>
  <si>
    <t>PPine - Private/All Premium</t>
  </si>
  <si>
    <t>Redwood - Private/All Premium</t>
  </si>
  <si>
    <t>Year 20</t>
  </si>
  <si>
    <t xml:space="preserve">Year 40 </t>
  </si>
  <si>
    <t xml:space="preserve">Year 60 </t>
  </si>
  <si>
    <t>Year 80</t>
  </si>
  <si>
    <t>COLE derived premium of private v all plot growth rates</t>
  </si>
  <si>
    <t>Scenario: fuels/forest health thinning at yr 40</t>
  </si>
  <si>
    <t>Let Grow Forest</t>
  </si>
  <si>
    <r>
      <t>Unused</t>
    </r>
    <r>
      <rPr>
        <sz val="10"/>
        <rFont val="Arial"/>
      </rPr>
      <t xml:space="preserve"> - decompose</t>
    </r>
  </si>
  <si>
    <t>Climate Benefits from First Thinning at year 40  and Regeneration Cycle</t>
  </si>
  <si>
    <t>NO DIFFERENCE BETWEEN TWO OPTIONS Climate Benefits from First Harvest and Regeneration Cycle</t>
  </si>
  <si>
    <t>NO DIFFERENCE BETWEEN TWO OPTIONS Additional Climate Benefits from Second Harvest and Regeneration Cycle</t>
  </si>
  <si>
    <t>COMPARATIVE CARBON DIFFERENCE OF FUELS/FOREST HEALTH/ SILV THIN AT YR 40 V NO THIN Cumulative Climate Benefits from One Thinning, Two Harvest and Regeneration Cycles</t>
  </si>
  <si>
    <t>@40YR Thinning residues - energy/product/leave ratios</t>
  </si>
  <si>
    <t>Default 0.75 used for bioenergy or products, 0.25 unused logging residues left to decompose on site. All unused is like burning all residues</t>
  </si>
  <si>
    <t>slash collected</t>
  </si>
  <si>
    <t xml:space="preserve">slash left </t>
  </si>
  <si>
    <t xml:space="preserve">No thin </t>
  </si>
  <si>
    <t xml:space="preserve">Best product utilzation </t>
  </si>
  <si>
    <t>Use 1/2 collected for bioenergy</t>
  </si>
  <si>
    <t xml:space="preserve">Thin and leave all </t>
  </si>
  <si>
    <t>Pile Burn</t>
  </si>
  <si>
    <t>To Bioenergy</t>
  </si>
  <si>
    <t>To Products</t>
  </si>
  <si>
    <t>To Decomp</t>
  </si>
  <si>
    <t>To Pile Burn</t>
  </si>
  <si>
    <t>160yr MgC/ha/yr</t>
  </si>
  <si>
    <t>Ch in Fire loss prob</t>
  </si>
  <si>
    <t xml:space="preserve">Overall Est </t>
  </si>
  <si>
    <t>C over 160 yr</t>
  </si>
  <si>
    <t>Pct Gain</t>
  </si>
  <si>
    <t>C Storage</t>
  </si>
  <si>
    <t>year 40-80 no tmt avg C</t>
  </si>
  <si>
    <t>year 40-80 tmt avg C</t>
  </si>
  <si>
    <t>Products</t>
  </si>
  <si>
    <t>Decomp</t>
  </si>
  <si>
    <t>No tmt</t>
  </si>
  <si>
    <t>Best utilziation</t>
  </si>
  <si>
    <t>1/2 for bioenergy</t>
  </si>
  <si>
    <t>Thin and scatter</t>
  </si>
  <si>
    <t>Pile burn</t>
  </si>
  <si>
    <t>Avg C inv</t>
  </si>
  <si>
    <t>% gain</t>
  </si>
  <si>
    <t>less disaster C gain</t>
  </si>
  <si>
    <t>Avg + less disaster C</t>
  </si>
  <si>
    <t>Forest type</t>
  </si>
  <si>
    <t>Thin Year</t>
  </si>
  <si>
    <t>Slash % to Bioenergy</t>
  </si>
  <si>
    <t>Cycle Length (years)</t>
  </si>
  <si>
    <t>FOREST ACRES</t>
  </si>
  <si>
    <t>HECTARE CONVERSION</t>
  </si>
  <si>
    <t>No thin</t>
  </si>
  <si>
    <t>Ratio (m:l)</t>
  </si>
  <si>
    <t>Mixed Conifer</t>
  </si>
  <si>
    <t>Even-aged</t>
  </si>
  <si>
    <t>View Details</t>
  </si>
  <si>
    <t>Silviculture Type</t>
  </si>
  <si>
    <t>1.5 Cycles (120 years)</t>
  </si>
  <si>
    <t>Let Grow (MgC)</t>
  </si>
  <si>
    <t>Managed (MgC)</t>
  </si>
  <si>
    <t>2 cycles (160 years)</t>
  </si>
  <si>
    <t>3 cycles  (240 years)</t>
  </si>
  <si>
    <t>Uneven-aged</t>
  </si>
  <si>
    <t>Init. Havest Year 80, Re-entry every 20 years after</t>
  </si>
  <si>
    <t>Note</t>
  </si>
  <si>
    <t>assumes no prior thin</t>
  </si>
  <si>
    <t>Fuels Health type treatment, assumes no prior thin</t>
  </si>
  <si>
    <t>Let Grow (MgC/ha/yr)</t>
  </si>
  <si>
    <t>Managed (MgC/ha/yr)</t>
  </si>
  <si>
    <t>Carbon benefits of treatment for mixed conifer forest over three harvest cycles in MgC/ha/yr</t>
  </si>
  <si>
    <t>Carbon benefits of treatment for mixed conifer forest over three harvest cycles in MgC/ha</t>
  </si>
  <si>
    <t>1 MgC = 1 megagram carbon = ton carbon</t>
  </si>
  <si>
    <t>annual fire probability</t>
  </si>
  <si>
    <t>input</t>
  </si>
  <si>
    <t>Based on FIA (Christensen et al 2008)</t>
  </si>
  <si>
    <t>Estimated Fire Severity Matrix - % of area</t>
  </si>
  <si>
    <t>tmt effectiveness period in years</t>
  </si>
  <si>
    <t>Based on vegetative regrowth</t>
  </si>
  <si>
    <t>No treatment</t>
  </si>
  <si>
    <t>Basic Treatment</t>
  </si>
  <si>
    <t>Super Tmt</t>
  </si>
  <si>
    <t>probability of fire during tmt period</t>
  </si>
  <si>
    <t>calculated</t>
  </si>
  <si>
    <t>high</t>
  </si>
  <si>
    <t>No TMT average live C tree inventory at risk over tmt period</t>
  </si>
  <si>
    <t>Based on Mg C per ha from growth tables in Berkeley C calculator</t>
  </si>
  <si>
    <t>moderate</t>
  </si>
  <si>
    <t>TMT average live C tree inventory at risk over tmt period</t>
  </si>
  <si>
    <t>low</t>
  </si>
  <si>
    <t>Dead and Down,  Forest Floor carbon of 50T Live</t>
  </si>
  <si>
    <t xml:space="preserve">Assumption 1: Fuels or forest health treatment will reduce the intensity of loss but not the area affected by fire/infestation </t>
  </si>
  <si>
    <t>Assumption 2: Fuels or forest health treatment will also reduce the area affected by the fire/infestation</t>
  </si>
  <si>
    <t>Area affected after treatment</t>
  </si>
  <si>
    <t>No change in area burnt/affected</t>
  </si>
  <si>
    <t>20% reduction in area burnt/affected</t>
  </si>
  <si>
    <t>40% reduction in area burnt/affected</t>
  </si>
  <si>
    <t>no treatment</t>
  </si>
  <si>
    <t>severity</t>
  </si>
  <si>
    <t>pct area</t>
  </si>
  <si>
    <t>pct kill</t>
  </si>
  <si>
    <t xml:space="preserve"> C loss</t>
  </si>
  <si>
    <t xml:space="preserve">sum </t>
  </si>
  <si>
    <t>all area severity</t>
  </si>
  <si>
    <t>pct of avg inventory</t>
  </si>
  <si>
    <t>with treatment</t>
  </si>
  <si>
    <t>pct of avg not tmt inventory</t>
  </si>
  <si>
    <t xml:space="preserve">C saved by treatment </t>
  </si>
  <si>
    <t>Summary Table of Tonnes of Carbon Saved by Tmts</t>
  </si>
  <si>
    <t>In terms of tonnes of live carbon per treated hectare</t>
  </si>
  <si>
    <t>Implications: Two types of C benefits from treating stands with ~50 tonnes/hectare</t>
  </si>
  <si>
    <t>Area affected</t>
  </si>
  <si>
    <t>1. A thinning will essentially capture mortality that would be expected to occur from self-thinningfuels</t>
  </si>
  <si>
    <t xml:space="preserve"> (tree to tree suppression) and result in a larger average tree size with less hazardous </t>
  </si>
  <si>
    <t>1. No tmt</t>
  </si>
  <si>
    <t>2. The thinning treatment will reduce the estimated mortality that would occur if a wildfire or</t>
  </si>
  <si>
    <t>2. Tmt</t>
  </si>
  <si>
    <t>insect/pest outbreak entered the stands -  in severity and/or total area affected</t>
  </si>
  <si>
    <t>3. 'Savings liveC</t>
  </si>
  <si>
    <t>3. A mid-range estimate of the C benefits of basic tmt is a ~5% net gain in carbon (2.9 tonnes saved tonnes)</t>
  </si>
  <si>
    <t xml:space="preserve"> between treatment and no treatment for this example of a stand starting with 50 </t>
  </si>
  <si>
    <t>in terms of percent of carbon inventory projected to be lost from unexpected disturbances</t>
  </si>
  <si>
    <t>Avg Residual Live Carbon - Dead and Down Emissions</t>
  </si>
  <si>
    <t>20 year tmt effect, and 20 year no tmt effect</t>
  </si>
  <si>
    <t>4. A very effective tmt (80% treated to only a low severity fire) gives a ~9% carbon gain</t>
  </si>
  <si>
    <t>with only one scenario having less than 1.0 carbon benefits</t>
  </si>
  <si>
    <t>Base Case 21st Century Fire</t>
  </si>
  <si>
    <t>Yr 40 yield</t>
  </si>
  <si>
    <t>Avg Inv 40-79</t>
  </si>
  <si>
    <t>Reduced Area Burnt</t>
  </si>
  <si>
    <t>Product C</t>
  </si>
  <si>
    <t>No Fire Forest Live C</t>
  </si>
  <si>
    <t>Dead and Down C</t>
  </si>
  <si>
    <t>-0%</t>
  </si>
  <si>
    <t>-20%</t>
  </si>
  <si>
    <t>-40%</t>
  </si>
  <si>
    <t>No Tmt</t>
  </si>
  <si>
    <t>Best Util.</t>
  </si>
  <si>
    <t>1/2 Best Util</t>
  </si>
  <si>
    <t>Untreated</t>
  </si>
  <si>
    <t>Treated- basic</t>
  </si>
  <si>
    <t>Treated - very effective</t>
  </si>
  <si>
    <t>Outcome in Improved tC per ha over 40 years with constant 1%/yr risk of wildfire (higher intensity on untreated lands)</t>
  </si>
  <si>
    <t>-0% burnt area</t>
  </si>
  <si>
    <t>-20% burnt area</t>
  </si>
  <si>
    <t>-40% burnt area</t>
  </si>
  <si>
    <t>Fire Area Burned Reduction</t>
  </si>
  <si>
    <t>4 * 3 tmt average</t>
  </si>
  <si>
    <t>When dead but slowly decomposing wood is also considered for carbon storage benefits</t>
  </si>
  <si>
    <t>thinning treatments are estimated to increase overall carbon storage by 1% to 9% per unit of area</t>
  </si>
  <si>
    <t>A wildfire will also burn down logs, understory, and forest floor with similar intensities and emissions</t>
  </si>
  <si>
    <t>Dead and Down Trees</t>
  </si>
  <si>
    <t xml:space="preserve">COLE California Mixed Conifer, Private </t>
  </si>
  <si>
    <t xml:space="preserve">Low and moderate severity fires will mainly consume the dries fuels - forest floor and dead and down trees </t>
  </si>
  <si>
    <t>High severity fires wil, in addition, kill far more trees (that will release CO2 over years), immediately release CO2 from tops, branches and foliage, and potentially from the upper 10-30 cm of organic carbon in the soils</t>
  </si>
  <si>
    <t xml:space="preserve">Immediate and long term CO2 release per acre will be a function of fire severity </t>
  </si>
  <si>
    <t>Spreadsheet to estimate net carbon sequestration for a range of fuels tmt options under different fire severity reductions and different area burned reductions</t>
  </si>
  <si>
    <t>Est. C at risk of some loss from fire on dead and down trees and forest floor carbon</t>
  </si>
  <si>
    <t>Paste values from D51:D53 or E51:E53 into blocks in rows 25 thru 27 to represent estimated tmt. Effectiveness</t>
  </si>
  <si>
    <t xml:space="preserve">If post treatment fire severity mix is </t>
  </si>
  <si>
    <t xml:space="preserve">and overall percent mortality is </t>
  </si>
  <si>
    <t xml:space="preserve">Then, the change carbon density (tC/ha) , absolute change, and percent change is: </t>
  </si>
  <si>
    <t>Overall C loss</t>
  </si>
  <si>
    <t>estimated as wtd sum of H,M,L severity areas</t>
  </si>
  <si>
    <t>treatments are assumed to change severity which changes mortality (eventual C emmissions)</t>
  </si>
  <si>
    <t>overall</t>
  </si>
  <si>
    <t>tC/ha increase</t>
  </si>
  <si>
    <t>of per tmt C</t>
  </si>
  <si>
    <t>increase in climate benefits</t>
  </si>
  <si>
    <t>from tmts compared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</si>
</sst>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%"/>
  </numFmts>
  <fonts count="37" x14ac:knownFonts="1">
    <font>
      <sz val="10"/>
      <name val="Arial"/>
    </font>
    <font>
      <sz val="10"/>
      <name val="Arial"/>
    </font>
    <font>
      <sz val="8"/>
      <name val="Arial"/>
    </font>
    <font>
      <u/>
      <sz val="10"/>
      <color indexed="12"/>
      <name val="MS Sans Serif"/>
    </font>
    <font>
      <sz val="10"/>
      <name val="Arial"/>
    </font>
    <font>
      <b/>
      <sz val="8"/>
      <color indexed="81"/>
      <name val="Tahoma"/>
    </font>
    <font>
      <sz val="8"/>
      <color indexed="81"/>
      <name val="Tahoma"/>
    </font>
    <font>
      <sz val="9"/>
      <color indexed="81"/>
      <name val="Arial"/>
    </font>
    <font>
      <b/>
      <sz val="9"/>
      <color indexed="81"/>
      <name val="Arial"/>
    </font>
    <font>
      <sz val="10"/>
      <name val="Verdana"/>
    </font>
    <font>
      <sz val="10"/>
      <name val="Menlo Regular"/>
    </font>
    <font>
      <sz val="10"/>
      <name val="MS Sans Serif"/>
    </font>
    <font>
      <sz val="10"/>
      <color rgb="FFFF0000"/>
      <name val="Arial"/>
    </font>
    <font>
      <sz val="10"/>
      <color rgb="FF3366FF"/>
      <name val="Arial"/>
    </font>
    <font>
      <sz val="10"/>
      <color rgb="FF000090"/>
      <name val="Arial"/>
    </font>
    <font>
      <u/>
      <sz val="10"/>
      <color theme="11"/>
      <name val="Arial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Menlo Regular"/>
    </font>
    <font>
      <u/>
      <sz val="10"/>
      <color theme="1"/>
      <name val="MS Sans Serif"/>
    </font>
    <font>
      <sz val="10"/>
      <color rgb="FFFF6600"/>
      <name val="Arial"/>
    </font>
    <font>
      <sz val="10"/>
      <color theme="9" tint="-0.249977111117893"/>
      <name val="Arial"/>
    </font>
    <font>
      <sz val="10"/>
      <color rgb="FF0000FF"/>
      <name val="Arial"/>
    </font>
    <font>
      <sz val="10"/>
      <color rgb="FF008000"/>
      <name val="Arial"/>
    </font>
    <font>
      <sz val="10"/>
      <color rgb="FF008000"/>
      <name val="MS Sans Serif"/>
    </font>
    <font>
      <b/>
      <sz val="10"/>
      <color rgb="FF3366FF"/>
      <name val="Arial"/>
    </font>
    <font>
      <b/>
      <sz val="11"/>
      <color rgb="FF3F3F76"/>
      <name val="Calibri"/>
      <scheme val="minor"/>
    </font>
    <font>
      <sz val="11"/>
      <color rgb="FF006100"/>
      <name val="Calibri (Body)"/>
    </font>
    <font>
      <sz val="10"/>
      <color theme="1"/>
      <name val="Calibri"/>
      <scheme val="minor"/>
    </font>
    <font>
      <sz val="10"/>
      <color rgb="FF006100"/>
      <name val="Calibri"/>
      <scheme val="minor"/>
    </font>
    <font>
      <b/>
      <sz val="9"/>
      <color indexed="81"/>
      <name val="Calibri"/>
      <family val="2"/>
    </font>
    <font>
      <sz val="9"/>
      <color indexed="81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0B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78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9" applyNumberFormat="0" applyAlignment="0" applyProtection="0"/>
    <xf numFmtId="0" fontId="18" fillId="6" borderId="9" applyNumberFormat="0" applyAlignment="0" applyProtection="0"/>
    <xf numFmtId="0" fontId="19" fillId="0" borderId="10" applyNumberFormat="0" applyFill="0" applyAlignment="0" applyProtection="0"/>
    <xf numFmtId="0" fontId="1" fillId="7" borderId="11" applyNumberFormat="0" applyFon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32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43" fontId="0" fillId="0" borderId="0" xfId="1" applyFont="1"/>
    <xf numFmtId="0" fontId="4" fillId="0" borderId="0" xfId="0" quotePrefix="1" applyNumberFormat="1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3" fillId="0" borderId="0" xfId="2"/>
    <xf numFmtId="0" fontId="12" fillId="0" borderId="0" xfId="0" applyFont="1" applyAlignment="1">
      <alignment wrapText="1"/>
    </xf>
    <xf numFmtId="1" fontId="12" fillId="0" borderId="0" xfId="0" applyNumberFormat="1" applyFont="1"/>
    <xf numFmtId="0" fontId="11" fillId="0" borderId="0" xfId="2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quotePrefix="1" applyNumberFormat="1" applyFont="1"/>
    <xf numFmtId="9" fontId="0" fillId="0" borderId="0" xfId="3" applyFont="1"/>
    <xf numFmtId="1" fontId="3" fillId="0" borderId="0" xfId="2" applyNumberFormat="1"/>
    <xf numFmtId="0" fontId="0" fillId="0" borderId="8" xfId="0" applyBorder="1"/>
    <xf numFmtId="0" fontId="0" fillId="3" borderId="0" xfId="0" applyFill="1"/>
    <xf numFmtId="1" fontId="18" fillId="6" borderId="9" xfId="23" applyNumberFormat="1"/>
    <xf numFmtId="0" fontId="17" fillId="5" borderId="9" xfId="22"/>
    <xf numFmtId="0" fontId="0" fillId="0" borderId="0" xfId="0" applyFill="1" applyBorder="1"/>
    <xf numFmtId="0" fontId="13" fillId="0" borderId="0" xfId="0" applyFont="1" applyFill="1" applyBorder="1"/>
    <xf numFmtId="0" fontId="17" fillId="0" borderId="0" xfId="22" applyFill="1" applyBorder="1"/>
    <xf numFmtId="1" fontId="16" fillId="0" borderId="0" xfId="21" applyNumberFormat="1" applyFill="1" applyBorder="1"/>
    <xf numFmtId="2" fontId="18" fillId="6" borderId="9" xfId="23" applyNumberFormat="1"/>
    <xf numFmtId="2" fontId="16" fillId="4" borderId="0" xfId="21" applyNumberFormat="1"/>
    <xf numFmtId="0" fontId="21" fillId="0" borderId="0" xfId="0" applyFont="1"/>
    <xf numFmtId="0" fontId="0" fillId="0" borderId="0" xfId="0" applyAlignment="1">
      <alignment horizontal="left" wrapText="1"/>
    </xf>
    <xf numFmtId="0" fontId="21" fillId="0" borderId="8" xfId="0" applyFont="1" applyBorder="1"/>
    <xf numFmtId="0" fontId="0" fillId="0" borderId="8" xfId="0" applyBorder="1" applyAlignment="1">
      <alignment horizontal="left" wrapText="1"/>
    </xf>
    <xf numFmtId="0" fontId="20" fillId="0" borderId="8" xfId="0" applyFont="1" applyBorder="1"/>
    <xf numFmtId="0" fontId="20" fillId="0" borderId="8" xfId="0" applyFont="1" applyBorder="1" applyAlignment="1">
      <alignment wrapText="1"/>
    </xf>
    <xf numFmtId="0" fontId="0" fillId="0" borderId="0" xfId="0" applyFill="1"/>
    <xf numFmtId="0" fontId="20" fillId="0" borderId="8" xfId="0" applyFont="1" applyFill="1" applyBorder="1" applyAlignment="1">
      <alignment horizontal="left"/>
    </xf>
    <xf numFmtId="0" fontId="20" fillId="8" borderId="12" xfId="0" applyFont="1" applyFill="1" applyBorder="1" applyAlignment="1"/>
    <xf numFmtId="0" fontId="20" fillId="8" borderId="13" xfId="0" applyFont="1" applyFill="1" applyBorder="1" applyAlignment="1"/>
    <xf numFmtId="0" fontId="20" fillId="8" borderId="14" xfId="0" applyFont="1" applyFill="1" applyBorder="1" applyAlignment="1"/>
    <xf numFmtId="43" fontId="17" fillId="5" borderId="9" xfId="22" applyNumberFormat="1"/>
    <xf numFmtId="43" fontId="17" fillId="5" borderId="8" xfId="22" applyNumberFormat="1" applyBorder="1"/>
    <xf numFmtId="0" fontId="0" fillId="0" borderId="15" xfId="0" applyBorder="1"/>
    <xf numFmtId="0" fontId="17" fillId="5" borderId="16" xfId="22" applyBorder="1"/>
    <xf numFmtId="0" fontId="21" fillId="0" borderId="8" xfId="0" applyFont="1" applyFill="1" applyBorder="1"/>
    <xf numFmtId="0" fontId="17" fillId="5" borderId="8" xfId="22" applyBorder="1"/>
    <xf numFmtId="0" fontId="21" fillId="0" borderId="0" xfId="0" applyFont="1" applyAlignment="1">
      <alignment wrapText="1"/>
    </xf>
    <xf numFmtId="0" fontId="18" fillId="6" borderId="9" xfId="23" quotePrefix="1" applyNumberFormat="1"/>
    <xf numFmtId="0" fontId="18" fillId="6" borderId="9" xfId="23"/>
    <xf numFmtId="164" fontId="18" fillId="6" borderId="9" xfId="23" applyNumberFormat="1"/>
    <xf numFmtId="43" fontId="16" fillId="4" borderId="0" xfId="21" applyNumberFormat="1"/>
    <xf numFmtId="1" fontId="16" fillId="4" borderId="8" xfId="21" applyNumberFormat="1" applyBorder="1"/>
    <xf numFmtId="0" fontId="20" fillId="0" borderId="8" xfId="0" applyFont="1" applyFill="1" applyBorder="1"/>
    <xf numFmtId="164" fontId="16" fillId="0" borderId="0" xfId="21" applyNumberFormat="1" applyFill="1" applyBorder="1"/>
    <xf numFmtId="2" fontId="0" fillId="0" borderId="0" xfId="0" applyNumberFormat="1" applyFill="1"/>
    <xf numFmtId="0" fontId="13" fillId="0" borderId="0" xfId="0" applyFont="1" applyFill="1"/>
    <xf numFmtId="2" fontId="17" fillId="5" borderId="8" xfId="22" applyNumberFormat="1" applyBorder="1"/>
    <xf numFmtId="9" fontId="16" fillId="0" borderId="0" xfId="21" applyNumberFormat="1" applyFill="1" applyBorder="1"/>
    <xf numFmtId="0" fontId="20" fillId="0" borderId="0" xfId="0" applyFont="1" applyFill="1" applyBorder="1"/>
    <xf numFmtId="0" fontId="22" fillId="0" borderId="0" xfId="0" applyFont="1"/>
    <xf numFmtId="0" fontId="22" fillId="7" borderId="11" xfId="25" applyFont="1"/>
    <xf numFmtId="0" fontId="24" fillId="7" borderId="11" xfId="25" applyFont="1"/>
    <xf numFmtId="2" fontId="18" fillId="6" borderId="8" xfId="23" applyNumberFormat="1" applyBorder="1"/>
    <xf numFmtId="0" fontId="19" fillId="0" borderId="8" xfId="24" applyBorder="1"/>
    <xf numFmtId="2" fontId="16" fillId="4" borderId="8" xfId="21" applyNumberFormat="1" applyBorder="1"/>
    <xf numFmtId="1" fontId="16" fillId="7" borderId="8" xfId="25" applyNumberFormat="1" applyFont="1" applyBorder="1"/>
    <xf numFmtId="0" fontId="21" fillId="0" borderId="12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0" fillId="0" borderId="8" xfId="0" applyFont="1" applyBorder="1"/>
    <xf numFmtId="165" fontId="16" fillId="4" borderId="8" xfId="1" applyNumberFormat="1" applyFont="1" applyFill="1" applyBorder="1"/>
    <xf numFmtId="0" fontId="11" fillId="0" borderId="0" xfId="2" applyFont="1"/>
    <xf numFmtId="0" fontId="17" fillId="5" borderId="0" xfId="22" applyBorder="1"/>
    <xf numFmtId="0" fontId="0" fillId="10" borderId="0" xfId="0" applyFill="1" applyAlignment="1">
      <alignment wrapText="1"/>
    </xf>
    <xf numFmtId="0" fontId="12" fillId="10" borderId="0" xfId="0" applyFont="1" applyFill="1" applyAlignment="1">
      <alignment wrapText="1"/>
    </xf>
    <xf numFmtId="1" fontId="0" fillId="10" borderId="0" xfId="0" applyNumberFormat="1" applyFill="1"/>
    <xf numFmtId="0" fontId="0" fillId="10" borderId="0" xfId="0" applyFill="1"/>
    <xf numFmtId="1" fontId="0" fillId="10" borderId="0" xfId="0" applyNumberFormat="1" applyFill="1" applyAlignment="1">
      <alignment horizontal="left"/>
    </xf>
    <xf numFmtId="1" fontId="12" fillId="10" borderId="0" xfId="0" applyNumberFormat="1" applyFont="1" applyFill="1"/>
    <xf numFmtId="1" fontId="12" fillId="10" borderId="0" xfId="0" applyNumberFormat="1" applyFont="1" applyFill="1" applyAlignment="1">
      <alignment horizontal="right"/>
    </xf>
    <xf numFmtId="1" fontId="14" fillId="10" borderId="0" xfId="0" applyNumberFormat="1" applyFont="1" applyFill="1"/>
    <xf numFmtId="0" fontId="0" fillId="11" borderId="0" xfId="0" applyFill="1" applyAlignment="1">
      <alignment wrapText="1"/>
    </xf>
    <xf numFmtId="0" fontId="12" fillId="11" borderId="0" xfId="0" applyFont="1" applyFill="1" applyAlignment="1">
      <alignment wrapText="1"/>
    </xf>
    <xf numFmtId="0" fontId="0" fillId="11" borderId="0" xfId="0" applyFill="1"/>
    <xf numFmtId="1" fontId="0" fillId="11" borderId="0" xfId="0" applyNumberFormat="1" applyFill="1"/>
    <xf numFmtId="1" fontId="14" fillId="11" borderId="0" xfId="0" applyNumberFormat="1" applyFont="1" applyFill="1"/>
    <xf numFmtId="1" fontId="12" fillId="11" borderId="0" xfId="0" applyNumberFormat="1" applyFont="1" applyFill="1"/>
    <xf numFmtId="43" fontId="12" fillId="10" borderId="0" xfId="1" applyFont="1" applyFill="1" applyAlignment="1">
      <alignment wrapText="1"/>
    </xf>
    <xf numFmtId="43" fontId="12" fillId="11" borderId="0" xfId="1" applyFont="1" applyFill="1" applyAlignment="1">
      <alignment wrapText="1"/>
    </xf>
    <xf numFmtId="0" fontId="0" fillId="12" borderId="0" xfId="0" applyFill="1" applyAlignment="1">
      <alignment wrapText="1"/>
    </xf>
    <xf numFmtId="0" fontId="12" fillId="12" borderId="0" xfId="0" applyFont="1" applyFill="1" applyAlignment="1">
      <alignment wrapText="1"/>
    </xf>
    <xf numFmtId="43" fontId="12" fillId="12" borderId="0" xfId="1" applyFont="1" applyFill="1" applyAlignment="1">
      <alignment wrapText="1"/>
    </xf>
    <xf numFmtId="0" fontId="0" fillId="12" borderId="0" xfId="0" applyFill="1"/>
    <xf numFmtId="1" fontId="0" fillId="12" borderId="0" xfId="0" applyNumberFormat="1" applyFill="1"/>
    <xf numFmtId="2" fontId="19" fillId="6" borderId="0" xfId="24" applyNumberFormat="1" applyFill="1" applyBorder="1"/>
    <xf numFmtId="0" fontId="19" fillId="6" borderId="0" xfId="24" applyFill="1" applyBorder="1"/>
    <xf numFmtId="3" fontId="16" fillId="4" borderId="8" xfId="21" applyNumberFormat="1" applyBorder="1"/>
    <xf numFmtId="165" fontId="0" fillId="0" borderId="0" xfId="0" applyNumberFormat="1"/>
    <xf numFmtId="0" fontId="20" fillId="0" borderId="8" xfId="0" applyFont="1" applyFill="1" applyBorder="1" applyAlignment="1">
      <alignment wrapText="1"/>
    </xf>
    <xf numFmtId="2" fontId="0" fillId="0" borderId="0" xfId="0" applyNumberFormat="1" applyAlignment="1">
      <alignment wrapText="1"/>
    </xf>
    <xf numFmtId="9" fontId="1" fillId="0" borderId="0" xfId="3" applyFont="1" applyFill="1" applyBorder="1"/>
    <xf numFmtId="0" fontId="0" fillId="0" borderId="8" xfId="0" applyFont="1" applyBorder="1" applyAlignment="1">
      <alignment wrapText="1"/>
    </xf>
    <xf numFmtId="9" fontId="25" fillId="0" borderId="0" xfId="3" applyFont="1"/>
    <xf numFmtId="9" fontId="26" fillId="0" borderId="0" xfId="3" applyFont="1"/>
    <xf numFmtId="9" fontId="19" fillId="0" borderId="0" xfId="3" applyFont="1" applyFill="1" applyBorder="1"/>
    <xf numFmtId="2" fontId="19" fillId="0" borderId="0" xfId="24" applyNumberFormat="1" applyFill="1" applyBorder="1"/>
    <xf numFmtId="0" fontId="20" fillId="0" borderId="0" xfId="0" applyFont="1"/>
    <xf numFmtId="0" fontId="0" fillId="13" borderId="0" xfId="0" applyFill="1" applyAlignment="1">
      <alignment wrapText="1"/>
    </xf>
    <xf numFmtId="1" fontId="0" fillId="13" borderId="0" xfId="0" applyNumberFormat="1" applyFill="1"/>
    <xf numFmtId="1" fontId="0" fillId="0" borderId="0" xfId="0" applyNumberFormat="1" applyFill="1" applyBorder="1"/>
    <xf numFmtId="1" fontId="0" fillId="0" borderId="0" xfId="0" applyNumberFormat="1" applyFill="1"/>
    <xf numFmtId="0" fontId="27" fillId="0" borderId="0" xfId="0" applyFont="1"/>
    <xf numFmtId="0" fontId="28" fillId="0" borderId="0" xfId="0" applyFont="1" applyAlignment="1">
      <alignment wrapText="1"/>
    </xf>
    <xf numFmtId="0" fontId="29" fillId="0" borderId="0" xfId="2" applyFont="1" applyAlignment="1">
      <alignment wrapText="1"/>
    </xf>
    <xf numFmtId="9" fontId="12" fillId="0" borderId="0" xfId="3" applyFont="1"/>
    <xf numFmtId="0" fontId="0" fillId="0" borderId="0" xfId="0" applyFont="1" applyFill="1" applyBorder="1"/>
    <xf numFmtId="0" fontId="20" fillId="14" borderId="0" xfId="0" applyFont="1" applyFill="1"/>
    <xf numFmtId="0" fontId="30" fillId="14" borderId="0" xfId="0" quotePrefix="1" applyNumberFormat="1" applyFont="1" applyFill="1"/>
    <xf numFmtId="1" fontId="18" fillId="14" borderId="9" xfId="23" applyNumberFormat="1" applyFont="1" applyFill="1"/>
    <xf numFmtId="1" fontId="20" fillId="14" borderId="0" xfId="0" applyNumberFormat="1" applyFont="1" applyFill="1"/>
    <xf numFmtId="164" fontId="18" fillId="14" borderId="9" xfId="23" applyNumberFormat="1" applyFont="1" applyFill="1"/>
    <xf numFmtId="164" fontId="18" fillId="0" borderId="9" xfId="23" applyNumberFormat="1" applyFont="1" applyFill="1"/>
    <xf numFmtId="1" fontId="18" fillId="15" borderId="9" xfId="23" applyNumberFormat="1" applyFill="1"/>
    <xf numFmtId="0" fontId="21" fillId="0" borderId="12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2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43" fontId="12" fillId="0" borderId="0" xfId="1" applyFont="1" applyFill="1" applyAlignment="1">
      <alignment wrapText="1"/>
    </xf>
    <xf numFmtId="0" fontId="20" fillId="0" borderId="0" xfId="0" applyFont="1" applyFill="1"/>
    <xf numFmtId="1" fontId="12" fillId="0" borderId="0" xfId="0" applyNumberFormat="1" applyFont="1" applyFill="1"/>
    <xf numFmtId="0" fontId="0" fillId="16" borderId="0" xfId="0" applyFill="1"/>
    <xf numFmtId="0" fontId="13" fillId="16" borderId="0" xfId="0" quotePrefix="1" applyNumberFormat="1" applyFont="1" applyFill="1"/>
    <xf numFmtId="1" fontId="18" fillId="16" borderId="9" xfId="23" applyNumberFormat="1" applyFill="1"/>
    <xf numFmtId="164" fontId="18" fillId="16" borderId="9" xfId="23" applyNumberFormat="1" applyFont="1" applyFill="1"/>
    <xf numFmtId="164" fontId="18" fillId="16" borderId="9" xfId="23" applyNumberFormat="1" applyFill="1"/>
    <xf numFmtId="1" fontId="12" fillId="16" borderId="0" xfId="0" applyNumberFormat="1" applyFont="1" applyFill="1"/>
    <xf numFmtId="1" fontId="12" fillId="16" borderId="0" xfId="0" applyNumberFormat="1" applyFont="1" applyFill="1" applyAlignment="1">
      <alignment horizontal="right"/>
    </xf>
    <xf numFmtId="1" fontId="0" fillId="16" borderId="0" xfId="0" applyNumberFormat="1" applyFill="1"/>
    <xf numFmtId="0" fontId="13" fillId="16" borderId="0" xfId="0" applyFont="1" applyFill="1"/>
    <xf numFmtId="1" fontId="14" fillId="16" borderId="0" xfId="0" applyNumberFormat="1" applyFont="1" applyFill="1"/>
    <xf numFmtId="166" fontId="0" fillId="0" borderId="0" xfId="3" applyNumberFormat="1" applyFont="1"/>
    <xf numFmtId="0" fontId="21" fillId="0" borderId="12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2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2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2" fontId="20" fillId="8" borderId="12" xfId="0" applyNumberFormat="1" applyFont="1" applyFill="1" applyBorder="1" applyAlignment="1">
      <alignment horizontal="center" wrapText="1"/>
    </xf>
    <xf numFmtId="2" fontId="20" fillId="8" borderId="13" xfId="0" applyNumberFormat="1" applyFont="1" applyFill="1" applyBorder="1" applyAlignment="1">
      <alignment horizontal="center" wrapText="1"/>
    </xf>
    <xf numFmtId="2" fontId="20" fillId="8" borderId="14" xfId="0" applyNumberFormat="1" applyFont="1" applyFill="1" applyBorder="1" applyAlignment="1">
      <alignment horizontal="center" wrapText="1"/>
    </xf>
    <xf numFmtId="0" fontId="0" fillId="15" borderId="0" xfId="0" applyFill="1"/>
    <xf numFmtId="0" fontId="17" fillId="15" borderId="0" xfId="22" applyFill="1" applyBorder="1"/>
    <xf numFmtId="0" fontId="0" fillId="0" borderId="0" xfId="0" applyFill="1" applyBorder="1" applyAlignment="1"/>
    <xf numFmtId="0" fontId="31" fillId="0" borderId="0" xfId="22" applyFont="1" applyFill="1" applyBorder="1" applyAlignment="1">
      <alignment wrapText="1"/>
    </xf>
    <xf numFmtId="2" fontId="20" fillId="8" borderId="12" xfId="0" applyNumberFormat="1" applyFont="1" applyFill="1" applyBorder="1" applyAlignment="1">
      <alignment horizontal="center" wrapText="1"/>
    </xf>
    <xf numFmtId="2" fontId="20" fillId="8" borderId="13" xfId="0" applyNumberFormat="1" applyFont="1" applyFill="1" applyBorder="1" applyAlignment="1">
      <alignment horizontal="center" wrapText="1"/>
    </xf>
    <xf numFmtId="2" fontId="20" fillId="8" borderId="14" xfId="0" applyNumberFormat="1" applyFont="1" applyFill="1" applyBorder="1" applyAlignment="1">
      <alignment horizontal="center" wrapText="1"/>
    </xf>
    <xf numFmtId="0" fontId="0" fillId="17" borderId="8" xfId="0" applyFont="1" applyFill="1" applyBorder="1"/>
    <xf numFmtId="0" fontId="0" fillId="17" borderId="0" xfId="0" applyFill="1"/>
    <xf numFmtId="0" fontId="0" fillId="17" borderId="8" xfId="25" applyFont="1" applyFill="1" applyBorder="1"/>
    <xf numFmtId="0" fontId="0" fillId="17" borderId="0" xfId="0" applyFont="1" applyFill="1" applyBorder="1"/>
    <xf numFmtId="2" fontId="17" fillId="18" borderId="8" xfId="22" applyNumberFormat="1" applyFill="1" applyBorder="1"/>
    <xf numFmtId="0" fontId="0" fillId="18" borderId="8" xfId="0" applyFont="1" applyFill="1" applyBorder="1"/>
    <xf numFmtId="0" fontId="0" fillId="0" borderId="8" xfId="0" applyFont="1" applyFill="1" applyBorder="1"/>
    <xf numFmtId="0" fontId="0" fillId="0" borderId="8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1" fontId="0" fillId="9" borderId="8" xfId="0" applyNumberFormat="1" applyFont="1" applyFill="1" applyBorder="1" applyAlignment="1">
      <alignment wrapText="1"/>
    </xf>
    <xf numFmtId="2" fontId="0" fillId="9" borderId="8" xfId="0" applyNumberFormat="1" applyFont="1" applyFill="1" applyBorder="1" applyAlignment="1">
      <alignment wrapText="1"/>
    </xf>
    <xf numFmtId="1" fontId="0" fillId="9" borderId="8" xfId="0" applyNumberFormat="1" applyFont="1" applyFill="1" applyBorder="1"/>
    <xf numFmtId="165" fontId="0" fillId="9" borderId="8" xfId="1" applyNumberFormat="1" applyFont="1" applyFill="1" applyBorder="1" applyAlignment="1">
      <alignment wrapText="1"/>
    </xf>
    <xf numFmtId="0" fontId="20" fillId="0" borderId="0" xfId="0" applyFont="1" applyBorder="1" applyAlignment="1">
      <alignment wrapText="1"/>
    </xf>
    <xf numFmtId="165" fontId="0" fillId="9" borderId="8" xfId="1" applyNumberFormat="1" applyFont="1" applyFill="1" applyBorder="1"/>
    <xf numFmtId="9" fontId="0" fillId="0" borderId="0" xfId="3" applyFont="1" applyAlignment="1">
      <alignment wrapText="1"/>
    </xf>
    <xf numFmtId="0" fontId="21" fillId="0" borderId="12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165" fontId="32" fillId="4" borderId="8" xfId="1" applyNumberFormat="1" applyFont="1" applyFill="1" applyBorder="1"/>
    <xf numFmtId="0" fontId="0" fillId="0" borderId="8" xfId="0" quotePrefix="1" applyFont="1" applyBorder="1"/>
    <xf numFmtId="9" fontId="0" fillId="0" borderId="0" xfId="3" applyFont="1" applyFill="1"/>
    <xf numFmtId="0" fontId="0" fillId="0" borderId="0" xfId="0" applyAlignment="1"/>
    <xf numFmtId="0" fontId="20" fillId="19" borderId="0" xfId="0" applyFont="1" applyFill="1" applyAlignment="1">
      <alignment wrapText="1"/>
    </xf>
    <xf numFmtId="0" fontId="0" fillId="3" borderId="20" xfId="0" applyFill="1" applyBorder="1" applyAlignment="1">
      <alignment wrapText="1"/>
    </xf>
    <xf numFmtId="0" fontId="0" fillId="3" borderId="21" xfId="0" applyFill="1" applyBorder="1"/>
    <xf numFmtId="0" fontId="21" fillId="14" borderId="0" xfId="0" applyFont="1" applyFill="1" applyAlignment="1">
      <alignment wrapText="1"/>
    </xf>
    <xf numFmtId="0" fontId="0" fillId="14" borderId="0" xfId="0" applyFill="1"/>
    <xf numFmtId="0" fontId="0" fillId="0" borderId="0" xfId="0" applyNumberFormat="1" applyBorder="1"/>
    <xf numFmtId="0" fontId="0" fillId="0" borderId="6" xfId="0" applyNumberFormat="1" applyBorder="1"/>
    <xf numFmtId="2" fontId="0" fillId="0" borderId="27" xfId="0" applyNumberFormat="1" applyBorder="1"/>
    <xf numFmtId="2" fontId="0" fillId="0" borderId="22" xfId="0" applyNumberFormat="1" applyBorder="1"/>
    <xf numFmtId="2" fontId="0" fillId="0" borderId="28" xfId="0" applyNumberFormat="1" applyBorder="1"/>
    <xf numFmtId="2" fontId="20" fillId="0" borderId="28" xfId="0" applyNumberFormat="1" applyFont="1" applyBorder="1"/>
    <xf numFmtId="9" fontId="0" fillId="0" borderId="0" xfId="0" applyNumberFormat="1"/>
    <xf numFmtId="0" fontId="0" fillId="0" borderId="0" xfId="0" applyNumberFormat="1"/>
    <xf numFmtId="0" fontId="20" fillId="19" borderId="0" xfId="0" applyNumberFormat="1" applyFont="1" applyFill="1" applyAlignment="1">
      <alignment wrapText="1"/>
    </xf>
    <xf numFmtId="0" fontId="0" fillId="0" borderId="26" xfId="0" applyNumberFormat="1" applyBorder="1" applyAlignment="1">
      <alignment horizontal="center" wrapText="1"/>
    </xf>
    <xf numFmtId="0" fontId="21" fillId="0" borderId="24" xfId="0" applyNumberFormat="1" applyFont="1" applyBorder="1" applyAlignment="1">
      <alignment horizontal="center" wrapText="1"/>
    </xf>
    <xf numFmtId="0" fontId="21" fillId="0" borderId="25" xfId="0" applyNumberFormat="1" applyFont="1" applyBorder="1" applyAlignment="1">
      <alignment horizontal="center" wrapText="1"/>
    </xf>
    <xf numFmtId="0" fontId="21" fillId="0" borderId="6" xfId="0" applyFont="1" applyBorder="1"/>
    <xf numFmtId="0" fontId="0" fillId="0" borderId="6" xfId="0" applyBorder="1"/>
    <xf numFmtId="9" fontId="0" fillId="0" borderId="6" xfId="0" applyNumberFormat="1" applyBorder="1"/>
    <xf numFmtId="2" fontId="0" fillId="0" borderId="29" xfId="0" applyNumberFormat="1" applyBorder="1"/>
    <xf numFmtId="2" fontId="0" fillId="0" borderId="23" xfId="0" applyNumberFormat="1" applyBorder="1"/>
    <xf numFmtId="2" fontId="20" fillId="0" borderId="30" xfId="0" applyNumberFormat="1" applyFont="1" applyBorder="1"/>
    <xf numFmtId="0" fontId="0" fillId="0" borderId="24" xfId="0" applyNumberFormat="1" applyFont="1" applyBorder="1" applyAlignment="1">
      <alignment horizontal="center" wrapText="1"/>
    </xf>
    <xf numFmtId="0" fontId="0" fillId="0" borderId="25" xfId="0" applyNumberFormat="1" applyFont="1" applyBorder="1" applyAlignment="1">
      <alignment horizontal="center" wrapText="1"/>
    </xf>
    <xf numFmtId="0" fontId="0" fillId="0" borderId="6" xfId="0" applyFont="1" applyBorder="1"/>
    <xf numFmtId="0" fontId="33" fillId="0" borderId="0" xfId="0" applyFont="1"/>
    <xf numFmtId="0" fontId="34" fillId="4" borderId="0" xfId="21" applyFont="1"/>
    <xf numFmtId="9" fontId="34" fillId="4" borderId="0" xfId="21" applyNumberFormat="1" applyFont="1"/>
    <xf numFmtId="9" fontId="34" fillId="22" borderId="0" xfId="3" applyFont="1" applyFill="1"/>
    <xf numFmtId="9" fontId="34" fillId="4" borderId="0" xfId="3" applyFont="1" applyFill="1"/>
    <xf numFmtId="9" fontId="33" fillId="0" borderId="0" xfId="3" applyFont="1"/>
    <xf numFmtId="0" fontId="33" fillId="16" borderId="0" xfId="0" applyFont="1" applyFill="1"/>
    <xf numFmtId="0" fontId="33" fillId="18" borderId="0" xfId="0" applyFont="1" applyFill="1"/>
    <xf numFmtId="9" fontId="33" fillId="16" borderId="0" xfId="3" applyFont="1" applyFill="1"/>
    <xf numFmtId="9" fontId="33" fillId="18" borderId="0" xfId="3" applyFont="1" applyFill="1"/>
    <xf numFmtId="0" fontId="33" fillId="16" borderId="0" xfId="0" applyFont="1" applyFill="1" applyAlignment="1">
      <alignment horizontal="center"/>
    </xf>
    <xf numFmtId="0" fontId="33" fillId="18" borderId="0" xfId="0" applyFont="1" applyFill="1" applyAlignment="1">
      <alignment horizontal="center"/>
    </xf>
    <xf numFmtId="9" fontId="33" fillId="16" borderId="0" xfId="3" applyFont="1" applyFill="1" applyAlignment="1">
      <alignment horizontal="center"/>
    </xf>
    <xf numFmtId="164" fontId="33" fillId="16" borderId="0" xfId="0" applyNumberFormat="1" applyFont="1" applyFill="1" applyAlignment="1">
      <alignment horizontal="center"/>
    </xf>
    <xf numFmtId="9" fontId="33" fillId="18" borderId="0" xfId="3" applyFont="1" applyFill="1" applyAlignment="1">
      <alignment horizontal="center"/>
    </xf>
    <xf numFmtId="164" fontId="33" fillId="18" borderId="0" xfId="0" applyNumberFormat="1" applyFont="1" applyFill="1" applyAlignment="1">
      <alignment horizontal="center"/>
    </xf>
    <xf numFmtId="164" fontId="33" fillId="16" borderId="0" xfId="0" applyNumberFormat="1" applyFont="1" applyFill="1"/>
    <xf numFmtId="164" fontId="33" fillId="18" borderId="0" xfId="0" applyNumberFormat="1" applyFont="1" applyFill="1"/>
    <xf numFmtId="164" fontId="33" fillId="0" borderId="0" xfId="0" applyNumberFormat="1" applyFont="1"/>
    <xf numFmtId="164" fontId="33" fillId="16" borderId="8" xfId="0" applyNumberFormat="1" applyFont="1" applyFill="1" applyBorder="1"/>
    <xf numFmtId="164" fontId="33" fillId="18" borderId="8" xfId="0" applyNumberFormat="1" applyFont="1" applyFill="1" applyBorder="1"/>
    <xf numFmtId="0" fontId="33" fillId="0" borderId="0" xfId="0" quotePrefix="1" applyFont="1"/>
    <xf numFmtId="9" fontId="33" fillId="16" borderId="8" xfId="3" applyFont="1" applyFill="1" applyBorder="1"/>
    <xf numFmtId="9" fontId="33" fillId="18" borderId="8" xfId="3" applyFont="1" applyFill="1" applyBorder="1"/>
    <xf numFmtId="9" fontId="33" fillId="16" borderId="0" xfId="0" applyNumberFormat="1" applyFont="1" applyFill="1"/>
    <xf numFmtId="9" fontId="33" fillId="18" borderId="0" xfId="0" applyNumberFormat="1" applyFont="1" applyFill="1"/>
    <xf numFmtId="0" fontId="33" fillId="0" borderId="0" xfId="0" applyFont="1" applyFill="1" applyBorder="1"/>
    <xf numFmtId="15" fontId="0" fillId="0" borderId="0" xfId="0" applyNumberFormat="1"/>
    <xf numFmtId="0" fontId="34" fillId="23" borderId="0" xfId="21" applyFont="1" applyFill="1"/>
    <xf numFmtId="1" fontId="34" fillId="3" borderId="0" xfId="21" applyNumberFormat="1" applyFont="1" applyFill="1"/>
    <xf numFmtId="1" fontId="34" fillId="24" borderId="0" xfId="21" applyNumberFormat="1" applyFont="1" applyFill="1"/>
    <xf numFmtId="9" fontId="0" fillId="25" borderId="0" xfId="3" applyFont="1" applyFill="1"/>
    <xf numFmtId="0" fontId="33" fillId="0" borderId="31" xfId="0" applyFont="1" applyBorder="1"/>
    <xf numFmtId="0" fontId="33" fillId="0" borderId="1" xfId="0" applyFont="1" applyBorder="1"/>
    <xf numFmtId="0" fontId="33" fillId="0" borderId="2" xfId="0" applyFont="1" applyBorder="1"/>
    <xf numFmtId="0" fontId="33" fillId="0" borderId="3" xfId="0" applyFont="1" applyBorder="1"/>
    <xf numFmtId="0" fontId="33" fillId="0" borderId="0" xfId="0" applyFont="1" applyBorder="1"/>
    <xf numFmtId="0" fontId="33" fillId="0" borderId="4" xfId="0" applyFont="1" applyBorder="1"/>
    <xf numFmtId="0" fontId="33" fillId="16" borderId="0" xfId="0" applyFont="1" applyFill="1" applyBorder="1"/>
    <xf numFmtId="9" fontId="33" fillId="0" borderId="0" xfId="0" applyNumberFormat="1" applyFont="1" applyBorder="1"/>
    <xf numFmtId="0" fontId="33" fillId="0" borderId="5" xfId="0" applyFont="1" applyBorder="1"/>
    <xf numFmtId="0" fontId="33" fillId="0" borderId="6" xfId="0" applyFont="1" applyBorder="1"/>
    <xf numFmtId="0" fontId="33" fillId="0" borderId="7" xfId="0" applyFont="1" applyBorder="1"/>
    <xf numFmtId="0" fontId="33" fillId="0" borderId="0" xfId="0" quotePrefix="1" applyFont="1" applyBorder="1" applyAlignment="1">
      <alignment horizontal="center"/>
    </xf>
    <xf numFmtId="0" fontId="0" fillId="0" borderId="3" xfId="0" applyFont="1" applyBorder="1"/>
    <xf numFmtId="0" fontId="0" fillId="0" borderId="0" xfId="0" applyFont="1" applyBorder="1"/>
    <xf numFmtId="0" fontId="0" fillId="23" borderId="0" xfId="0" applyFont="1" applyFill="1" applyBorder="1"/>
    <xf numFmtId="1" fontId="0" fillId="24" borderId="0" xfId="0" applyNumberFormat="1" applyFont="1" applyFill="1" applyBorder="1"/>
    <xf numFmtId="164" fontId="0" fillId="0" borderId="0" xfId="0" applyNumberFormat="1" applyFont="1" applyBorder="1"/>
    <xf numFmtId="0" fontId="0" fillId="0" borderId="3" xfId="0" applyBorder="1"/>
    <xf numFmtId="0" fontId="0" fillId="0" borderId="0" xfId="0" applyBorder="1"/>
    <xf numFmtId="1" fontId="0" fillId="3" borderId="0" xfId="0" applyNumberFormat="1" applyFill="1" applyBorder="1"/>
    <xf numFmtId="164" fontId="0" fillId="0" borderId="0" xfId="0" applyNumberFormat="1" applyFill="1" applyBorder="1"/>
    <xf numFmtId="0" fontId="0" fillId="0" borderId="4" xfId="0" applyBorder="1"/>
    <xf numFmtId="0" fontId="33" fillId="0" borderId="0" xfId="0" applyFont="1" applyFill="1"/>
    <xf numFmtId="1" fontId="33" fillId="3" borderId="0" xfId="0" applyNumberFormat="1" applyFont="1" applyFill="1" applyBorder="1"/>
    <xf numFmtId="0" fontId="0" fillId="24" borderId="0" xfId="0" applyFont="1" applyFill="1" applyBorder="1"/>
    <xf numFmtId="164" fontId="33" fillId="0" borderId="0" xfId="0" applyNumberFormat="1" applyFont="1" applyBorder="1"/>
    <xf numFmtId="0" fontId="33" fillId="0" borderId="0" xfId="0" applyFont="1" applyBorder="1" applyAlignment="1">
      <alignment horizontal="left"/>
    </xf>
    <xf numFmtId="164" fontId="0" fillId="0" borderId="0" xfId="0" applyNumberFormat="1" applyBorder="1"/>
    <xf numFmtId="164" fontId="0" fillId="26" borderId="4" xfId="0" applyNumberFormat="1" applyFill="1" applyBorder="1"/>
    <xf numFmtId="0" fontId="0" fillId="26" borderId="4" xfId="0" applyFill="1" applyBorder="1"/>
    <xf numFmtId="2" fontId="33" fillId="0" borderId="0" xfId="0" applyNumberFormat="1" applyFont="1" applyBorder="1"/>
    <xf numFmtId="9" fontId="0" fillId="27" borderId="4" xfId="3" applyFont="1" applyFill="1" applyBorder="1"/>
    <xf numFmtId="0" fontId="0" fillId="27" borderId="4" xfId="0" applyFill="1" applyBorder="1"/>
    <xf numFmtId="0" fontId="0" fillId="0" borderId="5" xfId="0" applyBorder="1"/>
    <xf numFmtId="0" fontId="0" fillId="0" borderId="7" xfId="0" applyBorder="1"/>
    <xf numFmtId="0" fontId="20" fillId="0" borderId="0" xfId="0" applyFont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1" fillId="20" borderId="29" xfId="0" applyNumberFormat="1" applyFont="1" applyFill="1" applyBorder="1" applyAlignment="1">
      <alignment horizontal="center" vertical="center"/>
    </xf>
    <xf numFmtId="0" fontId="0" fillId="20" borderId="23" xfId="0" applyNumberFormat="1" applyFill="1" applyBorder="1" applyAlignment="1">
      <alignment horizontal="center" vertical="center"/>
    </xf>
    <xf numFmtId="0" fontId="0" fillId="20" borderId="30" xfId="0" applyNumberFormat="1" applyFill="1" applyBorder="1" applyAlignment="1">
      <alignment horizontal="center" vertical="center"/>
    </xf>
    <xf numFmtId="0" fontId="21" fillId="21" borderId="29" xfId="0" applyNumberFormat="1" applyFont="1" applyFill="1" applyBorder="1" applyAlignment="1">
      <alignment horizontal="center" vertical="center"/>
    </xf>
    <xf numFmtId="0" fontId="0" fillId="21" borderId="23" xfId="0" applyNumberFormat="1" applyFill="1" applyBorder="1" applyAlignment="1">
      <alignment horizontal="center" vertical="center"/>
    </xf>
    <xf numFmtId="0" fontId="0" fillId="21" borderId="30" xfId="0" applyNumberFormat="1" applyFill="1" applyBorder="1" applyAlignment="1">
      <alignment horizontal="center" vertical="center"/>
    </xf>
    <xf numFmtId="0" fontId="21" fillId="15" borderId="29" xfId="0" applyNumberFormat="1" applyFont="1" applyFill="1" applyBorder="1" applyAlignment="1">
      <alignment horizontal="center" vertical="center"/>
    </xf>
    <xf numFmtId="0" fontId="0" fillId="15" borderId="23" xfId="0" applyNumberFormat="1" applyFill="1" applyBorder="1" applyAlignment="1">
      <alignment horizontal="center" vertical="center"/>
    </xf>
    <xf numFmtId="0" fontId="0" fillId="15" borderId="30" xfId="0" applyNumberFormat="1" applyFill="1" applyBorder="1" applyAlignment="1">
      <alignment horizontal="center" vertical="center"/>
    </xf>
    <xf numFmtId="0" fontId="21" fillId="20" borderId="24" xfId="0" applyNumberFormat="1" applyFont="1" applyFill="1" applyBorder="1" applyAlignment="1">
      <alignment horizontal="center" vertical="center"/>
    </xf>
    <xf numFmtId="0" fontId="0" fillId="20" borderId="25" xfId="0" applyNumberFormat="1" applyFill="1" applyBorder="1" applyAlignment="1">
      <alignment horizontal="center" vertical="center"/>
    </xf>
    <xf numFmtId="0" fontId="0" fillId="20" borderId="26" xfId="0" applyNumberFormat="1" applyFill="1" applyBorder="1" applyAlignment="1">
      <alignment horizontal="center" vertical="center"/>
    </xf>
    <xf numFmtId="0" fontId="21" fillId="21" borderId="24" xfId="0" applyNumberFormat="1" applyFont="1" applyFill="1" applyBorder="1" applyAlignment="1">
      <alignment horizontal="center" vertical="center"/>
    </xf>
    <xf numFmtId="0" fontId="0" fillId="21" borderId="25" xfId="0" applyNumberFormat="1" applyFill="1" applyBorder="1" applyAlignment="1">
      <alignment horizontal="center" vertical="center"/>
    </xf>
    <xf numFmtId="0" fontId="0" fillId="21" borderId="26" xfId="0" applyNumberFormat="1" applyFill="1" applyBorder="1" applyAlignment="1">
      <alignment horizontal="center" vertical="center"/>
    </xf>
    <xf numFmtId="0" fontId="21" fillId="15" borderId="24" xfId="0" applyNumberFormat="1" applyFont="1" applyFill="1" applyBorder="1" applyAlignment="1">
      <alignment horizontal="center" vertical="center"/>
    </xf>
    <xf numFmtId="0" fontId="0" fillId="15" borderId="25" xfId="0" applyNumberFormat="1" applyFill="1" applyBorder="1" applyAlignment="1">
      <alignment horizontal="center" vertical="center"/>
    </xf>
    <xf numFmtId="0" fontId="0" fillId="15" borderId="26" xfId="0" applyNumberFormat="1" applyFill="1" applyBorder="1" applyAlignment="1">
      <alignment horizontal="center" vertical="center"/>
    </xf>
    <xf numFmtId="0" fontId="21" fillId="0" borderId="12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2" fontId="20" fillId="8" borderId="12" xfId="0" applyNumberFormat="1" applyFont="1" applyFill="1" applyBorder="1" applyAlignment="1">
      <alignment horizontal="center" wrapText="1"/>
    </xf>
    <xf numFmtId="2" fontId="20" fillId="8" borderId="13" xfId="0" applyNumberFormat="1" applyFont="1" applyFill="1" applyBorder="1" applyAlignment="1">
      <alignment horizontal="center" wrapText="1"/>
    </xf>
    <xf numFmtId="2" fontId="20" fillId="8" borderId="14" xfId="0" applyNumberFormat="1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left"/>
    </xf>
    <xf numFmtId="0" fontId="20" fillId="0" borderId="13" xfId="0" applyFont="1" applyFill="1" applyBorder="1" applyAlignment="1">
      <alignment horizontal="left"/>
    </xf>
    <xf numFmtId="0" fontId="20" fillId="0" borderId="14" xfId="0" applyFont="1" applyFill="1" applyBorder="1" applyAlignment="1">
      <alignment horizontal="left"/>
    </xf>
    <xf numFmtId="0" fontId="0" fillId="7" borderId="8" xfId="25" applyFont="1" applyBorder="1" applyAlignment="1">
      <alignment horizontal="left" wrapText="1"/>
    </xf>
    <xf numFmtId="0" fontId="21" fillId="7" borderId="8" xfId="25" applyFont="1" applyBorder="1" applyAlignment="1">
      <alignment horizontal="left" wrapText="1"/>
    </xf>
    <xf numFmtId="0" fontId="20" fillId="8" borderId="12" xfId="0" applyFont="1" applyFill="1" applyBorder="1" applyAlignment="1">
      <alignment horizontal="left"/>
    </xf>
    <xf numFmtId="0" fontId="20" fillId="8" borderId="13" xfId="0" applyFont="1" applyFill="1" applyBorder="1" applyAlignment="1">
      <alignment horizontal="left"/>
    </xf>
    <xf numFmtId="0" fontId="20" fillId="8" borderId="14" xfId="0" applyFont="1" applyFill="1" applyBorder="1" applyAlignment="1">
      <alignment horizontal="left"/>
    </xf>
    <xf numFmtId="0" fontId="20" fillId="8" borderId="8" xfId="0" applyFont="1" applyFill="1" applyBorder="1" applyAlignment="1">
      <alignment horizontal="left"/>
    </xf>
    <xf numFmtId="0" fontId="20" fillId="0" borderId="8" xfId="0" applyFont="1" applyBorder="1" applyAlignment="1">
      <alignment horizontal="left" wrapText="1"/>
    </xf>
    <xf numFmtId="0" fontId="0" fillId="7" borderId="11" xfId="25" applyFont="1" applyAlignment="1">
      <alignment horizontal="left" wrapText="1"/>
    </xf>
    <xf numFmtId="0" fontId="21" fillId="7" borderId="11" xfId="25" applyFont="1" applyAlignment="1">
      <alignment horizontal="left" wrapText="1"/>
    </xf>
    <xf numFmtId="0" fontId="0" fillId="7" borderId="15" xfId="25" applyFont="1" applyBorder="1" applyAlignment="1">
      <alignment horizontal="left" wrapText="1"/>
    </xf>
    <xf numFmtId="0" fontId="21" fillId="7" borderId="15" xfId="25" applyFont="1" applyBorder="1" applyAlignment="1">
      <alignment horizontal="left" wrapText="1"/>
    </xf>
    <xf numFmtId="0" fontId="0" fillId="7" borderId="17" xfId="25" applyFont="1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</cellXfs>
  <cellStyles count="378">
    <cellStyle name="Calculation" xfId="23" builtinId="22"/>
    <cellStyle name="Comma" xfId="1" builtinId="3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49" builtinId="9" hidden="1"/>
    <cellStyle name="Followed Hyperlink" xfId="350" builtinId="9" hidden="1"/>
    <cellStyle name="Followed Hyperlink" xfId="351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Good" xfId="21" builtinId="26"/>
    <cellStyle name="Hyperlink" xfId="2" builtinId="8"/>
    <cellStyle name="Input" xfId="22" builtinId="20"/>
    <cellStyle name="Linked Cell" xfId="24" builtinId="24"/>
    <cellStyle name="Normal" xfId="0" builtinId="0"/>
    <cellStyle name="Note" xfId="25" builtinId="10"/>
    <cellStyle name="Percent" xfId="3" builtinId="5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externalLink" Target="externalLinks/externalLink1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'COLE2 forest types-live tree C '!$C$12</c:f>
              <c:strCache>
                <c:ptCount val="1"/>
                <c:pt idx="0">
                  <c:v>Let grow CMixCon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'!$C$13:$C$173</c:f>
              <c:numCache>
                <c:formatCode>0</c:formatCode>
                <c:ptCount val="16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29.44057198744755</c:v>
                </c:pt>
                <c:pt idx="42">
                  <c:v>30.83867210421746</c:v>
                </c:pt>
                <c:pt idx="43">
                  <c:v>32.25137452919189</c:v>
                </c:pt>
                <c:pt idx="44">
                  <c:v>33.67734333143365</c:v>
                </c:pt>
                <c:pt idx="45">
                  <c:v>35.1152744793208</c:v>
                </c:pt>
                <c:pt idx="46">
                  <c:v>36.56389706847449</c:v>
                </c:pt>
                <c:pt idx="47">
                  <c:v>38.02197433172761</c:v>
                </c:pt>
                <c:pt idx="48">
                  <c:v>39.48830445007449</c:v>
                </c:pt>
                <c:pt idx="49">
                  <c:v>40.96172118218256</c:v>
                </c:pt>
                <c:pt idx="50">
                  <c:v>42.44109432877955</c:v>
                </c:pt>
                <c:pt idx="51">
                  <c:v>43.925330047044</c:v>
                </c:pt>
                <c:pt idx="52">
                  <c:v>45.41337102902094</c:v>
                </c:pt>
                <c:pt idx="53">
                  <c:v>46.90419655705084</c:v>
                </c:pt>
                <c:pt idx="54">
                  <c:v>48.39682244823677</c:v>
                </c:pt>
                <c:pt idx="55">
                  <c:v>49.89030089907362</c:v>
                </c:pt>
                <c:pt idx="56">
                  <c:v>51.38372024052516</c:v>
                </c:pt>
                <c:pt idx="57">
                  <c:v>52.87620461305117</c:v>
                </c:pt>
                <c:pt idx="58">
                  <c:v>54.36691357035694</c:v>
                </c:pt>
                <c:pt idx="59">
                  <c:v>55.85504161995822</c:v>
                </c:pt>
                <c:pt idx="60">
                  <c:v>57.3398177080194</c:v>
                </c:pt>
                <c:pt idx="61">
                  <c:v>58.82050465533355</c:v>
                </c:pt>
                <c:pt idx="62">
                  <c:v>60.29639855076253</c:v>
                </c:pt>
                <c:pt idx="63">
                  <c:v>61.76682810794416</c:v>
                </c:pt>
                <c:pt idx="64">
                  <c:v>63.23115399059686</c:v>
                </c:pt>
                <c:pt idx="65">
                  <c:v>64.68876811130966</c:v>
                </c:pt>
                <c:pt idx="66">
                  <c:v>66.13909290829365</c:v>
                </c:pt>
                <c:pt idx="67">
                  <c:v>67.58158060418875</c:v>
                </c:pt>
                <c:pt idx="68">
                  <c:v>69.01571245066343</c:v>
                </c:pt>
                <c:pt idx="69">
                  <c:v>70.44099796221553</c:v>
                </c:pt>
                <c:pt idx="70">
                  <c:v>71.85697414227685</c:v>
                </c:pt>
                <c:pt idx="71">
                  <c:v>73.26320470443828</c:v>
                </c:pt>
                <c:pt idx="72">
                  <c:v>74.65927929135088</c:v>
                </c:pt>
                <c:pt idx="73">
                  <c:v>76.0448126936132</c:v>
                </c:pt>
                <c:pt idx="74">
                  <c:v>77.41944407072935</c:v>
                </c:pt>
                <c:pt idx="75">
                  <c:v>78.7828361760137</c:v>
                </c:pt>
                <c:pt idx="76">
                  <c:v>80.13467458712451</c:v>
                </c:pt>
                <c:pt idx="77">
                  <c:v>81.47466694373007</c:v>
                </c:pt>
                <c:pt idx="78">
                  <c:v>82.80254219364599</c:v>
                </c:pt>
                <c:pt idx="79">
                  <c:v>84.11804984863019</c:v>
                </c:pt>
                <c:pt idx="80">
                  <c:v>85.42095925088196</c:v>
                </c:pt>
                <c:pt idx="81">
                  <c:v>86.71105885116137</c:v>
                </c:pt>
                <c:pt idx="82">
                  <c:v>87.98815549932785</c:v>
                </c:pt>
                <c:pt idx="83">
                  <c:v>89.25207374798569</c:v>
                </c:pt>
                <c:pt idx="84">
                  <c:v>90.50265516982493</c:v>
                </c:pt>
                <c:pt idx="85">
                  <c:v>91.73975768915416</c:v>
                </c:pt>
                <c:pt idx="86">
                  <c:v>92.96325492803624</c:v>
                </c:pt>
                <c:pt idx="87">
                  <c:v>94.17303556736168</c:v>
                </c:pt>
                <c:pt idx="88">
                  <c:v>95.3690027231239</c:v>
                </c:pt>
                <c:pt idx="89">
                  <c:v>96.55107333809586</c:v>
                </c:pt>
                <c:pt idx="90">
                  <c:v>97.71917758904893</c:v>
                </c:pt>
                <c:pt idx="91">
                  <c:v>98.87325830960242</c:v>
                </c:pt>
                <c:pt idx="92">
                  <c:v>100.0132704287426</c:v>
                </c:pt>
                <c:pt idx="93">
                  <c:v>101.139180425008</c:v>
                </c:pt>
                <c:pt idx="94">
                  <c:v>102.2509657962968</c:v>
                </c:pt>
                <c:pt idx="95">
                  <c:v>103.3486145452175</c:v>
                </c:pt>
                <c:pt idx="96">
                  <c:v>104.4321246798715</c:v>
                </c:pt>
                <c:pt idx="97">
                  <c:v>105.5015037299297</c:v>
                </c:pt>
                <c:pt idx="98">
                  <c:v>106.5567682778356</c:v>
                </c:pt>
                <c:pt idx="99">
                  <c:v>107.5979435049508</c:v>
                </c:pt>
                <c:pt idx="100">
                  <c:v>108.6250627524327</c:v>
                </c:pt>
                <c:pt idx="101">
                  <c:v>109.6381670966215</c:v>
                </c:pt>
                <c:pt idx="102">
                  <c:v>110.6373049386964</c:v>
                </c:pt>
                <c:pt idx="103">
                  <c:v>111.6225316083471</c:v>
                </c:pt>
                <c:pt idx="104">
                  <c:v>112.5939089811971</c:v>
                </c:pt>
                <c:pt idx="105">
                  <c:v>113.5515051097048</c:v>
                </c:pt>
                <c:pt idx="106">
                  <c:v>114.495393867261</c:v>
                </c:pt>
                <c:pt idx="107">
                  <c:v>115.4256546051933</c:v>
                </c:pt>
                <c:pt idx="108">
                  <c:v>116.3423718223867</c:v>
                </c:pt>
                <c:pt idx="109">
                  <c:v>117.2456348472197</c:v>
                </c:pt>
                <c:pt idx="110">
                  <c:v>118.1355375315197</c:v>
                </c:pt>
                <c:pt idx="111">
                  <c:v>119.0121779562328</c:v>
                </c:pt>
                <c:pt idx="112">
                  <c:v>119.8756581485074</c:v>
                </c:pt>
                <c:pt idx="113">
                  <c:v>120.7260838098875</c:v>
                </c:pt>
                <c:pt idx="114">
                  <c:v>121.5635640553153</c:v>
                </c:pt>
                <c:pt idx="115">
                  <c:v>122.3882111626412</c:v>
                </c:pt>
                <c:pt idx="116">
                  <c:v>123.2001403323428</c:v>
                </c:pt>
                <c:pt idx="117">
                  <c:v>123.9994694571578</c:v>
                </c:pt>
                <c:pt idx="118">
                  <c:v>124.7863189013368</c:v>
                </c:pt>
                <c:pt idx="119">
                  <c:v>125.5608112892266</c:v>
                </c:pt>
                <c:pt idx="120">
                  <c:v>126.323071302899</c:v>
                </c:pt>
                <c:pt idx="121">
                  <c:v>127.0732254885427</c:v>
                </c:pt>
                <c:pt idx="122">
                  <c:v>127.8114020713414</c:v>
                </c:pt>
                <c:pt idx="123">
                  <c:v>128.5377307785662</c:v>
                </c:pt>
                <c:pt idx="124">
                  <c:v>129.2523426706143</c:v>
                </c:pt>
                <c:pt idx="125">
                  <c:v>129.9553699797319</c:v>
                </c:pt>
                <c:pt idx="126">
                  <c:v>130.6469459561647</c:v>
                </c:pt>
                <c:pt idx="127">
                  <c:v>131.3272047214833</c:v>
                </c:pt>
                <c:pt idx="128">
                  <c:v>131.9962811288383</c:v>
                </c:pt>
                <c:pt idx="129">
                  <c:v>132.6543106299048</c:v>
                </c:pt>
                <c:pt idx="130">
                  <c:v>133.3014291482797</c:v>
                </c:pt>
                <c:pt idx="131">
                  <c:v>133.9377729591053</c:v>
                </c:pt>
                <c:pt idx="132">
                  <c:v>134.5634785746921</c:v>
                </c:pt>
                <c:pt idx="133">
                  <c:v>135.1786826359275</c:v>
                </c:pt>
                <c:pt idx="134">
                  <c:v>135.7835218092532</c:v>
                </c:pt>
                <c:pt idx="135">
                  <c:v>136.3781326890098</c:v>
                </c:pt>
                <c:pt idx="136">
                  <c:v>136.9626517049435</c:v>
                </c:pt>
                <c:pt idx="137">
                  <c:v>137.5372150346831</c:v>
                </c:pt>
                <c:pt idx="138">
                  <c:v>138.1019585209953</c:v>
                </c:pt>
                <c:pt idx="139">
                  <c:v>138.6570175936353</c:v>
                </c:pt>
                <c:pt idx="140">
                  <c:v>139.202527195614</c:v>
                </c:pt>
                <c:pt idx="141">
                  <c:v>139.7386217137076</c:v>
                </c:pt>
                <c:pt idx="142">
                  <c:v>140.265434913042</c:v>
                </c:pt>
                <c:pt idx="143">
                  <c:v>140.7830998755894</c:v>
                </c:pt>
                <c:pt idx="144">
                  <c:v>141.2917489424176</c:v>
                </c:pt>
                <c:pt idx="145">
                  <c:v>141.7915136595419</c:v>
                </c:pt>
                <c:pt idx="146">
                  <c:v>142.2825247272286</c:v>
                </c:pt>
                <c:pt idx="147">
                  <c:v>142.7649119526085</c:v>
                </c:pt>
                <c:pt idx="148">
                  <c:v>143.238804205462</c:v>
                </c:pt>
                <c:pt idx="149">
                  <c:v>143.7043293770408</c:v>
                </c:pt>
                <c:pt idx="150">
                  <c:v>144.1616143417985</c:v>
                </c:pt>
                <c:pt idx="151">
                  <c:v>144.6107849219023</c:v>
                </c:pt>
                <c:pt idx="152">
                  <c:v>145.0519658544084</c:v>
                </c:pt>
                <c:pt idx="153">
                  <c:v>145.485280760981</c:v>
                </c:pt>
                <c:pt idx="154">
                  <c:v>145.9108521200458</c:v>
                </c:pt>
                <c:pt idx="155">
                  <c:v>146.3288012412665</c:v>
                </c:pt>
                <c:pt idx="156">
                  <c:v>146.7392482422407</c:v>
                </c:pt>
                <c:pt idx="157">
                  <c:v>147.1423120273151</c:v>
                </c:pt>
                <c:pt idx="158">
                  <c:v>147.5381102684207</c:v>
                </c:pt>
                <c:pt idx="159">
                  <c:v>147.926759387836</c:v>
                </c:pt>
                <c:pt idx="160">
                  <c:v>148.3083745427871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'COLE2 forest types-live tree C '!$D$12</c:f>
              <c:strCache>
                <c:ptCount val="1"/>
                <c:pt idx="0">
                  <c:v>Regenerated CMixCon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'!$D$13:$D$173</c:f>
              <c:numCache>
                <c:formatCode>0</c:formatCode>
                <c:ptCount val="161"/>
                <c:pt idx="80">
                  <c:v>0.0</c:v>
                </c:pt>
                <c:pt idx="81">
                  <c:v>0.00668801632245595</c:v>
                </c:pt>
                <c:pt idx="82">
                  <c:v>0.0504185326109012</c:v>
                </c:pt>
                <c:pt idx="83">
                  <c:v>0.160413357645756</c:v>
                </c:pt>
                <c:pt idx="84">
                  <c:v>0.35859718815809</c:v>
                </c:pt>
                <c:pt idx="85">
                  <c:v>0.660785573896258</c:v>
                </c:pt>
                <c:pt idx="86">
                  <c:v>1.077708464550237</c:v>
                </c:pt>
                <c:pt idx="87">
                  <c:v>1.615890329645917</c:v>
                </c:pt>
                <c:pt idx="88">
                  <c:v>2.278405281062679</c:v>
                </c:pt>
                <c:pt idx="89">
                  <c:v>3.06552337058766</c:v>
                </c:pt>
                <c:pt idx="90">
                  <c:v>3.975262246372517</c:v>
                </c:pt>
                <c:pt idx="91">
                  <c:v>5.003856600881361</c:v>
                </c:pt>
                <c:pt idx="92">
                  <c:v>6.146156301122398</c:v>
                </c:pt>
                <c:pt idx="93">
                  <c:v>7.395962735068286</c:v>
                </c:pt>
                <c:pt idx="94">
                  <c:v>8.746311714465289</c:v>
                </c:pt>
                <c:pt idx="95">
                  <c:v>10.18971022450242</c:v>
                </c:pt>
                <c:pt idx="96">
                  <c:v>11.71833338808361</c:v>
                </c:pt>
                <c:pt idx="97">
                  <c:v>13.32418720171437</c:v>
                </c:pt>
                <c:pt idx="98">
                  <c:v>14.99924188802333</c:v>
                </c:pt>
                <c:pt idx="99">
                  <c:v>16.7355400849764</c:v>
                </c:pt>
                <c:pt idx="100">
                  <c:v>18.5252835435601</c:v>
                </c:pt>
                <c:pt idx="101">
                  <c:v>20.360901524977</c:v>
                </c:pt>
                <c:pt idx="102">
                  <c:v>22.2351036671383</c:v>
                </c:pt>
                <c:pt idx="103">
                  <c:v>24.14091972133881</c:v>
                </c:pt>
                <c:pt idx="104">
                  <c:v>26.07172823716755</c:v>
                </c:pt>
                <c:pt idx="105">
                  <c:v>28.02127599139918</c:v>
                </c:pt>
                <c:pt idx="106">
                  <c:v>29.98368970993027</c:v>
                </c:pt>
                <c:pt idx="107">
                  <c:v>31.9534814164577</c:v>
                </c:pt>
                <c:pt idx="108">
                  <c:v>33.92554855373363</c:v>
                </c:pt>
                <c:pt idx="109">
                  <c:v>35.89516985952151</c:v>
                </c:pt>
                <c:pt idx="110">
                  <c:v>37.85799783686052</c:v>
                </c:pt>
                <c:pt idx="111">
                  <c:v>39.81004853431885</c:v>
                </c:pt>
                <c:pt idx="112">
                  <c:v>41.74768924428267</c:v>
                </c:pt>
                <c:pt idx="113">
                  <c:v>43.6676246339707</c:v>
                </c:pt>
                <c:pt idx="114">
                  <c:v>45.56688174300185</c:v>
                </c:pt>
                <c:pt idx="115">
                  <c:v>47.44279421141578</c:v>
                </c:pt>
                <c:pt idx="116">
                  <c:v>49.2929860416739</c:v>
                </c:pt>
                <c:pt idx="117">
                  <c:v>51.11535514614482</c:v>
                </c:pt>
                <c:pt idx="118">
                  <c:v>52.90805688683921</c:v>
                </c:pt>
                <c:pt idx="119">
                  <c:v>54.6694877757727</c:v>
                </c:pt>
                <c:pt idx="120">
                  <c:v>56.39826947148036</c:v>
                </c:pt>
                <c:pt idx="121">
                  <c:v>58.09323317916701</c:v>
                </c:pt>
                <c:pt idx="122">
                  <c:v>59.75340453812044</c:v>
                </c:pt>
                <c:pt idx="123">
                  <c:v>61.37798905978897</c:v>
                </c:pt>
                <c:pt idx="124">
                  <c:v>62.9663581628481</c:v>
                </c:pt>
                <c:pt idx="125">
                  <c:v>64.51803583722602</c:v>
                </c:pt>
                <c:pt idx="126">
                  <c:v>66.03268595705948</c:v>
                </c:pt>
                <c:pt idx="127">
                  <c:v>67.51010025258091</c:v>
                </c:pt>
                <c:pt idx="128">
                  <c:v>68.95018694271826</c:v>
                </c:pt>
                <c:pt idx="129">
                  <c:v>70.35296002346652</c:v>
                </c:pt>
                <c:pt idx="130">
                  <c:v>71.7185292016597</c:v>
                </c:pt>
                <c:pt idx="131">
                  <c:v>73.0470904594357</c:v>
                </c:pt>
                <c:pt idx="132">
                  <c:v>74.33891723129203</c:v>
                </c:pt>
                <c:pt idx="133">
                  <c:v>75.59435217302817</c:v>
                </c:pt>
                <c:pt idx="134">
                  <c:v>76.81379949994392</c:v>
                </c:pt>
                <c:pt idx="135">
                  <c:v>77.99771787030171</c:v>
                </c:pt>
                <c:pt idx="136">
                  <c:v>79.146613789177</c:v>
                </c:pt>
                <c:pt idx="137">
                  <c:v>80.26103550733013</c:v>
                </c:pt>
                <c:pt idx="138">
                  <c:v>81.34156738957395</c:v>
                </c:pt>
                <c:pt idx="139">
                  <c:v>82.38882472721718</c:v>
                </c:pt>
                <c:pt idx="140">
                  <c:v>83.40344896949128</c:v>
                </c:pt>
                <c:pt idx="141">
                  <c:v>84.38610334936986</c:v>
                </c:pt>
                <c:pt idx="142">
                  <c:v>85.33746887983068</c:v>
                </c:pt>
                <c:pt idx="143">
                  <c:v>86.25824069735708</c:v>
                </c:pt>
                <c:pt idx="144">
                  <c:v>87.14912473030602</c:v>
                </c:pt>
                <c:pt idx="145">
                  <c:v>88.01083467065497</c:v>
                </c:pt>
                <c:pt idx="146">
                  <c:v>88.84408922856835</c:v>
                </c:pt>
                <c:pt idx="147">
                  <c:v>89.64960965017287</c:v>
                </c:pt>
                <c:pt idx="148">
                  <c:v>90.42811747989307</c:v>
                </c:pt>
                <c:pt idx="149">
                  <c:v>91.18033254965907</c:v>
                </c:pt>
                <c:pt idx="150">
                  <c:v>91.90697117825042</c:v>
                </c:pt>
                <c:pt idx="151">
                  <c:v>92.60874456497581</c:v>
                </c:pt>
                <c:pt idx="152">
                  <c:v>93.28635736280309</c:v>
                </c:pt>
                <c:pt idx="153">
                  <c:v>93.94050641694188</c:v>
                </c:pt>
                <c:pt idx="154">
                  <c:v>94.57187965573975</c:v>
                </c:pt>
                <c:pt idx="155">
                  <c:v>95.18115512158023</c:v>
                </c:pt>
                <c:pt idx="156">
                  <c:v>95.76900013026282</c:v>
                </c:pt>
                <c:pt idx="157">
                  <c:v>96.33607054810381</c:v>
                </c:pt>
                <c:pt idx="158">
                  <c:v>96.88301017671954</c:v>
                </c:pt>
                <c:pt idx="159">
                  <c:v>97.41045023613991</c:v>
                </c:pt>
                <c:pt idx="160">
                  <c:v>97.91900893755162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'COLE2 forest types-live tree C '!$E$12</c:f>
              <c:strCache>
                <c:ptCount val="1"/>
                <c:pt idx="0">
                  <c:v>Let grow DougFir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'!$E$13:$E$173</c:f>
              <c:numCache>
                <c:formatCode>0</c:formatCode>
                <c:ptCount val="161"/>
                <c:pt idx="0">
                  <c:v>0.0</c:v>
                </c:pt>
                <c:pt idx="1">
                  <c:v>0.00660266060203476</c:v>
                </c:pt>
                <c:pt idx="2">
                  <c:v>0.050514060251211</c:v>
                </c:pt>
                <c:pt idx="3">
                  <c:v>0.163074880980095</c:v>
                </c:pt>
                <c:pt idx="4">
                  <c:v>0.36982985834735</c:v>
                </c:pt>
                <c:pt idx="5">
                  <c:v>0.691239180276874</c:v>
                </c:pt>
                <c:pt idx="6">
                  <c:v>1.14331532988437</c:v>
                </c:pt>
                <c:pt idx="7">
                  <c:v>1.738192593372862</c:v>
                </c:pt>
                <c:pt idx="8">
                  <c:v>2.48463578491089</c:v>
                </c:pt>
                <c:pt idx="9">
                  <c:v>3.38849413163354</c:v>
                </c:pt>
                <c:pt idx="10">
                  <c:v>4.453105708165451</c:v>
                </c:pt>
                <c:pt idx="11">
                  <c:v>5.679657306465846</c:v>
                </c:pt>
                <c:pt idx="12">
                  <c:v>7.067504168876922</c:v>
                </c:pt>
                <c:pt idx="13">
                  <c:v>8.614453595951225</c:v>
                </c:pt>
                <c:pt idx="14">
                  <c:v>10.31701606222965</c:v>
                </c:pt>
                <c:pt idx="15">
                  <c:v>12.17062712925656</c:v>
                </c:pt>
                <c:pt idx="16">
                  <c:v>14.16984313266699</c:v>
                </c:pt>
                <c:pt idx="17">
                  <c:v>16.30851333634981</c:v>
                </c:pt>
                <c:pt idx="18">
                  <c:v>18.57993098891613</c:v>
                </c:pt>
                <c:pt idx="19">
                  <c:v>20.97696548364501</c:v>
                </c:pt>
                <c:pt idx="20">
                  <c:v>23.49217761060919</c:v>
                </c:pt>
                <c:pt idx="21">
                  <c:v>26.11791969685795</c:v>
                </c:pt>
                <c:pt idx="22">
                  <c:v>28.84642225558385</c:v>
                </c:pt>
                <c:pt idx="23">
                  <c:v>31.66986860650893</c:v>
                </c:pt>
                <c:pt idx="24">
                  <c:v>34.58045878582773</c:v>
                </c:pt>
                <c:pt idx="25">
                  <c:v>37.57046393359566</c:v>
                </c:pt>
                <c:pt idx="26">
                  <c:v>40.63227222823452</c:v>
                </c:pt>
                <c:pt idx="27">
                  <c:v>43.75842733073</c:v>
                </c:pt>
                <c:pt idx="28">
                  <c:v>46.94166020410462</c:v>
                </c:pt>
                <c:pt idx="29">
                  <c:v>50.17491508594488</c:v>
                </c:pt>
                <c:pt idx="30">
                  <c:v>53.45137031230064</c:v>
                </c:pt>
                <c:pt idx="31">
                  <c:v>56.76445461939517</c:v>
                </c:pt>
                <c:pt idx="32">
                  <c:v>60.10785948458937</c:v>
                </c:pt>
                <c:pt idx="33">
                  <c:v>63.47554800930033</c:v>
                </c:pt>
                <c:pt idx="34">
                  <c:v>66.86176079350381</c:v>
                </c:pt>
                <c:pt idx="35">
                  <c:v>70.2610192035321</c:v>
                </c:pt>
                <c:pt idx="36">
                  <c:v>73.66812639162958</c:v>
                </c:pt>
                <c:pt idx="37">
                  <c:v>77.07816638672098</c:v>
                </c:pt>
                <c:pt idx="38">
                  <c:v>80.4865015406778</c:v>
                </c:pt>
                <c:pt idx="39">
                  <c:v>83.88876858268765</c:v>
                </c:pt>
                <c:pt idx="40">
                  <c:v>87.28087350580327</c:v>
                </c:pt>
                <c:pt idx="41">
                  <c:v>90.65898548408208</c:v>
                </c:pt>
                <c:pt idx="42">
                  <c:v>94.01952999564885</c:v>
                </c:pt>
                <c:pt idx="43">
                  <c:v>97.35918130628455</c:v>
                </c:pt>
                <c:pt idx="44">
                  <c:v>100.6748544495284</c:v>
                </c:pt>
                <c:pt idx="45">
                  <c:v>103.9636968225951</c:v>
                </c:pt>
                <c:pt idx="46">
                  <c:v>107.2230795024452</c:v>
                </c:pt>
                <c:pt idx="47">
                  <c:v>110.450588372964</c:v>
                </c:pt>
                <c:pt idx="48">
                  <c:v>113.6440151422294</c:v>
                </c:pt>
                <c:pt idx="49">
                  <c:v>116.8013483181562</c:v>
                </c:pt>
                <c:pt idx="50">
                  <c:v>119.9207642012678</c:v>
                </c:pt>
                <c:pt idx="51">
                  <c:v>123.0006179448472</c:v>
                </c:pt>
                <c:pt idx="52">
                  <c:v>126.0394347251612</c:v>
                </c:pt>
                <c:pt idx="53">
                  <c:v>129.0359010577368</c:v>
                </c:pt>
                <c:pt idx="54">
                  <c:v>131.9888562897194</c:v>
                </c:pt>
                <c:pt idx="55">
                  <c:v>134.897284293071</c:v>
                </c:pt>
                <c:pt idx="56">
                  <c:v>137.7603053787188</c:v>
                </c:pt>
                <c:pt idx="57">
                  <c:v>140.5771684476618</c:v>
                </c:pt>
                <c:pt idx="58">
                  <c:v>143.3472433914426</c:v>
                </c:pt>
                <c:pt idx="59">
                  <c:v>146.0700137512347</c:v>
                </c:pt>
                <c:pt idx="60">
                  <c:v>148.7450696420345</c:v>
                </c:pt>
                <c:pt idx="61">
                  <c:v>151.3721009460461</c:v>
                </c:pt>
                <c:pt idx="62">
                  <c:v>153.9508907772677</c:v>
                </c:pt>
                <c:pt idx="63">
                  <c:v>156.4813092174835</c:v>
                </c:pt>
                <c:pt idx="64">
                  <c:v>158.9633073223278</c:v>
                </c:pt>
                <c:pt idx="65">
                  <c:v>161.3969113947682</c:v>
                </c:pt>
                <c:pt idx="66">
                  <c:v>163.7822175222357</c:v>
                </c:pt>
                <c:pt idx="67">
                  <c:v>166.1193863726976</c:v>
                </c:pt>
                <c:pt idx="68">
                  <c:v>168.4086382441849</c:v>
                </c:pt>
                <c:pt idx="69">
                  <c:v>170.6502483616484</c:v>
                </c:pt>
                <c:pt idx="70">
                  <c:v>172.8445424145046</c:v>
                </c:pt>
                <c:pt idx="71">
                  <c:v>174.9918923278212</c:v>
                </c:pt>
                <c:pt idx="72">
                  <c:v>177.092712259786</c:v>
                </c:pt>
                <c:pt idx="73">
                  <c:v>179.1474548178718</c:v>
                </c:pt>
                <c:pt idx="74">
                  <c:v>181.1566074859589</c:v>
                </c:pt>
                <c:pt idx="75">
                  <c:v>183.1206892545848</c:v>
                </c:pt>
                <c:pt idx="76">
                  <c:v>185.040247446456</c:v>
                </c:pt>
                <c:pt idx="77">
                  <c:v>186.9158547293684</c:v>
                </c:pt>
                <c:pt idx="78">
                  <c:v>188.7481063087381</c:v>
                </c:pt>
                <c:pt idx="79">
                  <c:v>190.5376172920277</c:v>
                </c:pt>
                <c:pt idx="80">
                  <c:v>192.285020217476</c:v>
                </c:pt>
                <c:pt idx="81">
                  <c:v>193.9909627396743</c:v>
                </c:pt>
                <c:pt idx="82">
                  <c:v>195.656105464702</c:v>
                </c:pt>
                <c:pt idx="83">
                  <c:v>197.2811199277043</c:v>
                </c:pt>
                <c:pt idx="84">
                  <c:v>198.8666867059944</c:v>
                </c:pt>
                <c:pt idx="85">
                  <c:v>200.4134936609609</c:v>
                </c:pt>
                <c:pt idx="86">
                  <c:v>201.9222343022718</c:v>
                </c:pt>
                <c:pt idx="87">
                  <c:v>203.3936062680844</c:v>
                </c:pt>
                <c:pt idx="88">
                  <c:v>204.8283099151877</c:v>
                </c:pt>
                <c:pt idx="89">
                  <c:v>206.2270470132288</c:v>
                </c:pt>
                <c:pt idx="90">
                  <c:v>207.5905195373923</c:v>
                </c:pt>
                <c:pt idx="91">
                  <c:v>208.9194285541309</c:v>
                </c:pt>
                <c:pt idx="92">
                  <c:v>210.2144731947566</c:v>
                </c:pt>
                <c:pt idx="93">
                  <c:v>211.4763497119261</c:v>
                </c:pt>
                <c:pt idx="94">
                  <c:v>212.7057506142652</c:v>
                </c:pt>
                <c:pt idx="95">
                  <c:v>213.903363874586</c:v>
                </c:pt>
                <c:pt idx="96">
                  <c:v>215.0698722073567</c:v>
                </c:pt>
                <c:pt idx="97">
                  <c:v>216.205952411285</c:v>
                </c:pt>
                <c:pt idx="98">
                  <c:v>217.3122747730684</c:v>
                </c:pt>
                <c:pt idx="99">
                  <c:v>218.3895025285548</c:v>
                </c:pt>
                <c:pt idx="100">
                  <c:v>219.438291377741</c:v>
                </c:pt>
                <c:pt idx="101">
                  <c:v>220.4592890502108</c:v>
                </c:pt>
                <c:pt idx="102">
                  <c:v>221.4531349177891</c:v>
                </c:pt>
                <c:pt idx="103">
                  <c:v>222.420459651349</c:v>
                </c:pt>
                <c:pt idx="104">
                  <c:v>223.3618849188711</c:v>
                </c:pt>
                <c:pt idx="105">
                  <c:v>224.2780231220039</c:v>
                </c:pt>
                <c:pt idx="106">
                  <c:v>225.1694771685224</c:v>
                </c:pt>
                <c:pt idx="107">
                  <c:v>226.0368402782206</c:v>
                </c:pt>
                <c:pt idx="108">
                  <c:v>226.8806958199088</c:v>
                </c:pt>
                <c:pt idx="109">
                  <c:v>227.7016171773157</c:v>
                </c:pt>
                <c:pt idx="110">
                  <c:v>228.5001676418159</c:v>
                </c:pt>
                <c:pt idx="111">
                  <c:v>229.2769003300241</c:v>
                </c:pt>
                <c:pt idx="112">
                  <c:v>230.0323581244049</c:v>
                </c:pt>
                <c:pt idx="113">
                  <c:v>230.7670736351586</c:v>
                </c:pt>
                <c:pt idx="114">
                  <c:v>231.4815691817397</c:v>
                </c:pt>
                <c:pt idx="115">
                  <c:v>232.1763567924665</c:v>
                </c:pt>
                <c:pt idx="116">
                  <c:v>232.8519382207685</c:v>
                </c:pt>
                <c:pt idx="117">
                  <c:v>233.5088049767075</c:v>
                </c:pt>
                <c:pt idx="118">
                  <c:v>234.14743837249</c:v>
                </c:pt>
                <c:pt idx="119">
                  <c:v>234.7683095807689</c:v>
                </c:pt>
                <c:pt idx="120">
                  <c:v>235.371879704606</c:v>
                </c:pt>
                <c:pt idx="121">
                  <c:v>235.9585998580365</c:v>
                </c:pt>
                <c:pt idx="122">
                  <c:v>236.5289112562476</c:v>
                </c:pt>
                <c:pt idx="123">
                  <c:v>237.0832453144415</c:v>
                </c:pt>
                <c:pt idx="124">
                  <c:v>237.6220237545175</c:v>
                </c:pt>
                <c:pt idx="125">
                  <c:v>238.1456587187628</c:v>
                </c:pt>
                <c:pt idx="126">
                  <c:v>238.6545528897953</c:v>
                </c:pt>
                <c:pt idx="127">
                  <c:v>239.149099616052</c:v>
                </c:pt>
                <c:pt idx="128">
                  <c:v>239.6296830421669</c:v>
                </c:pt>
                <c:pt idx="129">
                  <c:v>240.0966782436238</c:v>
                </c:pt>
                <c:pt idx="130">
                  <c:v>240.5504513651141</c:v>
                </c:pt>
                <c:pt idx="131">
                  <c:v>240.9913597620715</c:v>
                </c:pt>
                <c:pt idx="132">
                  <c:v>241.4197521448883</c:v>
                </c:pt>
                <c:pt idx="133">
                  <c:v>241.8359687253596</c:v>
                </c:pt>
                <c:pt idx="134">
                  <c:v>242.2403413649302</c:v>
                </c:pt>
                <c:pt idx="135">
                  <c:v>242.6331937243544</c:v>
                </c:pt>
                <c:pt idx="136">
                  <c:v>243.0148414144056</c:v>
                </c:pt>
                <c:pt idx="137">
                  <c:v>243.3855921473023</c:v>
                </c:pt>
                <c:pt idx="138">
                  <c:v>243.745745888542</c:v>
                </c:pt>
                <c:pt idx="139">
                  <c:v>244.0955950088611</c:v>
                </c:pt>
                <c:pt idx="140">
                  <c:v>244.4354244360585</c:v>
                </c:pt>
                <c:pt idx="141">
                  <c:v>244.7655118064458</c:v>
                </c:pt>
                <c:pt idx="142">
                  <c:v>245.0861276157057</c:v>
                </c:pt>
                <c:pt idx="143">
                  <c:v>245.3975353689571</c:v>
                </c:pt>
                <c:pt idx="144">
                  <c:v>245.6999917298484</c:v>
                </c:pt>
                <c:pt idx="145">
                  <c:v>245.9937466685107</c:v>
                </c:pt>
                <c:pt idx="146">
                  <c:v>246.2790436082241</c:v>
                </c:pt>
                <c:pt idx="147">
                  <c:v>246.5561195706587</c:v>
                </c:pt>
                <c:pt idx="148">
                  <c:v>246.8252053195722</c:v>
                </c:pt>
                <c:pt idx="149">
                  <c:v>247.0865255028525</c:v>
                </c:pt>
                <c:pt idx="150">
                  <c:v>247.3402987928095</c:v>
                </c:pt>
                <c:pt idx="151">
                  <c:v>247.5867380246293</c:v>
                </c:pt>
                <c:pt idx="152">
                  <c:v>247.8260503329144</c:v>
                </c:pt>
                <c:pt idx="153">
                  <c:v>248.0584372862441</c:v>
                </c:pt>
                <c:pt idx="154">
                  <c:v>248.2840950196976</c:v>
                </c:pt>
                <c:pt idx="155">
                  <c:v>248.5032143652877</c:v>
                </c:pt>
                <c:pt idx="156">
                  <c:v>248.7159809802679</c:v>
                </c:pt>
                <c:pt idx="157">
                  <c:v>248.9225754732722</c:v>
                </c:pt>
                <c:pt idx="158">
                  <c:v>249.1231735282643</c:v>
                </c:pt>
                <c:pt idx="159">
                  <c:v>249.3179460262699</c:v>
                </c:pt>
                <c:pt idx="160">
                  <c:v>249.5070591648785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'COLE2 forest types-live tree C '!$F$12</c:f>
              <c:strCache>
                <c:ptCount val="1"/>
                <c:pt idx="0">
                  <c:v>Regenerated DougFir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'!$F$13:$F$173</c:f>
              <c:numCache>
                <c:formatCode>0</c:formatCode>
                <c:ptCount val="161"/>
                <c:pt idx="80">
                  <c:v>0.0</c:v>
                </c:pt>
                <c:pt idx="81">
                  <c:v>0.023299439689354</c:v>
                </c:pt>
                <c:pt idx="82">
                  <c:v>0.173089405647495</c:v>
                </c:pt>
                <c:pt idx="83">
                  <c:v>0.542813423617352</c:v>
                </c:pt>
                <c:pt idx="84">
                  <c:v>1.196311362151283</c:v>
                </c:pt>
                <c:pt idx="85">
                  <c:v>2.173815052139461</c:v>
                </c:pt>
                <c:pt idx="86">
                  <c:v>3.496916297787195</c:v>
                </c:pt>
                <c:pt idx="87">
                  <c:v>5.17266943052747</c:v>
                </c:pt>
                <c:pt idx="88">
                  <c:v>7.196966127491617</c:v>
                </c:pt>
                <c:pt idx="89">
                  <c:v>9.557299366271184</c:v>
                </c:pt>
                <c:pt idx="90">
                  <c:v>12.23501560219317</c:v>
                </c:pt>
                <c:pt idx="91">
                  <c:v>15.20713909103712</c:v>
                </c:pt>
                <c:pt idx="92">
                  <c:v>18.4478393599361</c:v>
                </c:pt>
                <c:pt idx="93">
                  <c:v>21.92960182714282</c:v>
                </c:pt>
                <c:pt idx="94">
                  <c:v>25.62415220888978</c:v>
                </c:pt>
                <c:pt idx="95">
                  <c:v>29.50317739008753</c:v>
                </c:pt>
                <c:pt idx="96">
                  <c:v>33.53887867066924</c:v>
                </c:pt>
                <c:pt idx="97">
                  <c:v>37.70438755593841</c:v>
                </c:pt>
                <c:pt idx="98">
                  <c:v>41.97406938744024</c:v>
                </c:pt>
                <c:pt idx="99">
                  <c:v>46.32373598237774</c:v>
                </c:pt>
                <c:pt idx="100">
                  <c:v>50.73078495468293</c:v>
                </c:pt>
                <c:pt idx="101">
                  <c:v>55.1742804356626</c:v>
                </c:pt>
                <c:pt idx="102">
                  <c:v>59.63498741640741</c:v>
                </c:pt>
                <c:pt idx="103">
                  <c:v>64.09536982929194</c:v>
                </c:pt>
                <c:pt idx="104">
                  <c:v>68.53956071329945</c:v>
                </c:pt>
                <c:pt idx="105">
                  <c:v>72.95331131754322</c:v>
                </c:pt>
                <c:pt idx="106">
                  <c:v>77.32392474651278</c:v>
                </c:pt>
                <c:pt idx="107">
                  <c:v>81.64017870281204</c:v>
                </c:pt>
                <c:pt idx="108">
                  <c:v>85.89224100741715</c:v>
                </c:pt>
                <c:pt idx="109">
                  <c:v>90.07158084728101</c:v>
                </c:pt>
                <c:pt idx="110">
                  <c:v>94.17087809291407</c:v>
                </c:pt>
                <c:pt idx="111">
                  <c:v>98.18393252518453</c:v>
                </c:pt>
                <c:pt idx="112">
                  <c:v>102.1055743946893</c:v>
                </c:pt>
                <c:pt idx="113">
                  <c:v>105.9315773947817</c:v>
                </c:pt>
                <c:pt idx="114">
                  <c:v>109.6585748489354</c:v>
                </c:pt>
                <c:pt idx="115">
                  <c:v>113.2839796845767</c:v>
                </c:pt>
                <c:pt idx="116">
                  <c:v>116.8059085803754</c:v>
                </c:pt>
                <c:pt idx="117">
                  <c:v>120.2231105250745</c:v>
                </c:pt>
                <c:pt idx="118">
                  <c:v>123.5348999072007</c:v>
                </c:pt>
                <c:pt idx="119">
                  <c:v>126.7410941613137</c:v>
                </c:pt>
                <c:pt idx="120">
                  <c:v>129.8419559235024</c:v>
                </c:pt>
                <c:pt idx="121">
                  <c:v>132.8381395929877</c:v>
                </c:pt>
                <c:pt idx="122">
                  <c:v>135.7306421548784</c:v>
                </c:pt>
                <c:pt idx="123">
                  <c:v>138.5207580887904</c:v>
                </c:pt>
                <c:pt idx="124">
                  <c:v>141.2100381670281</c:v>
                </c:pt>
                <c:pt idx="125">
                  <c:v>143.8002519325306</c:v>
                </c:pt>
                <c:pt idx="126">
                  <c:v>146.2933536393292</c:v>
                </c:pt>
                <c:pt idx="127">
                  <c:v>148.6914514355723</c:v>
                </c:pt>
                <c:pt idx="128">
                  <c:v>150.9967795702391</c:v>
                </c:pt>
                <c:pt idx="129">
                  <c:v>153.2116734086124</c:v>
                </c:pt>
                <c:pt idx="130">
                  <c:v>155.3385470477245</c:v>
                </c:pt>
                <c:pt idx="131">
                  <c:v>157.3798733307425</c:v>
                </c:pt>
                <c:pt idx="132">
                  <c:v>159.3381660681544</c:v>
                </c:pt>
                <c:pt idx="133">
                  <c:v>161.2159642832814</c:v>
                </c:pt>
                <c:pt idx="134">
                  <c:v>163.0158183097519</c:v>
                </c:pt>
                <c:pt idx="135">
                  <c:v>164.7402775789108</c:v>
                </c:pt>
                <c:pt idx="136">
                  <c:v>166.3918799454804</c:v>
                </c:pt>
                <c:pt idx="137">
                  <c:v>167.9731424100191</c:v>
                </c:pt>
                <c:pt idx="138">
                  <c:v>169.4865531067011</c:v>
                </c:pt>
                <c:pt idx="139">
                  <c:v>170.9345644345898</c:v>
                </c:pt>
                <c:pt idx="140">
                  <c:v>172.3195872198431</c:v>
                </c:pt>
                <c:pt idx="141">
                  <c:v>173.6439858051126</c:v>
                </c:pt>
                <c:pt idx="142">
                  <c:v>174.9100739707693</c:v>
                </c:pt>
                <c:pt idx="143">
                  <c:v>176.1201116004789</c:v>
                </c:pt>
                <c:pt idx="144">
                  <c:v>177.2763020110622</c:v>
                </c:pt>
                <c:pt idx="145">
                  <c:v>178.3807898735142</c:v>
                </c:pt>
                <c:pt idx="146">
                  <c:v>179.4356596585163</c:v>
                </c:pt>
                <c:pt idx="147">
                  <c:v>180.442934545793</c:v>
                </c:pt>
                <c:pt idx="148">
                  <c:v>181.4045757422317</c:v>
                </c:pt>
                <c:pt idx="149">
                  <c:v>182.3224821588415</c:v>
                </c:pt>
                <c:pt idx="150">
                  <c:v>183.198490401375</c:v>
                </c:pt>
                <c:pt idx="151">
                  <c:v>184.034375033817</c:v>
                </c:pt>
                <c:pt idx="152">
                  <c:v>184.8318490779611</c:v>
                </c:pt>
                <c:pt idx="153">
                  <c:v>185.5925647159808</c:v>
                </c:pt>
                <c:pt idx="154">
                  <c:v>186.3181141662764</c:v>
                </c:pt>
                <c:pt idx="155">
                  <c:v>187.0100307059605</c:v>
                </c:pt>
                <c:pt idx="156">
                  <c:v>187.6697898161565</c:v>
                </c:pt>
                <c:pt idx="157">
                  <c:v>188.2988104288468</c:v>
                </c:pt>
                <c:pt idx="158">
                  <c:v>188.8984562563364</c:v>
                </c:pt>
                <c:pt idx="159">
                  <c:v>189.47003718651</c:v>
                </c:pt>
                <c:pt idx="160">
                  <c:v>190.0148107289847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'COLE2 forest types-live tree C '!$G$12</c:f>
              <c:strCache>
                <c:ptCount val="1"/>
                <c:pt idx="0">
                  <c:v>Let grow PPine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'!$G$13:$G$173</c:f>
              <c:numCache>
                <c:formatCode>0</c:formatCode>
                <c:ptCount val="161"/>
                <c:pt idx="0">
                  <c:v>0.0</c:v>
                </c:pt>
                <c:pt idx="1">
                  <c:v>0.00529543315093321</c:v>
                </c:pt>
                <c:pt idx="2">
                  <c:v>0.039920352483699</c:v>
                </c:pt>
                <c:pt idx="3">
                  <c:v>0.127011982473438</c:v>
                </c:pt>
                <c:pt idx="4">
                  <c:v>0.283929845031608</c:v>
                </c:pt>
                <c:pt idx="5">
                  <c:v>0.523196365702608</c:v>
                </c:pt>
                <c:pt idx="6">
                  <c:v>0.853307296972173</c:v>
                </c:pt>
                <c:pt idx="7">
                  <c:v>1.279428579016562</c:v>
                </c:pt>
                <c:pt idx="8">
                  <c:v>1.803994230111283</c:v>
                </c:pt>
                <c:pt idx="9">
                  <c:v>2.427218071682171</c:v>
                </c:pt>
                <c:pt idx="10">
                  <c:v>3.147530518490732</c:v>
                </c:pt>
                <c:pt idx="11">
                  <c:v>3.961950277820613</c:v>
                </c:pt>
                <c:pt idx="12">
                  <c:v>4.866399580769708</c:v>
                </c:pt>
                <c:pt idx="13">
                  <c:v>5.855970494396955</c:v>
                </c:pt>
                <c:pt idx="14">
                  <c:v>6.925148918321895</c:v>
                </c:pt>
                <c:pt idx="15">
                  <c:v>8.068002038221493</c:v>
                </c:pt>
                <c:pt idx="16">
                  <c:v>9.278334278071605</c:v>
                </c:pt>
                <c:pt idx="17">
                  <c:v>10.54981615105994</c:v>
                </c:pt>
                <c:pt idx="18">
                  <c:v>11.87608984535758</c:v>
                </c:pt>
                <c:pt idx="19">
                  <c:v>13.25085488610354</c:v>
                </c:pt>
                <c:pt idx="20">
                  <c:v>14.66793678083937</c:v>
                </c:pt>
                <c:pt idx="21">
                  <c:v>16.12134117499531</c:v>
                </c:pt>
                <c:pt idx="22">
                  <c:v>17.60529571048701</c:v>
                </c:pt>
                <c:pt idx="23">
                  <c:v>19.11428148839374</c:v>
                </c:pt>
                <c:pt idx="24">
                  <c:v>20.64305578107804</c:v>
                </c:pt>
                <c:pt idx="25">
                  <c:v>22.18666741558053</c:v>
                </c:pt>
                <c:pt idx="26">
                  <c:v>23.74046605480687</c:v>
                </c:pt>
                <c:pt idx="27">
                  <c:v>25.30010643250085</c:v>
                </c:pt>
                <c:pt idx="28">
                  <c:v>26.8615484492515</c:v>
                </c:pt>
                <c:pt idx="29">
                  <c:v>28.42105390716035</c:v>
                </c:pt>
                <c:pt idx="30">
                  <c:v>29.9751805479523</c:v>
                </c:pt>
                <c:pt idx="31">
                  <c:v>31.52077396119134</c:v>
                </c:pt>
                <c:pt idx="32">
                  <c:v>33.05495784403992</c:v>
                </c:pt>
                <c:pt idx="33">
                  <c:v>34.5751230200828</c:v>
                </c:pt>
                <c:pt idx="34">
                  <c:v>36.07891556071104</c:v>
                </c:pt>
                <c:pt idx="35">
                  <c:v>37.56422429719454</c:v>
                </c:pt>
                <c:pt idx="36">
                  <c:v>39.02916796376993</c:v>
                </c:pt>
                <c:pt idx="37">
                  <c:v>40.4720821708794</c:v>
                </c:pt>
                <c:pt idx="38">
                  <c:v>41.89150637227291</c:v>
                </c:pt>
                <c:pt idx="39">
                  <c:v>43.28617095929218</c:v>
                </c:pt>
                <c:pt idx="40">
                  <c:v>44.65498458964156</c:v>
                </c:pt>
                <c:pt idx="41">
                  <c:v>45.99702183574933</c:v>
                </c:pt>
                <c:pt idx="42">
                  <c:v>47.31151121893365</c:v>
                </c:pt>
                <c:pt idx="43">
                  <c:v>48.59782367957332</c:v>
                </c:pt>
                <c:pt idx="44">
                  <c:v>49.85546151996193</c:v>
                </c:pt>
                <c:pt idx="45">
                  <c:v>51.08404784515896</c:v>
                </c:pt>
                <c:pt idx="46">
                  <c:v>52.28331651765013</c:v>
                </c:pt>
                <c:pt idx="47">
                  <c:v>53.45310263373632</c:v>
                </c:pt>
                <c:pt idx="48">
                  <c:v>54.59333352306086</c:v>
                </c:pt>
                <c:pt idx="49">
                  <c:v>55.70402026736343</c:v>
                </c:pt>
                <c:pt idx="50">
                  <c:v>56.78524973024868</c:v>
                </c:pt>
                <c:pt idx="51">
                  <c:v>57.83717708632444</c:v>
                </c:pt>
                <c:pt idx="52">
                  <c:v>58.86001883537671</c:v>
                </c:pt>
                <c:pt idx="53">
                  <c:v>59.85404628518835</c:v>
                </c:pt>
                <c:pt idx="54">
                  <c:v>60.8195794850827</c:v>
                </c:pt>
                <c:pt idx="55">
                  <c:v>61.75698159119617</c:v>
                </c:pt>
                <c:pt idx="56">
                  <c:v>62.6666536437832</c:v>
                </c:pt>
                <c:pt idx="57">
                  <c:v>63.54902973646907</c:v>
                </c:pt>
                <c:pt idx="58">
                  <c:v>64.40457255723975</c:v>
                </c:pt>
                <c:pt idx="59">
                  <c:v>65.2337692810416</c:v>
                </c:pt>
                <c:pt idx="60">
                  <c:v>66.03712779412397</c:v>
                </c:pt>
                <c:pt idx="61">
                  <c:v>66.81517323065304</c:v>
                </c:pt>
                <c:pt idx="62">
                  <c:v>67.568444802635</c:v>
                </c:pt>
                <c:pt idx="63">
                  <c:v>68.29749290477597</c:v>
                </c:pt>
                <c:pt idx="64">
                  <c:v>69.00287647656465</c:v>
                </c:pt>
                <c:pt idx="65">
                  <c:v>69.68516060456403</c:v>
                </c:pt>
                <c:pt idx="66">
                  <c:v>70.3449143486339</c:v>
                </c:pt>
                <c:pt idx="67">
                  <c:v>70.98270877655656</c:v>
                </c:pt>
                <c:pt idx="68">
                  <c:v>71.59911519230041</c:v>
                </c:pt>
                <c:pt idx="69">
                  <c:v>72.1947035439161</c:v>
                </c:pt>
                <c:pt idx="70">
                  <c:v>72.77004099781429</c:v>
                </c:pt>
                <c:pt idx="71">
                  <c:v>73.32569066691433</c:v>
                </c:pt>
                <c:pt idx="72">
                  <c:v>73.86221048087816</c:v>
                </c:pt>
                <c:pt idx="73">
                  <c:v>74.38015218734608</c:v>
                </c:pt>
                <c:pt idx="74">
                  <c:v>74.88006047377122</c:v>
                </c:pt>
                <c:pt idx="75">
                  <c:v>75.36247220010463</c:v>
                </c:pt>
                <c:pt idx="76">
                  <c:v>75.82791573320974</c:v>
                </c:pt>
                <c:pt idx="77">
                  <c:v>76.27691037448565</c:v>
                </c:pt>
                <c:pt idx="78">
                  <c:v>76.70996587275144</c:v>
                </c:pt>
                <c:pt idx="79">
                  <c:v>77.12758201498585</c:v>
                </c:pt>
                <c:pt idx="80">
                  <c:v>77.53024828803438</c:v>
                </c:pt>
                <c:pt idx="81">
                  <c:v>77.91844360488246</c:v>
                </c:pt>
                <c:pt idx="82">
                  <c:v>78.29263608955488</c:v>
                </c:pt>
                <c:pt idx="83">
                  <c:v>78.65328291513532</c:v>
                </c:pt>
                <c:pt idx="84">
                  <c:v>79.00083018981007</c:v>
                </c:pt>
                <c:pt idx="85">
                  <c:v>79.33571288622173</c:v>
                </c:pt>
                <c:pt idx="86">
                  <c:v>79.65835480978035</c:v>
                </c:pt>
                <c:pt idx="87">
                  <c:v>79.969168601917</c:v>
                </c:pt>
                <c:pt idx="88">
                  <c:v>80.26855577457831</c:v>
                </c:pt>
                <c:pt idx="89">
                  <c:v>80.55690677255792</c:v>
                </c:pt>
                <c:pt idx="90">
                  <c:v>80.83460106053325</c:v>
                </c:pt>
                <c:pt idx="91">
                  <c:v>81.10200723193434</c:v>
                </c:pt>
                <c:pt idx="92">
                  <c:v>81.35948313700867</c:v>
                </c:pt>
                <c:pt idx="93">
                  <c:v>81.60737602766868</c:v>
                </c:pt>
                <c:pt idx="94">
                  <c:v>81.84602271691436</c:v>
                </c:pt>
                <c:pt idx="95">
                  <c:v>82.07574975081495</c:v>
                </c:pt>
                <c:pt idx="96">
                  <c:v>82.29687359121062</c:v>
                </c:pt>
                <c:pt idx="97">
                  <c:v>82.50970080746025</c:v>
                </c:pt>
                <c:pt idx="98">
                  <c:v>82.71452827571238</c:v>
                </c:pt>
                <c:pt idx="99">
                  <c:v>82.9116433843179</c:v>
                </c:pt>
                <c:pt idx="100">
                  <c:v>83.1013242441325</c:v>
                </c:pt>
                <c:pt idx="101">
                  <c:v>83.28383990257653</c:v>
                </c:pt>
                <c:pt idx="102">
                  <c:v>83.45945056043081</c:v>
                </c:pt>
                <c:pt idx="103">
                  <c:v>83.628407790449</c:v>
                </c:pt>
                <c:pt idx="104">
                  <c:v>83.79095475695944</c:v>
                </c:pt>
                <c:pt idx="105">
                  <c:v>83.94732643571715</c:v>
                </c:pt>
                <c:pt idx="106">
                  <c:v>84.09774983334496</c:v>
                </c:pt>
                <c:pt idx="107">
                  <c:v>84.24244420577488</c:v>
                </c:pt>
                <c:pt idx="108">
                  <c:v>84.38162127516862</c:v>
                </c:pt>
                <c:pt idx="109">
                  <c:v>84.51548544485548</c:v>
                </c:pt>
                <c:pt idx="110">
                  <c:v>84.64423401188337</c:v>
                </c:pt>
                <c:pt idx="111">
                  <c:v>84.7680573768277</c:v>
                </c:pt>
                <c:pt idx="112">
                  <c:v>84.88713925055102</c:v>
                </c:pt>
                <c:pt idx="113">
                  <c:v>85.00165685764756</c:v>
                </c:pt>
                <c:pt idx="114">
                  <c:v>85.11178113634594</c:v>
                </c:pt>
                <c:pt idx="115">
                  <c:v>85.21767693467786</c:v>
                </c:pt>
                <c:pt idx="116">
                  <c:v>85.31950320275314</c:v>
                </c:pt>
                <c:pt idx="117">
                  <c:v>85.41741318100923</c:v>
                </c:pt>
                <c:pt idx="118">
                  <c:v>85.51155458433063</c:v>
                </c:pt>
                <c:pt idx="119">
                  <c:v>85.6020697819559</c:v>
                </c:pt>
                <c:pt idx="120">
                  <c:v>85.68909597311227</c:v>
                </c:pt>
                <c:pt idx="121">
                  <c:v>85.77276535833654</c:v>
                </c:pt>
                <c:pt idx="122">
                  <c:v>85.85320530645737</c:v>
                </c:pt>
                <c:pt idx="123">
                  <c:v>85.93053851723101</c:v>
                </c:pt>
                <c:pt idx="124">
                  <c:v>86.00488317963422</c:v>
                </c:pt>
                <c:pt idx="125">
                  <c:v>86.07635312583218</c:v>
                </c:pt>
                <c:pt idx="126">
                  <c:v>86.1450579808483</c:v>
                </c:pt>
                <c:pt idx="127">
                  <c:v>86.21110330797372</c:v>
                </c:pt>
                <c:pt idx="128">
                  <c:v>86.2745907499619</c:v>
                </c:pt>
                <c:pt idx="129">
                  <c:v>86.33561816606078</c:v>
                </c:pt>
                <c:pt idx="130">
                  <c:v>86.39427976494248</c:v>
                </c:pt>
                <c:pt idx="131">
                  <c:v>86.45066623359459</c:v>
                </c:pt>
                <c:pt idx="132">
                  <c:v>86.50486486224288</c:v>
                </c:pt>
                <c:pt idx="133">
                  <c:v>86.55695966537845</c:v>
                </c:pt>
                <c:pt idx="134">
                  <c:v>86.60703149896632</c:v>
                </c:pt>
                <c:pt idx="135">
                  <c:v>86.65515817391466</c:v>
                </c:pt>
                <c:pt idx="136">
                  <c:v>86.70141456588633</c:v>
                </c:pt>
                <c:pt idx="137">
                  <c:v>86.7458727215359</c:v>
                </c:pt>
                <c:pt idx="138">
                  <c:v>86.78860196125702</c:v>
                </c:pt>
                <c:pt idx="139">
                  <c:v>86.82966897852529</c:v>
                </c:pt>
                <c:pt idx="140">
                  <c:v>86.86913793592251</c:v>
                </c:pt>
                <c:pt idx="141">
                  <c:v>86.90707055792933</c:v>
                </c:pt>
                <c:pt idx="142">
                  <c:v>86.94352622057125</c:v>
                </c:pt>
                <c:pt idx="143">
                  <c:v>86.97856203800484</c:v>
                </c:pt>
                <c:pt idx="144">
                  <c:v>87.01223294612895</c:v>
                </c:pt>
                <c:pt idx="145">
                  <c:v>87.0445917833057</c:v>
                </c:pt>
                <c:pt idx="146">
                  <c:v>87.07568936827517</c:v>
                </c:pt>
                <c:pt idx="147">
                  <c:v>87.10557457534595</c:v>
                </c:pt>
                <c:pt idx="148">
                  <c:v>87.13429440694365</c:v>
                </c:pt>
                <c:pt idx="149">
                  <c:v>87.16189406359734</c:v>
                </c:pt>
                <c:pt idx="150">
                  <c:v>87.18841701144281</c:v>
                </c:pt>
                <c:pt idx="151">
                  <c:v>87.21390504732006</c:v>
                </c:pt>
                <c:pt idx="152">
                  <c:v>87.23839836154121</c:v>
                </c:pt>
                <c:pt idx="153">
                  <c:v>87.26193559840255</c:v>
                </c:pt>
                <c:pt idx="154">
                  <c:v>87.2845539145144</c:v>
                </c:pt>
                <c:pt idx="155">
                  <c:v>87.30628903501857</c:v>
                </c:pt>
                <c:pt idx="156">
                  <c:v>87.32717530776429</c:v>
                </c:pt>
                <c:pt idx="157">
                  <c:v>87.34724575550886</c:v>
                </c:pt>
                <c:pt idx="158">
                  <c:v>87.36653212621026</c:v>
                </c:pt>
                <c:pt idx="159">
                  <c:v>87.38506494147475</c:v>
                </c:pt>
                <c:pt idx="160">
                  <c:v>87.40287354322334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'COLE2 forest types-live tree C '!$H$12</c:f>
              <c:strCache>
                <c:ptCount val="1"/>
                <c:pt idx="0">
                  <c:v>Regenerated PPine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'!$H$13:$H$173</c:f>
              <c:numCache>
                <c:formatCode>0</c:formatCode>
                <c:ptCount val="161"/>
                <c:pt idx="80">
                  <c:v>0.0</c:v>
                </c:pt>
                <c:pt idx="81">
                  <c:v>0.00929541499779905</c:v>
                </c:pt>
                <c:pt idx="82">
                  <c:v>0.0690547875256847</c:v>
                </c:pt>
                <c:pt idx="83">
                  <c:v>0.216557827405817</c:v>
                </c:pt>
                <c:pt idx="84">
                  <c:v>0.477273733876935</c:v>
                </c:pt>
                <c:pt idx="85">
                  <c:v>0.867253174647424</c:v>
                </c:pt>
                <c:pt idx="86">
                  <c:v>1.395110295950649</c:v>
                </c:pt>
                <c:pt idx="87">
                  <c:v>2.063659454658532</c:v>
                </c:pt>
                <c:pt idx="88">
                  <c:v>2.871261617106812</c:v>
                </c:pt>
                <c:pt idx="89">
                  <c:v>3.81292705112925</c:v>
                </c:pt>
                <c:pt idx="90">
                  <c:v>4.88121384218939</c:v>
                </c:pt>
                <c:pt idx="91">
                  <c:v>6.066955715035122</c:v>
                </c:pt>
                <c:pt idx="92">
                  <c:v>7.35984748773552</c:v>
                </c:pt>
                <c:pt idx="93">
                  <c:v>8.748912095638309</c:v>
                </c:pt>
                <c:pt idx="94">
                  <c:v>10.22286938759441</c:v>
                </c:pt>
                <c:pt idx="95">
                  <c:v>11.77042372052633</c:v>
                </c:pt>
                <c:pt idx="96">
                  <c:v>13.3804846795157</c:v>
                </c:pt>
                <c:pt idx="97">
                  <c:v>15.04233295921008</c:v>
                </c:pt>
                <c:pt idx="98">
                  <c:v>16.74574149870842</c:v>
                </c:pt>
                <c:pt idx="99">
                  <c:v>18.48106031500089</c:v>
                </c:pt>
                <c:pt idx="100">
                  <c:v>20.23927208572936</c:v>
                </c:pt>
                <c:pt idx="101">
                  <c:v>22.01202435304777</c:v>
                </c:pt>
                <c:pt idx="102">
                  <c:v>23.79164322467874</c:v>
                </c:pt>
                <c:pt idx="103">
                  <c:v>25.5711326085196</c:v>
                </c:pt>
                <c:pt idx="104">
                  <c:v>27.34416230996607</c:v>
                </c:pt>
                <c:pt idx="105">
                  <c:v>29.10504772653591</c:v>
                </c:pt>
                <c:pt idx="106">
                  <c:v>30.84872337534513</c:v>
                </c:pt>
                <c:pt idx="107">
                  <c:v>32.57071207097997</c:v>
                </c:pt>
                <c:pt idx="108">
                  <c:v>34.26709122192849</c:v>
                </c:pt>
                <c:pt idx="109">
                  <c:v>35.93445742241786</c:v>
                </c:pt>
                <c:pt idx="110">
                  <c:v>37.56989027426042</c:v>
                </c:pt>
                <c:pt idx="111">
                  <c:v>39.17091617248214</c:v>
                </c:pt>
                <c:pt idx="112">
                  <c:v>40.73547262258627</c:v>
                </c:pt>
                <c:pt idx="113">
                  <c:v>42.26187352075606</c:v>
                </c:pt>
                <c:pt idx="114">
                  <c:v>43.74877571643114</c:v>
                </c:pt>
                <c:pt idx="115">
                  <c:v>45.19514708551222</c:v>
                </c:pt>
                <c:pt idx="116">
                  <c:v>46.60023626858591</c:v>
                </c:pt>
                <c:pt idx="117">
                  <c:v>47.9635441691522</c:v>
                </c:pt>
                <c:pt idx="118">
                  <c:v>49.28479725946723</c:v>
                </c:pt>
                <c:pt idx="119">
                  <c:v>50.56392270423731</c:v>
                </c:pt>
                <c:pt idx="120">
                  <c:v>51.8010252832972</c:v>
                </c:pt>
                <c:pt idx="121">
                  <c:v>52.99636607212402</c:v>
                </c:pt>
                <c:pt idx="122">
                  <c:v>54.150342822357</c:v>
                </c:pt>
                <c:pt idx="123">
                  <c:v>55.2634719723912</c:v>
                </c:pt>
                <c:pt idx="124">
                  <c:v>56.33637220972846</c:v>
                </c:pt>
                <c:pt idx="125">
                  <c:v>57.3697495013875</c:v>
                </c:pt>
                <c:pt idx="126">
                  <c:v>58.36438350569802</c:v>
                </c:pt>
                <c:pt idx="127">
                  <c:v>59.32111527773167</c:v>
                </c:pt>
                <c:pt idx="128">
                  <c:v>60.24083618104683</c:v>
                </c:pt>
                <c:pt idx="129">
                  <c:v>61.12447792000054</c:v>
                </c:pt>
                <c:pt idx="130">
                  <c:v>61.97300360933117</c:v>
                </c:pt>
                <c:pt idx="131">
                  <c:v>62.78739980080853</c:v>
                </c:pt>
                <c:pt idx="132">
                  <c:v>63.5686693902973</c:v>
                </c:pt>
                <c:pt idx="133">
                  <c:v>64.31782533243383</c:v>
                </c:pt>
                <c:pt idx="134">
                  <c:v>65.03588509415196</c:v>
                </c:pt>
                <c:pt idx="135">
                  <c:v>65.72386578241534</c:v>
                </c:pt>
                <c:pt idx="136">
                  <c:v>66.38277988564273</c:v>
                </c:pt>
                <c:pt idx="137">
                  <c:v>67.0136315723915</c:v>
                </c:pt>
                <c:pt idx="138">
                  <c:v>67.6174134948467</c:v>
                </c:pt>
                <c:pt idx="139">
                  <c:v>68.19510404851224</c:v>
                </c:pt>
                <c:pt idx="140">
                  <c:v>68.74766504319653</c:v>
                </c:pt>
                <c:pt idx="141">
                  <c:v>69.27603974390676</c:v>
                </c:pt>
                <c:pt idx="142">
                  <c:v>69.78115124360341</c:v>
                </c:pt>
                <c:pt idx="143">
                  <c:v>70.26390113291694</c:v>
                </c:pt>
                <c:pt idx="144">
                  <c:v>70.72516843488383</c:v>
                </c:pt>
                <c:pt idx="145">
                  <c:v>71.16580877552747</c:v>
                </c:pt>
                <c:pt idx="146">
                  <c:v>71.58665376368888</c:v>
                </c:pt>
                <c:pt idx="147">
                  <c:v>71.98851055590934</c:v>
                </c:pt>
                <c:pt idx="148">
                  <c:v>72.37216158439146</c:v>
                </c:pt>
                <c:pt idx="149">
                  <c:v>72.73836442812033</c:v>
                </c:pt>
                <c:pt idx="150">
                  <c:v>73.08785180912211</c:v>
                </c:pt>
                <c:pt idx="151">
                  <c:v>73.42133169758405</c:v>
                </c:pt>
                <c:pt idx="152">
                  <c:v>73.73948751116268</c:v>
                </c:pt>
                <c:pt idx="153">
                  <c:v>74.04297839527777</c:v>
                </c:pt>
                <c:pt idx="154">
                  <c:v>74.33243957253538</c:v>
                </c:pt>
                <c:pt idx="155">
                  <c:v>74.60848275065278</c:v>
                </c:pt>
                <c:pt idx="156">
                  <c:v>74.87169657938071</c:v>
                </c:pt>
                <c:pt idx="157">
                  <c:v>75.12264714793872</c:v>
                </c:pt>
                <c:pt idx="158">
                  <c:v>75.36187851541068</c:v>
                </c:pt>
                <c:pt idx="159">
                  <c:v>75.58991326738883</c:v>
                </c:pt>
                <c:pt idx="160">
                  <c:v>75.8072530929228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'COLE2 forest types-live tree C '!$I$12</c:f>
              <c:strCache>
                <c:ptCount val="1"/>
                <c:pt idx="0">
                  <c:v>Let grow Redwood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'!$I$13:$I$173</c:f>
              <c:numCache>
                <c:formatCode>0</c:formatCode>
                <c:ptCount val="161"/>
                <c:pt idx="0">
                  <c:v>0.0</c:v>
                </c:pt>
                <c:pt idx="1">
                  <c:v>0.00360674411297591</c:v>
                </c:pt>
                <c:pt idx="2">
                  <c:v>0.0280053901441942</c:v>
                </c:pt>
                <c:pt idx="3">
                  <c:v>0.0917476900719399</c:v>
                </c:pt>
                <c:pt idx="4">
                  <c:v>0.211122492558087</c:v>
                </c:pt>
                <c:pt idx="5">
                  <c:v>0.400341963622324</c:v>
                </c:pt>
                <c:pt idx="6">
                  <c:v>0.67171466823811</c:v>
                </c:pt>
                <c:pt idx="7">
                  <c:v>1.035806371141445</c:v>
                </c:pt>
                <c:pt idx="8">
                  <c:v>1.501589361446192</c:v>
                </c:pt>
                <c:pt idx="9">
                  <c:v>2.076581055236282</c:v>
                </c:pt>
                <c:pt idx="10">
                  <c:v>2.766972582959316</c:v>
                </c:pt>
                <c:pt idx="11">
                  <c:v>3.577748023992936</c:v>
                </c:pt>
                <c:pt idx="12">
                  <c:v>4.512794909021207</c:v>
                </c:pt>
                <c:pt idx="13">
                  <c:v>5.575006571679594</c:v>
                </c:pt>
                <c:pt idx="14">
                  <c:v>6.76637689415009</c:v>
                </c:pt>
                <c:pt idx="15">
                  <c:v>8.088087956868516</c:v>
                </c:pt>
                <c:pt idx="16">
                  <c:v>9.540591070106971</c:v>
                </c:pt>
                <c:pt idx="17">
                  <c:v>11.12368163478942</c:v>
                </c:pt>
                <c:pt idx="18">
                  <c:v>12.83656825136558</c:v>
                </c:pt>
                <c:pt idx="19">
                  <c:v>14.67793646879629</c:v>
                </c:pt>
                <c:pt idx="20">
                  <c:v>16.64600754058367</c:v>
                </c:pt>
                <c:pt idx="21">
                  <c:v>18.73859253121471</c:v>
                </c:pt>
                <c:pt idx="22">
                  <c:v>20.95314209428012</c:v>
                </c:pt>
                <c:pt idx="23">
                  <c:v>23.28679222279592</c:v>
                </c:pt>
                <c:pt idx="24">
                  <c:v>25.73640625280701</c:v>
                </c:pt>
                <c:pt idx="25">
                  <c:v>28.29861338311595</c:v>
                </c:pt>
                <c:pt idx="26">
                  <c:v>30.96984395687734</c:v>
                </c:pt>
                <c:pt idx="27">
                  <c:v>33.74636173476556</c:v>
                </c:pt>
                <c:pt idx="28">
                  <c:v>36.62429337439021</c:v>
                </c:pt>
                <c:pt idx="29">
                  <c:v>39.59965531654444</c:v>
                </c:pt>
                <c:pt idx="30">
                  <c:v>42.6683782656625</c:v>
                </c:pt>
                <c:pt idx="31">
                  <c:v>45.82632943948667</c:v>
                </c:pt>
                <c:pt idx="32">
                  <c:v>49.06933275134522</c:v>
                </c:pt>
                <c:pt idx="33">
                  <c:v>52.3931870775755</c:v>
                </c:pt>
                <c:pt idx="34">
                  <c:v>55.79368275244646</c:v>
                </c:pt>
                <c:pt idx="35">
                  <c:v>59.26661642339928</c:v>
                </c:pt>
                <c:pt idx="36">
                  <c:v>62.80780439049252</c:v>
                </c:pt>
                <c:pt idx="37">
                  <c:v>66.4130945455768</c:v>
                </c:pt>
                <c:pt idx="38">
                  <c:v>70.07837701889117</c:v>
                </c:pt>
                <c:pt idx="39">
                  <c:v>73.79959363344545</c:v>
                </c:pt>
                <c:pt idx="40">
                  <c:v>77.57274626068906</c:v>
                </c:pt>
                <c:pt idx="41">
                  <c:v>81.39390416454657</c:v>
                </c:pt>
                <c:pt idx="42">
                  <c:v>85.25921041489151</c:v>
                </c:pt>
                <c:pt idx="43">
                  <c:v>89.164887445909</c:v>
                </c:pt>
                <c:pt idx="44">
                  <c:v>93.10724182953938</c:v>
                </c:pt>
                <c:pt idx="45">
                  <c:v>97.08266832927738</c:v>
                </c:pt>
                <c:pt idx="46">
                  <c:v>101.0876532950058</c:v>
                </c:pt>
                <c:pt idx="47">
                  <c:v>105.1187774552405</c:v>
                </c:pt>
                <c:pt idx="48">
                  <c:v>109.1727181591508</c:v>
                </c:pt>
                <c:pt idx="49">
                  <c:v>113.2462511169607</c:v>
                </c:pt>
                <c:pt idx="50">
                  <c:v>117.3362516838335</c:v>
                </c:pt>
                <c:pt idx="51">
                  <c:v>121.439695729062</c:v>
                </c:pt>
                <c:pt idx="52">
                  <c:v>125.5536601293321</c:v>
                </c:pt>
                <c:pt idx="53">
                  <c:v>129.6753229219661</c:v>
                </c:pt>
                <c:pt idx="54">
                  <c:v>133.801963151392</c:v>
                </c:pt>
                <c:pt idx="55">
                  <c:v>137.930960439592</c:v>
                </c:pt>
                <c:pt idx="56">
                  <c:v>142.0597943089684</c:v>
                </c:pt>
                <c:pt idx="57">
                  <c:v>146.1860432838953</c:v>
                </c:pt>
                <c:pt idx="58">
                  <c:v>150.3073837952111</c:v>
                </c:pt>
                <c:pt idx="59">
                  <c:v>154.4215889100255</c:v>
                </c:pt>
                <c:pt idx="60">
                  <c:v>158.5265269074595</c:v>
                </c:pt>
                <c:pt idx="61">
                  <c:v>162.6201597193073</c:v>
                </c:pt>
                <c:pt idx="62">
                  <c:v>166.7005412530901</c:v>
                </c:pt>
                <c:pt idx="63">
                  <c:v>170.7658156135539</c:v>
                </c:pt>
                <c:pt idx="64">
                  <c:v>174.8142152373491</c:v>
                </c:pt>
                <c:pt idx="65">
                  <c:v>178.8440589544064</c:v>
                </c:pt>
                <c:pt idx="66">
                  <c:v>182.853749988382</c:v>
                </c:pt>
                <c:pt idx="67">
                  <c:v>186.8417739074921</c:v>
                </c:pt>
                <c:pt idx="68">
                  <c:v>190.8066965360691</c:v>
                </c:pt>
                <c:pt idx="69">
                  <c:v>194.7471618362627</c:v>
                </c:pt>
                <c:pt idx="70">
                  <c:v>198.6618897684622</c:v>
                </c:pt>
                <c:pt idx="71">
                  <c:v>202.5496741382301</c:v>
                </c:pt>
                <c:pt idx="72">
                  <c:v>206.4093804368092</c:v>
                </c:pt>
                <c:pt idx="73">
                  <c:v>210.2399436815926</c:v>
                </c:pt>
                <c:pt idx="74">
                  <c:v>214.0403662623182</c:v>
                </c:pt>
                <c:pt idx="75">
                  <c:v>217.8097157981739</c:v>
                </c:pt>
                <c:pt idx="76">
                  <c:v>221.5471230104665</c:v>
                </c:pt>
                <c:pt idx="77">
                  <c:v>225.2517796150081</c:v>
                </c:pt>
                <c:pt idx="78">
                  <c:v>228.9229362379232</c:v>
                </c:pt>
                <c:pt idx="79">
                  <c:v>232.5599003581572</c:v>
                </c:pt>
                <c:pt idx="80">
                  <c:v>236.1620342795764</c:v>
                </c:pt>
                <c:pt idx="81">
                  <c:v>239.7287531351962</c:v>
                </c:pt>
                <c:pt idx="82">
                  <c:v>243.259522925744</c:v>
                </c:pt>
                <c:pt idx="83">
                  <c:v>246.7538585944578</c:v>
                </c:pt>
                <c:pt idx="84">
                  <c:v>250.2113221397499</c:v>
                </c:pt>
                <c:pt idx="85">
                  <c:v>253.6315207671045</c:v>
                </c:pt>
                <c:pt idx="86">
                  <c:v>257.01410508135</c:v>
                </c:pt>
                <c:pt idx="87">
                  <c:v>260.3587673202278</c:v>
                </c:pt>
                <c:pt idx="88">
                  <c:v>263.66523962999</c:v>
                </c:pt>
                <c:pt idx="89">
                  <c:v>266.9332923835769</c:v>
                </c:pt>
                <c:pt idx="90">
                  <c:v>270.1627325417645</c:v>
                </c:pt>
                <c:pt idx="91">
                  <c:v>273.3534020575243</c:v>
                </c:pt>
                <c:pt idx="92">
                  <c:v>276.5051763237063</c:v>
                </c:pt>
                <c:pt idx="93">
                  <c:v>279.617962664033</c:v>
                </c:pt>
                <c:pt idx="94">
                  <c:v>282.6916988672838</c:v>
                </c:pt>
                <c:pt idx="95">
                  <c:v>285.7263517644516</c:v>
                </c:pt>
                <c:pt idx="96">
                  <c:v>288.7219158485647</c:v>
                </c:pt>
                <c:pt idx="97">
                  <c:v>291.67841193679</c:v>
                </c:pt>
                <c:pt idx="98">
                  <c:v>294.5958858743588</c:v>
                </c:pt>
                <c:pt idx="99">
                  <c:v>297.4744072798006</c:v>
                </c:pt>
                <c:pt idx="100">
                  <c:v>300.3140683309087</c:v>
                </c:pt>
                <c:pt idx="101">
                  <c:v>303.1149825908202</c:v>
                </c:pt>
                <c:pt idx="102">
                  <c:v>305.877283873543</c:v>
                </c:pt>
                <c:pt idx="103">
                  <c:v>308.6011251482335</c:v>
                </c:pt>
                <c:pt idx="104">
                  <c:v>311.2866774814919</c:v>
                </c:pt>
                <c:pt idx="105">
                  <c:v>313.9341290169218</c:v>
                </c:pt>
                <c:pt idx="106">
                  <c:v>316.5436839911685</c:v>
                </c:pt>
                <c:pt idx="107">
                  <c:v>319.1155617856487</c:v>
                </c:pt>
                <c:pt idx="108">
                  <c:v>321.6499960131508</c:v>
                </c:pt>
                <c:pt idx="109">
                  <c:v>324.1472336384926</c:v>
                </c:pt>
                <c:pt idx="110">
                  <c:v>326.6075341324018</c:v>
                </c:pt>
                <c:pt idx="111">
                  <c:v>329.0311686577871</c:v>
                </c:pt>
                <c:pt idx="112">
                  <c:v>331.4184192875624</c:v>
                </c:pt>
                <c:pt idx="113">
                  <c:v>333.7695782531882</c:v>
                </c:pt>
                <c:pt idx="114">
                  <c:v>336.0849472230955</c:v>
                </c:pt>
                <c:pt idx="115">
                  <c:v>338.3648366101587</c:v>
                </c:pt>
                <c:pt idx="116">
                  <c:v>340.6095649073966</c:v>
                </c:pt>
                <c:pt idx="117">
                  <c:v>342.8194580510782</c:v>
                </c:pt>
                <c:pt idx="118">
                  <c:v>344.9948488104267</c:v>
                </c:pt>
                <c:pt idx="119">
                  <c:v>347.1360762031198</c:v>
                </c:pt>
                <c:pt idx="120">
                  <c:v>349.2434849357956</c:v>
                </c:pt>
                <c:pt idx="121">
                  <c:v>351.3174248687885</c:v>
                </c:pt>
                <c:pt idx="122">
                  <c:v>353.3582505043246</c:v>
                </c:pt>
                <c:pt idx="123">
                  <c:v>355.3663204974286</c:v>
                </c:pt>
                <c:pt idx="124">
                  <c:v>357.3419971887989</c:v>
                </c:pt>
                <c:pt idx="125">
                  <c:v>359.2856461589267</c:v>
                </c:pt>
                <c:pt idx="126">
                  <c:v>361.1976358027513</c:v>
                </c:pt>
                <c:pt idx="127">
                  <c:v>363.0783369241508</c:v>
                </c:pt>
                <c:pt idx="128">
                  <c:v>364.9281223495914</c:v>
                </c:pt>
                <c:pt idx="129">
                  <c:v>366.7473665602705</c:v>
                </c:pt>
                <c:pt idx="130">
                  <c:v>368.5364453421018</c:v>
                </c:pt>
                <c:pt idx="131">
                  <c:v>370.2957354529094</c:v>
                </c:pt>
                <c:pt idx="132">
                  <c:v>372.0256143062144</c:v>
                </c:pt>
                <c:pt idx="133">
                  <c:v>373.7264596710118</c:v>
                </c:pt>
                <c:pt idx="134">
                  <c:v>375.3986493869462</c:v>
                </c:pt>
                <c:pt idx="135">
                  <c:v>377.0425610943254</c:v>
                </c:pt>
                <c:pt idx="136">
                  <c:v>378.6585719784057</c:v>
                </c:pt>
                <c:pt idx="137">
                  <c:v>380.2470585274179</c:v>
                </c:pt>
                <c:pt idx="138">
                  <c:v>381.808396303805</c:v>
                </c:pt>
                <c:pt idx="139">
                  <c:v>383.3429597281632</c:v>
                </c:pt>
                <c:pt idx="140">
                  <c:v>384.8511218753942</c:v>
                </c:pt>
                <c:pt idx="141">
                  <c:v>386.3332542825856</c:v>
                </c:pt>
                <c:pt idx="142">
                  <c:v>387.7897267681586</c:v>
                </c:pt>
                <c:pt idx="143">
                  <c:v>389.2209072618285</c:v>
                </c:pt>
                <c:pt idx="144">
                  <c:v>390.6271616449448</c:v>
                </c:pt>
                <c:pt idx="145">
                  <c:v>392.0088536007868</c:v>
                </c:pt>
                <c:pt idx="146">
                  <c:v>393.3663444744038</c:v>
                </c:pt>
                <c:pt idx="147">
                  <c:v>394.6999931416073</c:v>
                </c:pt>
                <c:pt idx="148">
                  <c:v>396.0101558867307</c:v>
                </c:pt>
                <c:pt idx="149">
                  <c:v>397.2971862887837</c:v>
                </c:pt>
                <c:pt idx="150">
                  <c:v>398.561435115649</c:v>
                </c:pt>
                <c:pt idx="151">
                  <c:v>399.80325022597</c:v>
                </c:pt>
                <c:pt idx="152">
                  <c:v>401.0229764783991</c:v>
                </c:pt>
                <c:pt idx="153">
                  <c:v>402.2209556478826</c:v>
                </c:pt>
                <c:pt idx="154">
                  <c:v>403.3975263486715</c:v>
                </c:pt>
                <c:pt idx="155">
                  <c:v>404.5530239637585</c:v>
                </c:pt>
                <c:pt idx="156">
                  <c:v>405.6877805804494</c:v>
                </c:pt>
                <c:pt idx="157">
                  <c:v>406.8021249317933</c:v>
                </c:pt>
                <c:pt idx="158">
                  <c:v>407.8963823435983</c:v>
                </c:pt>
                <c:pt idx="159">
                  <c:v>408.9708746867776</c:v>
                </c:pt>
                <c:pt idx="160">
                  <c:v>410.025920334772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'COLE2 forest types-live tree C '!$J$12</c:f>
              <c:strCache>
                <c:ptCount val="1"/>
                <c:pt idx="0">
                  <c:v>Regenerated Redwood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'!$J$13:$J$173</c:f>
              <c:numCache>
                <c:formatCode>0</c:formatCode>
                <c:ptCount val="161"/>
                <c:pt idx="80">
                  <c:v>0.0</c:v>
                </c:pt>
                <c:pt idx="81">
                  <c:v>0.00844351655672491</c:v>
                </c:pt>
                <c:pt idx="82">
                  <c:v>0.064597641736584</c:v>
                </c:pt>
                <c:pt idx="83">
                  <c:v>0.208541001958672</c:v>
                </c:pt>
                <c:pt idx="84">
                  <c:v>0.472940337288389</c:v>
                </c:pt>
                <c:pt idx="85">
                  <c:v>0.883960241955507</c:v>
                </c:pt>
                <c:pt idx="86">
                  <c:v>1.462077562257417</c:v>
                </c:pt>
                <c:pt idx="87">
                  <c:v>2.222809686203994</c:v>
                </c:pt>
                <c:pt idx="88">
                  <c:v>3.177365103525253</c:v>
                </c:pt>
                <c:pt idx="89">
                  <c:v>4.333223836160214</c:v>
                </c:pt>
                <c:pt idx="90">
                  <c:v>5.694654631218499</c:v>
                </c:pt>
                <c:pt idx="91">
                  <c:v>7.263175164401019</c:v>
                </c:pt>
                <c:pt idx="92">
                  <c:v>9.037960916277372</c:v>
                </c:pt>
                <c:pt idx="93">
                  <c:v>11.01620785144359</c:v>
                </c:pt>
                <c:pt idx="94">
                  <c:v>13.19345354667895</c:v>
                </c:pt>
                <c:pt idx="95">
                  <c:v>15.56386097445845</c:v>
                </c:pt>
                <c:pt idx="96">
                  <c:v>18.12046874861289</c:v>
                </c:pt>
                <c:pt idx="97">
                  <c:v>20.85541127596393</c:v>
                </c:pt>
                <c:pt idx="98">
                  <c:v>23.76011192811779</c:v>
                </c:pt>
                <c:pt idx="99">
                  <c:v>26.82545204828796</c:v>
                </c:pt>
                <c:pt idx="100">
                  <c:v>30.04191833631017</c:v>
                </c:pt>
                <c:pt idx="101">
                  <c:v>33.3997309084267</c:v>
                </c:pt>
                <c:pt idx="102">
                  <c:v>36.88895410468923</c:v>
                </c:pt>
                <c:pt idx="103">
                  <c:v>40.49959191389507</c:v>
                </c:pt>
                <c:pt idx="104">
                  <c:v>44.22166970195305</c:v>
                </c:pt>
                <c:pt idx="105">
                  <c:v>48.04530376275743</c:v>
                </c:pt>
                <c:pt idx="106">
                  <c:v>51.96076005947118</c:v>
                </c:pt>
                <c:pt idx="107">
                  <c:v>55.9585033871649</c:v>
                </c:pt>
                <c:pt idx="108">
                  <c:v>60.02923806372342</c:v>
                </c:pt>
                <c:pt idx="109">
                  <c:v>64.16394114364802</c:v>
                </c:pt>
                <c:pt idx="110">
                  <c:v>68.35388904776671</c:v>
                </c:pt>
                <c:pt idx="111">
                  <c:v>72.59067840994553</c:v>
                </c:pt>
                <c:pt idx="112">
                  <c:v>76.86624185877737</c:v>
                </c:pt>
                <c:pt idx="113">
                  <c:v>81.17285937710423</c:v>
                </c:pt>
                <c:pt idx="114">
                  <c:v>85.50316581436144</c:v>
                </c:pt>
                <c:pt idx="115">
                  <c:v>89.85015506545443</c:v>
                </c:pt>
                <c:pt idx="116">
                  <c:v>94.2071813745717</c:v>
                </c:pt>
                <c:pt idx="117">
                  <c:v>98.56795817245454</c:v>
                </c:pt>
                <c:pt idx="118">
                  <c:v>102.9265548106693</c:v>
                </c:pt>
                <c:pt idx="119">
                  <c:v>107.2773915159146</c:v>
                </c:pt>
                <c:pt idx="120">
                  <c:v>111.6152328509134</c:v>
                </c:pt>
                <c:pt idx="121">
                  <c:v>115.9351799356201</c:v>
                </c:pt>
                <c:pt idx="122">
                  <c:v>120.232661652957</c:v>
                </c:pt>
                <c:pt idx="123">
                  <c:v>124.5034250367891</c:v>
                </c:pt>
                <c:pt idx="124">
                  <c:v>128.7435250160369</c:v>
                </c:pt>
                <c:pt idx="125">
                  <c:v>132.949313667492</c:v>
                </c:pt>
                <c:pt idx="126">
                  <c:v>137.1174291107627</c:v>
                </c:pt>
                <c:pt idx="127">
                  <c:v>141.2447841616651</c:v>
                </c:pt>
                <c:pt idx="128">
                  <c:v>145.3285548450577</c:v>
                </c:pt>
                <c:pt idx="129">
                  <c:v>149.3661688544494</c:v>
                </c:pt>
                <c:pt idx="130">
                  <c:v>153.3552940335092</c:v>
                </c:pt>
                <c:pt idx="131">
                  <c:v>157.293826943741</c:v>
                </c:pt>
                <c:pt idx="132">
                  <c:v>161.1798815729199</c:v>
                </c:pt>
                <c:pt idx="133">
                  <c:v>165.0117782303028</c:v>
                </c:pt>
                <c:pt idx="134">
                  <c:v>168.788032667011</c:v>
                </c:pt>
                <c:pt idx="135">
                  <c:v>172.5073454532496</c:v>
                </c:pt>
                <c:pt idx="136">
                  <c:v>176.1685916380785</c:v>
                </c:pt>
                <c:pt idx="137">
                  <c:v>179.7708107122071</c:v>
                </c:pt>
                <c:pt idx="138">
                  <c:v>183.3131968896784</c:v>
                </c:pt>
                <c:pt idx="139">
                  <c:v>186.7950897202715</c:v>
                </c:pt>
                <c:pt idx="140">
                  <c:v>190.215965040922</c:v>
                </c:pt>
                <c:pt idx="141">
                  <c:v>193.5754262713874</c:v>
                </c:pt>
                <c:pt idx="142">
                  <c:v>196.8731960567256</c:v>
                </c:pt>
                <c:pt idx="143">
                  <c:v>200.1091082568499</c:v>
                </c:pt>
                <c:pt idx="144">
                  <c:v>203.283100281452</c:v>
                </c:pt>
                <c:pt idx="145">
                  <c:v>206.395205766903</c:v>
                </c:pt>
                <c:pt idx="146">
                  <c:v>209.4455475903071</c:v>
                </c:pt>
                <c:pt idx="147">
                  <c:v>212.4343312146926</c:v>
                </c:pt>
                <c:pt idx="148">
                  <c:v>215.361838358322</c:v>
                </c:pt>
                <c:pt idx="149">
                  <c:v>218.2284209802867</c:v>
                </c:pt>
                <c:pt idx="150">
                  <c:v>221.034495573899</c:v>
                </c:pt>
                <c:pt idx="151">
                  <c:v>223.7805377588605</c:v>
                </c:pt>
                <c:pt idx="152">
                  <c:v>226.4670771628056</c:v>
                </c:pt>
                <c:pt idx="153">
                  <c:v>229.0946925825135</c:v>
                </c:pt>
                <c:pt idx="154">
                  <c:v>231.664007414894</c:v>
                </c:pt>
                <c:pt idx="155">
                  <c:v>234.1756853477327</c:v>
                </c:pt>
                <c:pt idx="156">
                  <c:v>236.63042630014</c:v>
                </c:pt>
                <c:pt idx="157">
                  <c:v>239.0289626026579</c:v>
                </c:pt>
                <c:pt idx="158">
                  <c:v>241.3720554070534</c:v>
                </c:pt>
                <c:pt idx="159">
                  <c:v>243.660491315934</c:v>
                </c:pt>
                <c:pt idx="160">
                  <c:v>245.8950792224735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7058808"/>
        <c:axId val="-2087053288"/>
      </c:lineChart>
      <c:catAx>
        <c:axId val="-2087058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8705328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-20870532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Live tree biomass in tonnes of carbon per hectare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-20870588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'Uneven Mixed Conifer'!$CJ$77</c:f>
              <c:strCache>
                <c:ptCount val="1"/>
                <c:pt idx="0">
                  <c:v>Logging slash left </c:v>
                </c:pt>
              </c:strCache>
            </c:strRef>
          </c:tx>
          <c:marker>
            <c:symbol val="none"/>
          </c:marker>
          <c:val>
            <c:numRef>
              <c:f>'Uneven Mixed Conifer'!$CJ$78:$CJ$318</c:f>
              <c:numCache>
                <c:formatCode>General</c:formatCode>
                <c:ptCount val="241"/>
                <c:pt idx="40" formatCode="0">
                  <c:v>2.020207719085605</c:v>
                </c:pt>
                <c:pt idx="41" formatCode="0">
                  <c:v>1.951392027839185</c:v>
                </c:pt>
                <c:pt idx="42" formatCode="0">
                  <c:v>1.884920451664193</c:v>
                </c:pt>
                <c:pt idx="43" formatCode="0">
                  <c:v>1.820713141395872</c:v>
                </c:pt>
                <c:pt idx="44" formatCode="0">
                  <c:v>1.758692967825152</c:v>
                </c:pt>
                <c:pt idx="45" formatCode="0">
                  <c:v>1.698785429046968</c:v>
                </c:pt>
                <c:pt idx="46" formatCode="0">
                  <c:v>1.640918560964647</c:v>
                </c:pt>
                <c:pt idx="47" formatCode="0">
                  <c:v>1.585022850842832</c:v>
                </c:pt>
                <c:pt idx="48" formatCode="0">
                  <c:v>1.531031153805118</c:v>
                </c:pt>
                <c:pt idx="49" formatCode="0">
                  <c:v>1.478878612176087</c:v>
                </c:pt>
                <c:pt idx="50" formatCode="0">
                  <c:v>1.42850257757084</c:v>
                </c:pt>
                <c:pt idx="51" formatCode="0">
                  <c:v>1.379842535638456</c:v>
                </c:pt>
                <c:pt idx="52" formatCode="0">
                  <c:v>1.33284003336896</c:v>
                </c:pt>
                <c:pt idx="53" formatCode="0">
                  <c:v>1.287438608876482</c:v>
                </c:pt>
                <c:pt idx="54" formatCode="0">
                  <c:v>1.243583723574259</c:v>
                </c:pt>
                <c:pt idx="55" formatCode="0">
                  <c:v>1.20122269666001</c:v>
                </c:pt>
                <c:pt idx="56" formatCode="0">
                  <c:v>1.160304641832974</c:v>
                </c:pt>
                <c:pt idx="57" formatCode="0">
                  <c:v>1.1207804061666</c:v>
                </c:pt>
                <c:pt idx="58" formatCode="0">
                  <c:v>1.082602511063463</c:v>
                </c:pt>
                <c:pt idx="59" formatCode="0">
                  <c:v>1.045725095221461</c:v>
                </c:pt>
                <c:pt idx="60" formatCode="0">
                  <c:v>1.010103859542803</c:v>
                </c:pt>
                <c:pt idx="61" formatCode="0">
                  <c:v>0.975696013919593</c:v>
                </c:pt>
                <c:pt idx="62" formatCode="0">
                  <c:v>0.942460225832096</c:v>
                </c:pt>
                <c:pt idx="63" formatCode="0">
                  <c:v>0.910356570697936</c:v>
                </c:pt>
                <c:pt idx="64" formatCode="0">
                  <c:v>0.879346483912576</c:v>
                </c:pt>
                <c:pt idx="65" formatCode="0">
                  <c:v>0.849392714523484</c:v>
                </c:pt>
                <c:pt idx="66" formatCode="0">
                  <c:v>0.820459280482324</c:v>
                </c:pt>
                <c:pt idx="67" formatCode="0">
                  <c:v>0.792511425421416</c:v>
                </c:pt>
                <c:pt idx="68" formatCode="0">
                  <c:v>0.765515576902559</c:v>
                </c:pt>
                <c:pt idx="69" formatCode="0">
                  <c:v>0.739439306088043</c:v>
                </c:pt>
                <c:pt idx="70" formatCode="0">
                  <c:v>0.71425128878542</c:v>
                </c:pt>
                <c:pt idx="71" formatCode="0">
                  <c:v>0.689921267819228</c:v>
                </c:pt>
                <c:pt idx="72" formatCode="0">
                  <c:v>0.66642001668448</c:v>
                </c:pt>
                <c:pt idx="73" formatCode="0">
                  <c:v>0.643719304438241</c:v>
                </c:pt>
                <c:pt idx="74" formatCode="0">
                  <c:v>0.62179186178713</c:v>
                </c:pt>
                <c:pt idx="75" formatCode="0">
                  <c:v>0.600611348330005</c:v>
                </c:pt>
                <c:pt idx="76" formatCode="0">
                  <c:v>0.580152320916487</c:v>
                </c:pt>
                <c:pt idx="77" formatCode="0">
                  <c:v>0.5603902030833</c:v>
                </c:pt>
                <c:pt idx="78" formatCode="0">
                  <c:v>0.541301255531732</c:v>
                </c:pt>
                <c:pt idx="79" formatCode="0">
                  <c:v>0.522862547610731</c:v>
                </c:pt>
                <c:pt idx="80" formatCode="0">
                  <c:v>3.95139877492918</c:v>
                </c:pt>
                <c:pt idx="81" formatCode="0">
                  <c:v>3.816799626773224</c:v>
                </c:pt>
                <c:pt idx="82" formatCode="0">
                  <c:v>3.686785419727049</c:v>
                </c:pt>
                <c:pt idx="83" formatCode="0">
                  <c:v>3.561199973864791</c:v>
                </c:pt>
                <c:pt idx="84" formatCode="0">
                  <c:v>3.439892429322212</c:v>
                </c:pt>
                <c:pt idx="85" formatCode="0">
                  <c:v>3.322717065075867</c:v>
                </c:pt>
                <c:pt idx="86" formatCode="0">
                  <c:v>3.20953312389532</c:v>
                </c:pt>
                <c:pt idx="87" formatCode="0">
                  <c:v>3.100204643258136</c:v>
                </c:pt>
                <c:pt idx="88" formatCode="0">
                  <c:v>2.994600292024525</c:v>
                </c:pt>
                <c:pt idx="89" formatCode="0">
                  <c:v>2.89259321267544</c:v>
                </c:pt>
                <c:pt idx="90" formatCode="0">
                  <c:v>2.79406086892464</c:v>
                </c:pt>
                <c:pt idx="91" formatCode="0">
                  <c:v>2.69888489852163</c:v>
                </c:pt>
                <c:pt idx="92" formatCode="0">
                  <c:v>2.606950971068687</c:v>
                </c:pt>
                <c:pt idx="93" formatCode="0">
                  <c:v>2.51814865068115</c:v>
                </c:pt>
                <c:pt idx="94" formatCode="0">
                  <c:v>2.432371263326003</c:v>
                </c:pt>
                <c:pt idx="95" formatCode="0">
                  <c:v>2.349515768679408</c:v>
                </c:pt>
                <c:pt idx="96" formatCode="0">
                  <c:v>2.269482636349224</c:v>
                </c:pt>
                <c:pt idx="97" formatCode="0">
                  <c:v>2.19217572631385</c:v>
                </c:pt>
                <c:pt idx="98" formatCode="0">
                  <c:v>2.117502173433757</c:v>
                </c:pt>
                <c:pt idx="99" formatCode="0">
                  <c:v>2.045372275896985</c:v>
                </c:pt>
                <c:pt idx="100" formatCode="0">
                  <c:v>5.422046232622368</c:v>
                </c:pt>
                <c:pt idx="101" formatCode="0">
                  <c:v>5.23735143320004</c:v>
                </c:pt>
                <c:pt idx="102" formatCode="0">
                  <c:v>5.058948016674524</c:v>
                </c:pt>
                <c:pt idx="103" formatCode="0">
                  <c:v>4.886621675448219</c:v>
                </c:pt>
                <c:pt idx="104" formatCode="0">
                  <c:v>4.720165402027031</c:v>
                </c:pt>
                <c:pt idx="105" formatCode="0">
                  <c:v>4.559379240352058</c:v>
                </c:pt>
                <c:pt idx="106" formatCode="0">
                  <c:v>4.404070045601817</c:v>
                </c:pt>
                <c:pt idx="107" formatCode="0">
                  <c:v>4.254051252176497</c:v>
                </c:pt>
                <c:pt idx="108" formatCode="0">
                  <c:v>4.109142649585508</c:v>
                </c:pt>
                <c:pt idx="109" formatCode="0">
                  <c:v>3.969170165969139</c:v>
                </c:pt>
                <c:pt idx="110" formatCode="0">
                  <c:v>3.83396565899425</c:v>
                </c:pt>
                <c:pt idx="111" formatCode="0">
                  <c:v>3.703366713872832</c:v>
                </c:pt>
                <c:pt idx="112" formatCode="0">
                  <c:v>3.577216448260792</c:v>
                </c:pt>
                <c:pt idx="113" formatCode="0">
                  <c:v>3.455363323802604</c:v>
                </c:pt>
                <c:pt idx="114" formatCode="0">
                  <c:v>3.33766096409544</c:v>
                </c:pt>
                <c:pt idx="115" formatCode="0">
                  <c:v>3.22396797885411</c:v>
                </c:pt>
                <c:pt idx="116" formatCode="0">
                  <c:v>3.114147794065593</c:v>
                </c:pt>
                <c:pt idx="117" formatCode="0">
                  <c:v>3.008068487929124</c:v>
                </c:pt>
                <c:pt idx="118" formatCode="0">
                  <c:v>2.905602632384769</c:v>
                </c:pt>
                <c:pt idx="119" formatCode="0">
                  <c:v>2.806627140040113</c:v>
                </c:pt>
                <c:pt idx="120" formatCode="0">
                  <c:v>6.157369961468962</c:v>
                </c:pt>
                <c:pt idx="121" formatCode="0">
                  <c:v>5.947627336413449</c:v>
                </c:pt>
                <c:pt idx="122" formatCode="0">
                  <c:v>5.745029315148262</c:v>
                </c:pt>
                <c:pt idx="123" formatCode="0">
                  <c:v>5.549332526239933</c:v>
                </c:pt>
                <c:pt idx="124" formatCode="0">
                  <c:v>5.36030188837944</c:v>
                </c:pt>
                <c:pt idx="125" formatCode="0">
                  <c:v>5.177710327990154</c:v>
                </c:pt>
                <c:pt idx="126" formatCode="0">
                  <c:v>5.001338506455067</c:v>
                </c:pt>
                <c:pt idx="127" formatCode="0">
                  <c:v>4.830974556635677</c:v>
                </c:pt>
                <c:pt idx="128" formatCode="0">
                  <c:v>4.666413828365999</c:v>
                </c:pt>
                <c:pt idx="129" formatCode="0">
                  <c:v>4.507458642615988</c:v>
                </c:pt>
                <c:pt idx="130" formatCode="0">
                  <c:v>4.353918054029055</c:v>
                </c:pt>
                <c:pt idx="131" formatCode="0">
                  <c:v>4.205607621548433</c:v>
                </c:pt>
                <c:pt idx="132" formatCode="0">
                  <c:v>4.062349186856844</c:v>
                </c:pt>
                <c:pt idx="133" formatCode="0">
                  <c:v>3.923970660363331</c:v>
                </c:pt>
                <c:pt idx="134" formatCode="0">
                  <c:v>3.790305814480158</c:v>
                </c:pt>
                <c:pt idx="135" formatCode="0">
                  <c:v>3.661194083941461</c:v>
                </c:pt>
                <c:pt idx="136" formatCode="0">
                  <c:v>3.536480372923777</c:v>
                </c:pt>
                <c:pt idx="137" formatCode="0">
                  <c:v>3.416014868736762</c:v>
                </c:pt>
                <c:pt idx="138" formatCode="0">
                  <c:v>3.299652861860276</c:v>
                </c:pt>
                <c:pt idx="139" formatCode="0">
                  <c:v>3.187254572111675</c:v>
                </c:pt>
                <c:pt idx="140" formatCode="0">
                  <c:v>6.52503182589226</c:v>
                </c:pt>
                <c:pt idx="141" formatCode="0">
                  <c:v>6.302765288020153</c:v>
                </c:pt>
                <c:pt idx="142" formatCode="0">
                  <c:v>6.088069964385131</c:v>
                </c:pt>
                <c:pt idx="143" formatCode="0">
                  <c:v>5.88068795163579</c:v>
                </c:pt>
                <c:pt idx="144" formatCode="0">
                  <c:v>5.680370131555644</c:v>
                </c:pt>
                <c:pt idx="145" formatCode="0">
                  <c:v>5.486875871809201</c:v>
                </c:pt>
                <c:pt idx="146" formatCode="0">
                  <c:v>5.299972736881691</c:v>
                </c:pt>
                <c:pt idx="147" formatCode="0">
                  <c:v>5.119436208865267</c:v>
                </c:pt>
                <c:pt idx="148" formatCode="0">
                  <c:v>4.945049417756244</c:v>
                </c:pt>
                <c:pt idx="149" formatCode="0">
                  <c:v>4.776602880939412</c:v>
                </c:pt>
                <c:pt idx="150" formatCode="0">
                  <c:v>4.613894251546458</c:v>
                </c:pt>
                <c:pt idx="151" formatCode="0">
                  <c:v>4.456728075386232</c:v>
                </c:pt>
                <c:pt idx="152" formatCode="0">
                  <c:v>4.304915556154869</c:v>
                </c:pt>
                <c:pt idx="153" formatCode="0">
                  <c:v>4.158274328643695</c:v>
                </c:pt>
                <c:pt idx="154" formatCode="0">
                  <c:v>4.016628239672517</c:v>
                </c:pt>
                <c:pt idx="155" formatCode="0">
                  <c:v>3.879807136485136</c:v>
                </c:pt>
                <c:pt idx="156" formatCode="0">
                  <c:v>3.74764666235287</c:v>
                </c:pt>
                <c:pt idx="157" formatCode="0">
                  <c:v>3.619988059140581</c:v>
                </c:pt>
                <c:pt idx="158" formatCode="0">
                  <c:v>3.496677976598029</c:v>
                </c:pt>
                <c:pt idx="159" formatCode="0">
                  <c:v>3.377568288147457</c:v>
                </c:pt>
                <c:pt idx="160" formatCode="0">
                  <c:v>6.708862758103908</c:v>
                </c:pt>
                <c:pt idx="161" formatCode="0">
                  <c:v>6.449843763388517</c:v>
                </c:pt>
                <c:pt idx="162" formatCode="0">
                  <c:v>6.230138406946313</c:v>
                </c:pt>
                <c:pt idx="163" formatCode="0">
                  <c:v>6.017917021499407</c:v>
                </c:pt>
                <c:pt idx="164" formatCode="0">
                  <c:v>5.812924675521479</c:v>
                </c:pt>
                <c:pt idx="165" formatCode="0">
                  <c:v>5.614915121389866</c:v>
                </c:pt>
                <c:pt idx="166" formatCode="0">
                  <c:v>5.42365049957993</c:v>
                </c:pt>
                <c:pt idx="167" formatCode="0">
                  <c:v>5.238901052935643</c:v>
                </c:pt>
                <c:pt idx="168" formatCode="0">
                  <c:v>5.060444850673163</c:v>
                </c:pt>
                <c:pt idx="169" formatCode="0">
                  <c:v>4.888067521785873</c:v>
                </c:pt>
                <c:pt idx="170" formatCode="0">
                  <c:v>4.721561997530614</c:v>
                </c:pt>
                <c:pt idx="171" formatCode="0">
                  <c:v>4.560728262685782</c:v>
                </c:pt>
                <c:pt idx="172" formatCode="0">
                  <c:v>4.405373115282491</c:v>
                </c:pt>
                <c:pt idx="173" formatCode="0">
                  <c:v>4.25530993452018</c:v>
                </c:pt>
                <c:pt idx="174" formatCode="0">
                  <c:v>4.110358456587849</c:v>
                </c:pt>
                <c:pt idx="175" formatCode="0">
                  <c:v>3.970344558121661</c:v>
                </c:pt>
                <c:pt idx="176" formatCode="0">
                  <c:v>3.835100047038775</c:v>
                </c:pt>
                <c:pt idx="177" formatCode="0">
                  <c:v>3.704462460496137</c:v>
                </c:pt>
                <c:pt idx="178" formatCode="0">
                  <c:v>3.57827486973154</c:v>
                </c:pt>
                <c:pt idx="179" formatCode="0">
                  <c:v>3.456385691552513</c:v>
                </c:pt>
                <c:pt idx="180" formatCode="0">
                  <c:v>6.784995351404376</c:v>
                </c:pt>
                <c:pt idx="181" formatCode="0">
                  <c:v>6.553873501507686</c:v>
                </c:pt>
                <c:pt idx="182" formatCode="0">
                  <c:v>6.330624510284156</c:v>
                </c:pt>
                <c:pt idx="183" formatCode="0">
                  <c:v>6.114980199265527</c:v>
                </c:pt>
                <c:pt idx="184" formatCode="0">
                  <c:v>5.906681525126664</c:v>
                </c:pt>
                <c:pt idx="185" formatCode="0">
                  <c:v>5.705478268509058</c:v>
                </c:pt>
                <c:pt idx="186" formatCode="0">
                  <c:v>5.511128733444123</c:v>
                </c:pt>
                <c:pt idx="187" formatCode="0">
                  <c:v>5.323399457015251</c:v>
                </c:pt>
                <c:pt idx="188" formatCode="0">
                  <c:v>5.142064928909827</c:v>
                </c:pt>
                <c:pt idx="189" formatCode="0">
                  <c:v>4.966907320524355</c:v>
                </c:pt>
                <c:pt idx="190" formatCode="0">
                  <c:v>4.797716223297237</c:v>
                </c:pt>
                <c:pt idx="191" formatCode="0">
                  <c:v>4.634288395954907</c:v>
                </c:pt>
                <c:pt idx="192" formatCode="0">
                  <c:v>4.476427520367694</c:v>
                </c:pt>
                <c:pt idx="193" formatCode="0">
                  <c:v>4.32394396572212</c:v>
                </c:pt>
                <c:pt idx="194" formatCode="0">
                  <c:v>4.176654560726362</c:v>
                </c:pt>
                <c:pt idx="195" formatCode="0">
                  <c:v>4.034382373575236</c:v>
                </c:pt>
                <c:pt idx="196" formatCode="0">
                  <c:v>3.896956499410368</c:v>
                </c:pt>
                <c:pt idx="197" formatCode="0">
                  <c:v>3.764211855020268</c:v>
                </c:pt>
                <c:pt idx="198" formatCode="0">
                  <c:v>3.635988980533661</c:v>
                </c:pt>
                <c:pt idx="199" formatCode="0">
                  <c:v>3.512133847867876</c:v>
                </c:pt>
                <c:pt idx="200" formatCode="0">
                  <c:v>6.838844520859967</c:v>
                </c:pt>
                <c:pt idx="201" formatCode="0">
                  <c:v>6.605888370567271</c:v>
                </c:pt>
                <c:pt idx="202" formatCode="0">
                  <c:v>6.380867561953079</c:v>
                </c:pt>
                <c:pt idx="203" formatCode="0">
                  <c:v>6.163511788148587</c:v>
                </c:pt>
                <c:pt idx="204" formatCode="0">
                  <c:v>5.953559949929257</c:v>
                </c:pt>
                <c:pt idx="205" formatCode="0">
                  <c:v>5.750759842068653</c:v>
                </c:pt>
                <c:pt idx="206" formatCode="0">
                  <c:v>5.55486785037622</c:v>
                </c:pt>
                <c:pt idx="207" formatCode="0">
                  <c:v>5.365648659055054</c:v>
                </c:pt>
                <c:pt idx="208" formatCode="0">
                  <c:v>5.182874968028159</c:v>
                </c:pt>
                <c:pt idx="209" formatCode="0">
                  <c:v>5.006327219893596</c:v>
                </c:pt>
                <c:pt idx="210" formatCode="0">
                  <c:v>4.835793336180549</c:v>
                </c:pt>
                <c:pt idx="211" formatCode="0">
                  <c:v>4.67106846258947</c:v>
                </c:pt>
                <c:pt idx="212" formatCode="0">
                  <c:v>4.511954722910295</c:v>
                </c:pt>
                <c:pt idx="213" formatCode="0">
                  <c:v>4.358260981323088</c:v>
                </c:pt>
                <c:pt idx="214" formatCode="0">
                  <c:v>4.20980261279562</c:v>
                </c:pt>
                <c:pt idx="215" formatCode="0">
                  <c:v>4.066401281302024</c:v>
                </c:pt>
                <c:pt idx="216" formatCode="0">
                  <c:v>3.927884725596165</c:v>
                </c:pt>
                <c:pt idx="217" formatCode="0">
                  <c:v>3.794086552282333</c:v>
                </c:pt>
                <c:pt idx="218" formatCode="0">
                  <c:v>3.664846035934722</c:v>
                </c:pt>
                <c:pt idx="219" formatCode="0">
                  <c:v>3.540007926025558</c:v>
                </c:pt>
                <c:pt idx="220" formatCode="0">
                  <c:v>6.865769105587761</c:v>
                </c:pt>
                <c:pt idx="221" formatCode="0">
                  <c:v>6.631895805097064</c:v>
                </c:pt>
                <c:pt idx="222" formatCode="0">
                  <c:v>6.405989087787541</c:v>
                </c:pt>
                <c:pt idx="223" formatCode="0">
                  <c:v>6.187777582590117</c:v>
                </c:pt>
                <c:pt idx="224" formatCode="0">
                  <c:v>5.976999162330553</c:v>
                </c:pt>
                <c:pt idx="225" formatCode="0">
                  <c:v>5.773400628848451</c:v>
                </c:pt>
                <c:pt idx="226" formatCode="0">
                  <c:v>5.576737408842268</c:v>
                </c:pt>
                <c:pt idx="227" formatCode="0">
                  <c:v>5.386773260074955</c:v>
                </c:pt>
                <c:pt idx="228" formatCode="0">
                  <c:v>5.203279987587325</c:v>
                </c:pt>
                <c:pt idx="229" formatCode="0">
                  <c:v>5.026037169578217</c:v>
                </c:pt>
                <c:pt idx="230" formatCode="0">
                  <c:v>4.854831892622204</c:v>
                </c:pt>
                <c:pt idx="231" formatCode="0">
                  <c:v>4.689458495906752</c:v>
                </c:pt>
                <c:pt idx="232" formatCode="0">
                  <c:v>4.529718324181595</c:v>
                </c:pt>
                <c:pt idx="233" formatCode="0">
                  <c:v>4.375419489123573</c:v>
                </c:pt>
                <c:pt idx="234" formatCode="0">
                  <c:v>4.226376638830248</c:v>
                </c:pt>
                <c:pt idx="235" formatCode="0">
                  <c:v>4.082410735165418</c:v>
                </c:pt>
                <c:pt idx="236" formatCode="0">
                  <c:v>3.943348838689063</c:v>
                </c:pt>
                <c:pt idx="237" formatCode="0">
                  <c:v>3.809023900913367</c:v>
                </c:pt>
                <c:pt idx="238" formatCode="0">
                  <c:v>3.679274563635252</c:v>
                </c:pt>
                <c:pt idx="239" formatCode="0">
                  <c:v>3.553944965104399</c:v>
                </c:pt>
                <c:pt idx="240" formatCode="0">
                  <c:v>3.432884552793881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'Uneven Mixed Conifer'!$CK$77</c:f>
              <c:strCache>
                <c:ptCount val="1"/>
                <c:pt idx="0">
                  <c:v>Regenerated forest </c:v>
                </c:pt>
              </c:strCache>
            </c:strRef>
          </c:tx>
          <c:marker>
            <c:symbol val="none"/>
          </c:marker>
          <c:val>
            <c:numRef>
              <c:f>'Uneven Mixed Conifer'!$CK$78:$CK$318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50.95749079930418</c:v>
                </c:pt>
                <c:pt idx="81" formatCode="0">
                  <c:v>52.68066422188307</c:v>
                </c:pt>
                <c:pt idx="82" formatCode="0">
                  <c:v>54.40383764446196</c:v>
                </c:pt>
                <c:pt idx="83" formatCode="0">
                  <c:v>56.12701106704085</c:v>
                </c:pt>
                <c:pt idx="84" formatCode="0">
                  <c:v>57.85018448961974</c:v>
                </c:pt>
                <c:pt idx="85" formatCode="0">
                  <c:v>59.57335791219862</c:v>
                </c:pt>
                <c:pt idx="86" formatCode="0">
                  <c:v>61.2965313347775</c:v>
                </c:pt>
                <c:pt idx="87" formatCode="0">
                  <c:v>63.0197047573564</c:v>
                </c:pt>
                <c:pt idx="88" formatCode="0">
                  <c:v>64.74287817993529</c:v>
                </c:pt>
                <c:pt idx="89" formatCode="0">
                  <c:v>66.46605160251418</c:v>
                </c:pt>
                <c:pt idx="90" formatCode="0">
                  <c:v>68.18922502509308</c:v>
                </c:pt>
                <c:pt idx="91" formatCode="0">
                  <c:v>69.91239844767198</c:v>
                </c:pt>
                <c:pt idx="92" formatCode="0">
                  <c:v>71.63557187025087</c:v>
                </c:pt>
                <c:pt idx="93" formatCode="0">
                  <c:v>73.35874529282977</c:v>
                </c:pt>
                <c:pt idx="94" formatCode="0">
                  <c:v>75.08191871540866</c:v>
                </c:pt>
                <c:pt idx="95" formatCode="0">
                  <c:v>76.80509213798756</c:v>
                </c:pt>
                <c:pt idx="96" formatCode="0">
                  <c:v>78.52826556056645</c:v>
                </c:pt>
                <c:pt idx="97" formatCode="0">
                  <c:v>80.25143898314534</c:v>
                </c:pt>
                <c:pt idx="98" formatCode="0">
                  <c:v>81.97461240572424</c:v>
                </c:pt>
                <c:pt idx="99" formatCode="0">
                  <c:v>83.69778582830314</c:v>
                </c:pt>
                <c:pt idx="100" formatCode="0">
                  <c:v>50.95749079930418</c:v>
                </c:pt>
                <c:pt idx="101" formatCode="0">
                  <c:v>52.68066422188307</c:v>
                </c:pt>
                <c:pt idx="102" formatCode="0">
                  <c:v>54.40383764446196</c:v>
                </c:pt>
                <c:pt idx="103" formatCode="0">
                  <c:v>56.12701106704085</c:v>
                </c:pt>
                <c:pt idx="104" formatCode="0">
                  <c:v>57.85018448961974</c:v>
                </c:pt>
                <c:pt idx="105" formatCode="0">
                  <c:v>59.57335791219862</c:v>
                </c:pt>
                <c:pt idx="106" formatCode="0">
                  <c:v>61.2965313347775</c:v>
                </c:pt>
                <c:pt idx="107" formatCode="0">
                  <c:v>63.0197047573564</c:v>
                </c:pt>
                <c:pt idx="108" formatCode="0">
                  <c:v>64.74287817993529</c:v>
                </c:pt>
                <c:pt idx="109" formatCode="0">
                  <c:v>66.46605160251418</c:v>
                </c:pt>
                <c:pt idx="110" formatCode="0">
                  <c:v>68.18922502509308</c:v>
                </c:pt>
                <c:pt idx="111" formatCode="0">
                  <c:v>69.91239844767198</c:v>
                </c:pt>
                <c:pt idx="112" formatCode="0">
                  <c:v>71.63557187025087</c:v>
                </c:pt>
                <c:pt idx="113" formatCode="0">
                  <c:v>73.35874529282977</c:v>
                </c:pt>
                <c:pt idx="114" formatCode="0">
                  <c:v>75.08191871540866</c:v>
                </c:pt>
                <c:pt idx="115" formatCode="0">
                  <c:v>76.80509213798756</c:v>
                </c:pt>
                <c:pt idx="116" formatCode="0">
                  <c:v>78.52826556056645</c:v>
                </c:pt>
                <c:pt idx="117" formatCode="0">
                  <c:v>80.25143898314534</c:v>
                </c:pt>
                <c:pt idx="118" formatCode="0">
                  <c:v>81.97461240572424</c:v>
                </c:pt>
                <c:pt idx="119" formatCode="0">
                  <c:v>83.69778582830314</c:v>
                </c:pt>
                <c:pt idx="120" formatCode="0">
                  <c:v>50.95749079930418</c:v>
                </c:pt>
                <c:pt idx="121" formatCode="0">
                  <c:v>52.68066422188307</c:v>
                </c:pt>
                <c:pt idx="122" formatCode="0">
                  <c:v>54.40383764446196</c:v>
                </c:pt>
                <c:pt idx="123" formatCode="0">
                  <c:v>56.12701106704085</c:v>
                </c:pt>
                <c:pt idx="124" formatCode="0">
                  <c:v>57.85018448961974</c:v>
                </c:pt>
                <c:pt idx="125" formatCode="0">
                  <c:v>59.57335791219862</c:v>
                </c:pt>
                <c:pt idx="126" formatCode="0">
                  <c:v>61.2965313347775</c:v>
                </c:pt>
                <c:pt idx="127" formatCode="0">
                  <c:v>63.0197047573564</c:v>
                </c:pt>
                <c:pt idx="128" formatCode="0">
                  <c:v>64.74287817993529</c:v>
                </c:pt>
                <c:pt idx="129" formatCode="0">
                  <c:v>66.46605160251418</c:v>
                </c:pt>
                <c:pt idx="130" formatCode="0">
                  <c:v>68.18922502509308</c:v>
                </c:pt>
                <c:pt idx="131" formatCode="0">
                  <c:v>69.91239844767198</c:v>
                </c:pt>
                <c:pt idx="132" formatCode="0">
                  <c:v>71.63557187025087</c:v>
                </c:pt>
                <c:pt idx="133" formatCode="0">
                  <c:v>73.35874529282977</c:v>
                </c:pt>
                <c:pt idx="134" formatCode="0">
                  <c:v>75.08191871540866</c:v>
                </c:pt>
                <c:pt idx="135" formatCode="0">
                  <c:v>76.80509213798756</c:v>
                </c:pt>
                <c:pt idx="136" formatCode="0">
                  <c:v>78.52826556056645</c:v>
                </c:pt>
                <c:pt idx="137" formatCode="0">
                  <c:v>80.25143898314534</c:v>
                </c:pt>
                <c:pt idx="138" formatCode="0">
                  <c:v>81.97461240572424</c:v>
                </c:pt>
                <c:pt idx="139" formatCode="0">
                  <c:v>83.69778582830314</c:v>
                </c:pt>
                <c:pt idx="140" formatCode="0">
                  <c:v>50.95749079930418</c:v>
                </c:pt>
                <c:pt idx="141" formatCode="0">
                  <c:v>52.68066422188307</c:v>
                </c:pt>
                <c:pt idx="142" formatCode="0">
                  <c:v>54.40383764446196</c:v>
                </c:pt>
                <c:pt idx="143" formatCode="0">
                  <c:v>56.12701106704085</c:v>
                </c:pt>
                <c:pt idx="144" formatCode="0">
                  <c:v>57.85018448961974</c:v>
                </c:pt>
                <c:pt idx="145" formatCode="0">
                  <c:v>59.57335791219862</c:v>
                </c:pt>
                <c:pt idx="146" formatCode="0">
                  <c:v>61.2965313347775</c:v>
                </c:pt>
                <c:pt idx="147" formatCode="0">
                  <c:v>63.0197047573564</c:v>
                </c:pt>
                <c:pt idx="148" formatCode="0">
                  <c:v>64.74287817993529</c:v>
                </c:pt>
                <c:pt idx="149" formatCode="0">
                  <c:v>66.46605160251418</c:v>
                </c:pt>
                <c:pt idx="150" formatCode="0">
                  <c:v>68.18922502509308</c:v>
                </c:pt>
                <c:pt idx="151" formatCode="0">
                  <c:v>69.91239844767198</c:v>
                </c:pt>
                <c:pt idx="152" formatCode="0">
                  <c:v>71.63557187025087</c:v>
                </c:pt>
                <c:pt idx="153" formatCode="0">
                  <c:v>73.35874529282977</c:v>
                </c:pt>
                <c:pt idx="154" formatCode="0">
                  <c:v>75.08191871540866</c:v>
                </c:pt>
                <c:pt idx="155" formatCode="0">
                  <c:v>76.80509213798756</c:v>
                </c:pt>
                <c:pt idx="156" formatCode="0">
                  <c:v>78.52826556056645</c:v>
                </c:pt>
                <c:pt idx="157" formatCode="0">
                  <c:v>80.25143898314534</c:v>
                </c:pt>
                <c:pt idx="158" formatCode="0">
                  <c:v>81.97461240572424</c:v>
                </c:pt>
                <c:pt idx="159" formatCode="0">
                  <c:v>83.69778582830314</c:v>
                </c:pt>
                <c:pt idx="160" formatCode="0">
                  <c:v>50.95749079930418</c:v>
                </c:pt>
                <c:pt idx="161" formatCode="0">
                  <c:v>52.68066422188307</c:v>
                </c:pt>
                <c:pt idx="162" formatCode="0">
                  <c:v>54.40383764446196</c:v>
                </c:pt>
                <c:pt idx="163" formatCode="0">
                  <c:v>56.12701106704085</c:v>
                </c:pt>
                <c:pt idx="164" formatCode="0">
                  <c:v>57.85018448961974</c:v>
                </c:pt>
                <c:pt idx="165" formatCode="0">
                  <c:v>59.57335791219862</c:v>
                </c:pt>
                <c:pt idx="166" formatCode="0">
                  <c:v>61.2965313347775</c:v>
                </c:pt>
                <c:pt idx="167" formatCode="0">
                  <c:v>63.0197047573564</c:v>
                </c:pt>
                <c:pt idx="168" formatCode="0">
                  <c:v>64.74287817993529</c:v>
                </c:pt>
                <c:pt idx="169" formatCode="0">
                  <c:v>66.46605160251418</c:v>
                </c:pt>
                <c:pt idx="170" formatCode="0">
                  <c:v>68.18922502509308</c:v>
                </c:pt>
                <c:pt idx="171" formatCode="0">
                  <c:v>69.91239844767198</c:v>
                </c:pt>
                <c:pt idx="172" formatCode="0">
                  <c:v>71.63557187025087</c:v>
                </c:pt>
                <c:pt idx="173" formatCode="0">
                  <c:v>73.35874529282977</c:v>
                </c:pt>
                <c:pt idx="174" formatCode="0">
                  <c:v>75.08191871540866</c:v>
                </c:pt>
                <c:pt idx="175" formatCode="0">
                  <c:v>76.80509213798756</c:v>
                </c:pt>
                <c:pt idx="176" formatCode="0">
                  <c:v>78.52826556056645</c:v>
                </c:pt>
                <c:pt idx="177" formatCode="0">
                  <c:v>80.25143898314534</c:v>
                </c:pt>
                <c:pt idx="178" formatCode="0">
                  <c:v>81.97461240572424</c:v>
                </c:pt>
                <c:pt idx="179" formatCode="0">
                  <c:v>83.69778582830314</c:v>
                </c:pt>
                <c:pt idx="180" formatCode="0">
                  <c:v>50.95749079930418</c:v>
                </c:pt>
                <c:pt idx="181" formatCode="0">
                  <c:v>52.68066422188307</c:v>
                </c:pt>
                <c:pt idx="182" formatCode="0">
                  <c:v>54.40383764446196</c:v>
                </c:pt>
                <c:pt idx="183" formatCode="0">
                  <c:v>56.12701106704085</c:v>
                </c:pt>
                <c:pt idx="184" formatCode="0">
                  <c:v>57.85018448961974</c:v>
                </c:pt>
                <c:pt idx="185" formatCode="0">
                  <c:v>59.57335791219862</c:v>
                </c:pt>
                <c:pt idx="186" formatCode="0">
                  <c:v>61.2965313347775</c:v>
                </c:pt>
                <c:pt idx="187" formatCode="0">
                  <c:v>63.0197047573564</c:v>
                </c:pt>
                <c:pt idx="188" formatCode="0">
                  <c:v>64.74287817993529</c:v>
                </c:pt>
                <c:pt idx="189" formatCode="0">
                  <c:v>66.46605160251418</c:v>
                </c:pt>
                <c:pt idx="190" formatCode="0">
                  <c:v>68.18922502509308</c:v>
                </c:pt>
                <c:pt idx="191" formatCode="0">
                  <c:v>69.91239844767198</c:v>
                </c:pt>
                <c:pt idx="192" formatCode="0">
                  <c:v>71.63557187025087</c:v>
                </c:pt>
                <c:pt idx="193" formatCode="0">
                  <c:v>73.35874529282977</c:v>
                </c:pt>
                <c:pt idx="194" formatCode="0">
                  <c:v>75.08191871540866</c:v>
                </c:pt>
                <c:pt idx="195" formatCode="0">
                  <c:v>76.80509213798756</c:v>
                </c:pt>
                <c:pt idx="196" formatCode="0">
                  <c:v>78.52826556056645</c:v>
                </c:pt>
                <c:pt idx="197" formatCode="0">
                  <c:v>80.25143898314534</c:v>
                </c:pt>
                <c:pt idx="198" formatCode="0">
                  <c:v>81.97461240572424</c:v>
                </c:pt>
                <c:pt idx="199" formatCode="0">
                  <c:v>83.69778582830314</c:v>
                </c:pt>
                <c:pt idx="200" formatCode="0">
                  <c:v>50.95749079930418</c:v>
                </c:pt>
                <c:pt idx="201" formatCode="0">
                  <c:v>52.68066422188307</c:v>
                </c:pt>
                <c:pt idx="202" formatCode="0">
                  <c:v>54.40383764446196</c:v>
                </c:pt>
                <c:pt idx="203" formatCode="0">
                  <c:v>56.12701106704085</c:v>
                </c:pt>
                <c:pt idx="204" formatCode="0">
                  <c:v>57.85018448961974</c:v>
                </c:pt>
                <c:pt idx="205" formatCode="0">
                  <c:v>59.57335791219862</c:v>
                </c:pt>
                <c:pt idx="206" formatCode="0">
                  <c:v>61.2965313347775</c:v>
                </c:pt>
                <c:pt idx="207" formatCode="0">
                  <c:v>63.0197047573564</c:v>
                </c:pt>
                <c:pt idx="208" formatCode="0">
                  <c:v>64.74287817993529</c:v>
                </c:pt>
                <c:pt idx="209" formatCode="0">
                  <c:v>66.46605160251418</c:v>
                </c:pt>
                <c:pt idx="210" formatCode="0">
                  <c:v>68.18922502509308</c:v>
                </c:pt>
                <c:pt idx="211" formatCode="0">
                  <c:v>69.91239844767198</c:v>
                </c:pt>
                <c:pt idx="212" formatCode="0">
                  <c:v>71.63557187025087</c:v>
                </c:pt>
                <c:pt idx="213" formatCode="0">
                  <c:v>73.35874529282977</c:v>
                </c:pt>
                <c:pt idx="214" formatCode="0">
                  <c:v>75.08191871540866</c:v>
                </c:pt>
                <c:pt idx="215" formatCode="0">
                  <c:v>76.80509213798756</c:v>
                </c:pt>
                <c:pt idx="216" formatCode="0">
                  <c:v>78.52826556056645</c:v>
                </c:pt>
                <c:pt idx="217" formatCode="0">
                  <c:v>80.25143898314534</c:v>
                </c:pt>
                <c:pt idx="218" formatCode="0">
                  <c:v>81.97461240572424</c:v>
                </c:pt>
                <c:pt idx="219" formatCode="0">
                  <c:v>83.69778582830314</c:v>
                </c:pt>
                <c:pt idx="220" formatCode="0">
                  <c:v>50.95749079930418</c:v>
                </c:pt>
                <c:pt idx="221" formatCode="0">
                  <c:v>52.68066422188307</c:v>
                </c:pt>
                <c:pt idx="222" formatCode="0">
                  <c:v>54.40383764446196</c:v>
                </c:pt>
                <c:pt idx="223" formatCode="0">
                  <c:v>56.12701106704085</c:v>
                </c:pt>
                <c:pt idx="224" formatCode="0">
                  <c:v>57.85018448961974</c:v>
                </c:pt>
                <c:pt idx="225" formatCode="0">
                  <c:v>59.57335791219862</c:v>
                </c:pt>
                <c:pt idx="226" formatCode="0">
                  <c:v>61.2965313347775</c:v>
                </c:pt>
                <c:pt idx="227" formatCode="0">
                  <c:v>63.0197047573564</c:v>
                </c:pt>
                <c:pt idx="228" formatCode="0">
                  <c:v>64.74287817993529</c:v>
                </c:pt>
                <c:pt idx="229" formatCode="0">
                  <c:v>66.46605160251418</c:v>
                </c:pt>
                <c:pt idx="230" formatCode="0">
                  <c:v>68.18922502509308</c:v>
                </c:pt>
                <c:pt idx="231" formatCode="0">
                  <c:v>69.91239844767198</c:v>
                </c:pt>
                <c:pt idx="232" formatCode="0">
                  <c:v>71.63557187025087</c:v>
                </c:pt>
                <c:pt idx="233" formatCode="0">
                  <c:v>73.35874529282977</c:v>
                </c:pt>
                <c:pt idx="234" formatCode="0">
                  <c:v>75.08191871540866</c:v>
                </c:pt>
                <c:pt idx="235" formatCode="0">
                  <c:v>76.80509213798756</c:v>
                </c:pt>
                <c:pt idx="236" formatCode="0">
                  <c:v>78.52826556056645</c:v>
                </c:pt>
                <c:pt idx="237" formatCode="0">
                  <c:v>80.25143898314534</c:v>
                </c:pt>
                <c:pt idx="238" formatCode="0">
                  <c:v>81.97461240572424</c:v>
                </c:pt>
                <c:pt idx="239" formatCode="0">
                  <c:v>83.69778582830314</c:v>
                </c:pt>
                <c:pt idx="240" formatCode="0">
                  <c:v>85.0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'Uneven Mixed Conifer'!$CL$77</c:f>
              <c:strCache>
                <c:ptCount val="1"/>
                <c:pt idx="0">
                  <c:v>Energy from logging residues</c:v>
                </c:pt>
              </c:strCache>
            </c:strRef>
          </c:tx>
          <c:marker>
            <c:symbol val="none"/>
          </c:marker>
          <c:val>
            <c:numRef>
              <c:f>'Uneven Mixed Conifer'!$CL$78:$CL$318</c:f>
              <c:numCache>
                <c:formatCode>General</c:formatCode>
                <c:ptCount val="241"/>
                <c:pt idx="40" formatCode="0">
                  <c:v>6.060623157256816</c:v>
                </c:pt>
                <c:pt idx="41" formatCode="0">
                  <c:v>6.060623157256816</c:v>
                </c:pt>
                <c:pt idx="42" formatCode="0">
                  <c:v>6.060623157256816</c:v>
                </c:pt>
                <c:pt idx="43" formatCode="0">
                  <c:v>6.060623157256816</c:v>
                </c:pt>
                <c:pt idx="44" formatCode="0">
                  <c:v>6.060623157256816</c:v>
                </c:pt>
                <c:pt idx="45" formatCode="0">
                  <c:v>6.060623157256816</c:v>
                </c:pt>
                <c:pt idx="46" formatCode="0">
                  <c:v>6.060623157256816</c:v>
                </c:pt>
                <c:pt idx="47" formatCode="0">
                  <c:v>6.060623157256816</c:v>
                </c:pt>
                <c:pt idx="48" formatCode="0">
                  <c:v>6.060623157256816</c:v>
                </c:pt>
                <c:pt idx="49" formatCode="0">
                  <c:v>6.060623157256816</c:v>
                </c:pt>
                <c:pt idx="50" formatCode="0">
                  <c:v>6.060623157256816</c:v>
                </c:pt>
                <c:pt idx="51" formatCode="0">
                  <c:v>6.060623157256816</c:v>
                </c:pt>
                <c:pt idx="52" formatCode="0">
                  <c:v>6.060623157256816</c:v>
                </c:pt>
                <c:pt idx="53" formatCode="0">
                  <c:v>6.060623157256816</c:v>
                </c:pt>
                <c:pt idx="54" formatCode="0">
                  <c:v>6.060623157256816</c:v>
                </c:pt>
                <c:pt idx="55" formatCode="0">
                  <c:v>6.060623157256816</c:v>
                </c:pt>
                <c:pt idx="56" formatCode="0">
                  <c:v>6.060623157256816</c:v>
                </c:pt>
                <c:pt idx="57" formatCode="0">
                  <c:v>6.060623157256816</c:v>
                </c:pt>
                <c:pt idx="58" formatCode="0">
                  <c:v>6.060623157256816</c:v>
                </c:pt>
                <c:pt idx="59" formatCode="0">
                  <c:v>6.060623157256816</c:v>
                </c:pt>
                <c:pt idx="60" formatCode="0">
                  <c:v>6.060623157256816</c:v>
                </c:pt>
                <c:pt idx="61" formatCode="0">
                  <c:v>6.060623157256816</c:v>
                </c:pt>
                <c:pt idx="62" formatCode="0">
                  <c:v>6.060623157256816</c:v>
                </c:pt>
                <c:pt idx="63" formatCode="0">
                  <c:v>6.060623157256816</c:v>
                </c:pt>
                <c:pt idx="64" formatCode="0">
                  <c:v>6.060623157256816</c:v>
                </c:pt>
                <c:pt idx="65" formatCode="0">
                  <c:v>6.060623157256816</c:v>
                </c:pt>
                <c:pt idx="66" formatCode="0">
                  <c:v>6.060623157256816</c:v>
                </c:pt>
                <c:pt idx="67" formatCode="0">
                  <c:v>6.060623157256816</c:v>
                </c:pt>
                <c:pt idx="68" formatCode="0">
                  <c:v>6.060623157256816</c:v>
                </c:pt>
                <c:pt idx="69" formatCode="0">
                  <c:v>6.060623157256816</c:v>
                </c:pt>
                <c:pt idx="70" formatCode="0">
                  <c:v>6.060623157256816</c:v>
                </c:pt>
                <c:pt idx="71" formatCode="0">
                  <c:v>6.060623157256816</c:v>
                </c:pt>
                <c:pt idx="72" formatCode="0">
                  <c:v>6.060623157256816</c:v>
                </c:pt>
                <c:pt idx="73" formatCode="0">
                  <c:v>6.060623157256816</c:v>
                </c:pt>
                <c:pt idx="74" formatCode="0">
                  <c:v>6.060623157256816</c:v>
                </c:pt>
                <c:pt idx="75" formatCode="0">
                  <c:v>6.060623157256816</c:v>
                </c:pt>
                <c:pt idx="76" formatCode="0">
                  <c:v>6.060623157256816</c:v>
                </c:pt>
                <c:pt idx="77" formatCode="0">
                  <c:v>6.060623157256816</c:v>
                </c:pt>
                <c:pt idx="78" formatCode="0">
                  <c:v>6.060623157256816</c:v>
                </c:pt>
                <c:pt idx="79" formatCode="0">
                  <c:v>6.060623157256816</c:v>
                </c:pt>
                <c:pt idx="80" formatCode="0">
                  <c:v>13.8370349152037</c:v>
                </c:pt>
                <c:pt idx="81" formatCode="0">
                  <c:v>13.8370349152037</c:v>
                </c:pt>
                <c:pt idx="82" formatCode="0">
                  <c:v>13.8370349152037</c:v>
                </c:pt>
                <c:pt idx="83" formatCode="0">
                  <c:v>13.8370349152037</c:v>
                </c:pt>
                <c:pt idx="84" formatCode="0">
                  <c:v>13.8370349152037</c:v>
                </c:pt>
                <c:pt idx="85" formatCode="0">
                  <c:v>13.8370349152037</c:v>
                </c:pt>
                <c:pt idx="86" formatCode="0">
                  <c:v>13.8370349152037</c:v>
                </c:pt>
                <c:pt idx="87" formatCode="0">
                  <c:v>13.8370349152037</c:v>
                </c:pt>
                <c:pt idx="88" formatCode="0">
                  <c:v>13.8370349152037</c:v>
                </c:pt>
                <c:pt idx="89" formatCode="0">
                  <c:v>13.8370349152037</c:v>
                </c:pt>
                <c:pt idx="90" formatCode="0">
                  <c:v>13.8370349152037</c:v>
                </c:pt>
                <c:pt idx="91" formatCode="0">
                  <c:v>13.8370349152037</c:v>
                </c:pt>
                <c:pt idx="92" formatCode="0">
                  <c:v>13.8370349152037</c:v>
                </c:pt>
                <c:pt idx="93" formatCode="0">
                  <c:v>13.8370349152037</c:v>
                </c:pt>
                <c:pt idx="94" formatCode="0">
                  <c:v>13.8370349152037</c:v>
                </c:pt>
                <c:pt idx="95" formatCode="0">
                  <c:v>13.8370349152037</c:v>
                </c:pt>
                <c:pt idx="96" formatCode="0">
                  <c:v>13.8370349152037</c:v>
                </c:pt>
                <c:pt idx="97" formatCode="0">
                  <c:v>13.8370349152037</c:v>
                </c:pt>
                <c:pt idx="98" formatCode="0">
                  <c:v>13.8370349152037</c:v>
                </c:pt>
                <c:pt idx="99" formatCode="0">
                  <c:v>13.8370349152037</c:v>
                </c:pt>
                <c:pt idx="100" formatCode="0">
                  <c:v>21.61344667315057</c:v>
                </c:pt>
                <c:pt idx="101" formatCode="0">
                  <c:v>21.61344667315057</c:v>
                </c:pt>
                <c:pt idx="102" formatCode="0">
                  <c:v>21.61344667315057</c:v>
                </c:pt>
                <c:pt idx="103" formatCode="0">
                  <c:v>21.61344667315057</c:v>
                </c:pt>
                <c:pt idx="104" formatCode="0">
                  <c:v>21.61344667315057</c:v>
                </c:pt>
                <c:pt idx="105" formatCode="0">
                  <c:v>21.61344667315057</c:v>
                </c:pt>
                <c:pt idx="106" formatCode="0">
                  <c:v>21.61344667315057</c:v>
                </c:pt>
                <c:pt idx="107" formatCode="0">
                  <c:v>21.61344667315057</c:v>
                </c:pt>
                <c:pt idx="108" formatCode="0">
                  <c:v>21.61344667315057</c:v>
                </c:pt>
                <c:pt idx="109" formatCode="0">
                  <c:v>21.61344667315057</c:v>
                </c:pt>
                <c:pt idx="110" formatCode="0">
                  <c:v>21.61344667315057</c:v>
                </c:pt>
                <c:pt idx="111" formatCode="0">
                  <c:v>21.61344667315057</c:v>
                </c:pt>
                <c:pt idx="112" formatCode="0">
                  <c:v>21.61344667315057</c:v>
                </c:pt>
                <c:pt idx="113" formatCode="0">
                  <c:v>21.61344667315057</c:v>
                </c:pt>
                <c:pt idx="114" formatCode="0">
                  <c:v>21.61344667315057</c:v>
                </c:pt>
                <c:pt idx="115" formatCode="0">
                  <c:v>21.61344667315057</c:v>
                </c:pt>
                <c:pt idx="116" formatCode="0">
                  <c:v>21.61344667315057</c:v>
                </c:pt>
                <c:pt idx="117" formatCode="0">
                  <c:v>21.61344667315057</c:v>
                </c:pt>
                <c:pt idx="118" formatCode="0">
                  <c:v>21.61344667315057</c:v>
                </c:pt>
                <c:pt idx="119" formatCode="0">
                  <c:v>21.61344667315057</c:v>
                </c:pt>
                <c:pt idx="120" formatCode="0">
                  <c:v>29.38985843109744</c:v>
                </c:pt>
                <c:pt idx="121" formatCode="0">
                  <c:v>29.38985843109744</c:v>
                </c:pt>
                <c:pt idx="122" formatCode="0">
                  <c:v>29.38985843109744</c:v>
                </c:pt>
                <c:pt idx="123" formatCode="0">
                  <c:v>29.38985843109744</c:v>
                </c:pt>
                <c:pt idx="124" formatCode="0">
                  <c:v>29.38985843109744</c:v>
                </c:pt>
                <c:pt idx="125" formatCode="0">
                  <c:v>29.38985843109744</c:v>
                </c:pt>
                <c:pt idx="126" formatCode="0">
                  <c:v>29.38985843109744</c:v>
                </c:pt>
                <c:pt idx="127" formatCode="0">
                  <c:v>29.38985843109744</c:v>
                </c:pt>
                <c:pt idx="128" formatCode="0">
                  <c:v>29.38985843109744</c:v>
                </c:pt>
                <c:pt idx="129" formatCode="0">
                  <c:v>29.38985843109744</c:v>
                </c:pt>
                <c:pt idx="130" formatCode="0">
                  <c:v>29.38985843109744</c:v>
                </c:pt>
                <c:pt idx="131" formatCode="0">
                  <c:v>29.38985843109744</c:v>
                </c:pt>
                <c:pt idx="132" formatCode="0">
                  <c:v>29.38985843109744</c:v>
                </c:pt>
                <c:pt idx="133" formatCode="0">
                  <c:v>29.38985843109744</c:v>
                </c:pt>
                <c:pt idx="134" formatCode="0">
                  <c:v>29.38985843109744</c:v>
                </c:pt>
                <c:pt idx="135" formatCode="0">
                  <c:v>29.38985843109744</c:v>
                </c:pt>
                <c:pt idx="136" formatCode="0">
                  <c:v>29.38985843109744</c:v>
                </c:pt>
                <c:pt idx="137" formatCode="0">
                  <c:v>29.38985843109744</c:v>
                </c:pt>
                <c:pt idx="138" formatCode="0">
                  <c:v>29.38985843109744</c:v>
                </c:pt>
                <c:pt idx="139" formatCode="0">
                  <c:v>29.38985843109744</c:v>
                </c:pt>
                <c:pt idx="140" formatCode="0">
                  <c:v>37.16627018904432</c:v>
                </c:pt>
                <c:pt idx="141" formatCode="0">
                  <c:v>37.16627018904432</c:v>
                </c:pt>
                <c:pt idx="142" formatCode="0">
                  <c:v>37.16627018904432</c:v>
                </c:pt>
                <c:pt idx="143" formatCode="0">
                  <c:v>37.16627018904432</c:v>
                </c:pt>
                <c:pt idx="144" formatCode="0">
                  <c:v>37.16627018904432</c:v>
                </c:pt>
                <c:pt idx="145" formatCode="0">
                  <c:v>37.16627018904432</c:v>
                </c:pt>
                <c:pt idx="146" formatCode="0">
                  <c:v>37.16627018904432</c:v>
                </c:pt>
                <c:pt idx="147" formatCode="0">
                  <c:v>37.16627018904432</c:v>
                </c:pt>
                <c:pt idx="148" formatCode="0">
                  <c:v>37.16627018904432</c:v>
                </c:pt>
                <c:pt idx="149" formatCode="0">
                  <c:v>37.16627018904432</c:v>
                </c:pt>
                <c:pt idx="150" formatCode="0">
                  <c:v>37.16627018904432</c:v>
                </c:pt>
                <c:pt idx="151" formatCode="0">
                  <c:v>37.16627018904432</c:v>
                </c:pt>
                <c:pt idx="152" formatCode="0">
                  <c:v>37.16627018904432</c:v>
                </c:pt>
                <c:pt idx="153" formatCode="0">
                  <c:v>37.16627018904432</c:v>
                </c:pt>
                <c:pt idx="154" formatCode="0">
                  <c:v>37.16627018904432</c:v>
                </c:pt>
                <c:pt idx="155" formatCode="0">
                  <c:v>37.16627018904432</c:v>
                </c:pt>
                <c:pt idx="156" formatCode="0">
                  <c:v>37.16627018904432</c:v>
                </c:pt>
                <c:pt idx="157" formatCode="0">
                  <c:v>37.16627018904432</c:v>
                </c:pt>
                <c:pt idx="158" formatCode="0">
                  <c:v>37.16627018904432</c:v>
                </c:pt>
                <c:pt idx="159" formatCode="0">
                  <c:v>37.16627018904432</c:v>
                </c:pt>
                <c:pt idx="160" formatCode="0">
                  <c:v>44.9426819469912</c:v>
                </c:pt>
                <c:pt idx="161" formatCode="0">
                  <c:v>44.9426819469912</c:v>
                </c:pt>
                <c:pt idx="162" formatCode="0">
                  <c:v>44.9426819469912</c:v>
                </c:pt>
                <c:pt idx="163" formatCode="0">
                  <c:v>44.9426819469912</c:v>
                </c:pt>
                <c:pt idx="164" formatCode="0">
                  <c:v>44.9426819469912</c:v>
                </c:pt>
                <c:pt idx="165" formatCode="0">
                  <c:v>44.9426819469912</c:v>
                </c:pt>
                <c:pt idx="166" formatCode="0">
                  <c:v>44.9426819469912</c:v>
                </c:pt>
                <c:pt idx="167" formatCode="0">
                  <c:v>44.9426819469912</c:v>
                </c:pt>
                <c:pt idx="168" formatCode="0">
                  <c:v>44.9426819469912</c:v>
                </c:pt>
                <c:pt idx="169" formatCode="0">
                  <c:v>44.9426819469912</c:v>
                </c:pt>
                <c:pt idx="170" formatCode="0">
                  <c:v>44.9426819469912</c:v>
                </c:pt>
                <c:pt idx="171" formatCode="0">
                  <c:v>44.9426819469912</c:v>
                </c:pt>
                <c:pt idx="172" formatCode="0">
                  <c:v>44.9426819469912</c:v>
                </c:pt>
                <c:pt idx="173" formatCode="0">
                  <c:v>44.9426819469912</c:v>
                </c:pt>
                <c:pt idx="174" formatCode="0">
                  <c:v>44.9426819469912</c:v>
                </c:pt>
                <c:pt idx="175" formatCode="0">
                  <c:v>44.9426819469912</c:v>
                </c:pt>
                <c:pt idx="176" formatCode="0">
                  <c:v>44.9426819469912</c:v>
                </c:pt>
                <c:pt idx="177" formatCode="0">
                  <c:v>44.9426819469912</c:v>
                </c:pt>
                <c:pt idx="178" formatCode="0">
                  <c:v>44.9426819469912</c:v>
                </c:pt>
                <c:pt idx="179" formatCode="0">
                  <c:v>44.9426819469912</c:v>
                </c:pt>
                <c:pt idx="180" formatCode="0">
                  <c:v>52.71909370493807</c:v>
                </c:pt>
                <c:pt idx="181" formatCode="0">
                  <c:v>52.71909370493807</c:v>
                </c:pt>
                <c:pt idx="182" formatCode="0">
                  <c:v>52.71909370493807</c:v>
                </c:pt>
                <c:pt idx="183" formatCode="0">
                  <c:v>52.71909370493807</c:v>
                </c:pt>
                <c:pt idx="184" formatCode="0">
                  <c:v>52.71909370493807</c:v>
                </c:pt>
                <c:pt idx="185" formatCode="0">
                  <c:v>52.71909370493807</c:v>
                </c:pt>
                <c:pt idx="186" formatCode="0">
                  <c:v>52.71909370493807</c:v>
                </c:pt>
                <c:pt idx="187" formatCode="0">
                  <c:v>52.71909370493807</c:v>
                </c:pt>
                <c:pt idx="188" formatCode="0">
                  <c:v>52.71909370493807</c:v>
                </c:pt>
                <c:pt idx="189" formatCode="0">
                  <c:v>52.71909370493807</c:v>
                </c:pt>
                <c:pt idx="190" formatCode="0">
                  <c:v>52.71909370493807</c:v>
                </c:pt>
                <c:pt idx="191" formatCode="0">
                  <c:v>52.71909370493807</c:v>
                </c:pt>
                <c:pt idx="192" formatCode="0">
                  <c:v>52.71909370493807</c:v>
                </c:pt>
                <c:pt idx="193" formatCode="0">
                  <c:v>52.71909370493807</c:v>
                </c:pt>
                <c:pt idx="194" formatCode="0">
                  <c:v>52.71909370493807</c:v>
                </c:pt>
                <c:pt idx="195" formatCode="0">
                  <c:v>52.71909370493807</c:v>
                </c:pt>
                <c:pt idx="196" formatCode="0">
                  <c:v>52.71909370493807</c:v>
                </c:pt>
                <c:pt idx="197" formatCode="0">
                  <c:v>52.71909370493807</c:v>
                </c:pt>
                <c:pt idx="198" formatCode="0">
                  <c:v>52.71909370493807</c:v>
                </c:pt>
                <c:pt idx="199" formatCode="0">
                  <c:v>52.71909370493807</c:v>
                </c:pt>
                <c:pt idx="200" formatCode="0">
                  <c:v>60.49550546288494</c:v>
                </c:pt>
                <c:pt idx="201" formatCode="0">
                  <c:v>60.49550546288494</c:v>
                </c:pt>
                <c:pt idx="202" formatCode="0">
                  <c:v>60.49550546288494</c:v>
                </c:pt>
                <c:pt idx="203" formatCode="0">
                  <c:v>60.49550546288494</c:v>
                </c:pt>
                <c:pt idx="204" formatCode="0">
                  <c:v>60.49550546288494</c:v>
                </c:pt>
                <c:pt idx="205" formatCode="0">
                  <c:v>60.49550546288494</c:v>
                </c:pt>
                <c:pt idx="206" formatCode="0">
                  <c:v>60.49550546288494</c:v>
                </c:pt>
                <c:pt idx="207" formatCode="0">
                  <c:v>60.49550546288494</c:v>
                </c:pt>
                <c:pt idx="208" formatCode="0">
                  <c:v>60.49550546288494</c:v>
                </c:pt>
                <c:pt idx="209" formatCode="0">
                  <c:v>60.49550546288494</c:v>
                </c:pt>
                <c:pt idx="210" formatCode="0">
                  <c:v>60.49550546288494</c:v>
                </c:pt>
                <c:pt idx="211" formatCode="0">
                  <c:v>60.49550546288494</c:v>
                </c:pt>
                <c:pt idx="212" formatCode="0">
                  <c:v>60.49550546288494</c:v>
                </c:pt>
                <c:pt idx="213" formatCode="0">
                  <c:v>60.49550546288494</c:v>
                </c:pt>
                <c:pt idx="214" formatCode="0">
                  <c:v>60.49550546288494</c:v>
                </c:pt>
                <c:pt idx="215" formatCode="0">
                  <c:v>60.49550546288494</c:v>
                </c:pt>
                <c:pt idx="216" formatCode="0">
                  <c:v>60.49550546288494</c:v>
                </c:pt>
                <c:pt idx="217" formatCode="0">
                  <c:v>60.49550546288494</c:v>
                </c:pt>
                <c:pt idx="218" formatCode="0">
                  <c:v>60.49550546288494</c:v>
                </c:pt>
                <c:pt idx="219" formatCode="0">
                  <c:v>60.49550546288494</c:v>
                </c:pt>
                <c:pt idx="220" formatCode="0">
                  <c:v>68.27191722083182</c:v>
                </c:pt>
                <c:pt idx="221" formatCode="0">
                  <c:v>68.27191722083182</c:v>
                </c:pt>
                <c:pt idx="222" formatCode="0">
                  <c:v>68.27191722083182</c:v>
                </c:pt>
                <c:pt idx="223" formatCode="0">
                  <c:v>68.27191722083182</c:v>
                </c:pt>
                <c:pt idx="224" formatCode="0">
                  <c:v>68.27191722083182</c:v>
                </c:pt>
                <c:pt idx="225" formatCode="0">
                  <c:v>68.27191722083182</c:v>
                </c:pt>
                <c:pt idx="226" formatCode="0">
                  <c:v>68.27191722083182</c:v>
                </c:pt>
                <c:pt idx="227" formatCode="0">
                  <c:v>68.27191722083182</c:v>
                </c:pt>
                <c:pt idx="228" formatCode="0">
                  <c:v>68.27191722083182</c:v>
                </c:pt>
                <c:pt idx="229" formatCode="0">
                  <c:v>68.27191722083182</c:v>
                </c:pt>
                <c:pt idx="230" formatCode="0">
                  <c:v>68.27191722083182</c:v>
                </c:pt>
                <c:pt idx="231" formatCode="0">
                  <c:v>68.27191722083182</c:v>
                </c:pt>
                <c:pt idx="232" formatCode="0">
                  <c:v>68.27191722083182</c:v>
                </c:pt>
                <c:pt idx="233" formatCode="0">
                  <c:v>68.27191722083182</c:v>
                </c:pt>
                <c:pt idx="234" formatCode="0">
                  <c:v>68.27191722083182</c:v>
                </c:pt>
                <c:pt idx="235" formatCode="0">
                  <c:v>68.27191722083182</c:v>
                </c:pt>
                <c:pt idx="236" formatCode="0">
                  <c:v>68.27191722083182</c:v>
                </c:pt>
                <c:pt idx="237" formatCode="0">
                  <c:v>68.27191722083182</c:v>
                </c:pt>
                <c:pt idx="238" formatCode="0">
                  <c:v>68.27191722083182</c:v>
                </c:pt>
                <c:pt idx="239" formatCode="0">
                  <c:v>68.27191722083182</c:v>
                </c:pt>
                <c:pt idx="240" formatCode="0">
                  <c:v>68.27191722083182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'Uneven Mixed Conifer'!$CM$77</c:f>
              <c:strCache>
                <c:ptCount val="1"/>
                <c:pt idx="0">
                  <c:v>Energy from sawmill residues</c:v>
                </c:pt>
              </c:strCache>
            </c:strRef>
          </c:tx>
          <c:marker>
            <c:symbol val="none"/>
          </c:marker>
          <c:val>
            <c:numRef>
              <c:f>'Uneven Mixed Conifer'!$CM$78:$CM$318</c:f>
              <c:numCache>
                <c:formatCode>General</c:formatCode>
                <c:ptCount val="241"/>
                <c:pt idx="40" formatCode="0">
                  <c:v>0.754210881791959</c:v>
                </c:pt>
                <c:pt idx="41" formatCode="0">
                  <c:v>0.754210881791959</c:v>
                </c:pt>
                <c:pt idx="42" formatCode="0">
                  <c:v>0.754210881791959</c:v>
                </c:pt>
                <c:pt idx="43" formatCode="0">
                  <c:v>0.754210881791959</c:v>
                </c:pt>
                <c:pt idx="44" formatCode="0">
                  <c:v>0.754210881791959</c:v>
                </c:pt>
                <c:pt idx="45" formatCode="0">
                  <c:v>0.754210881791959</c:v>
                </c:pt>
                <c:pt idx="46" formatCode="0">
                  <c:v>0.754210881791959</c:v>
                </c:pt>
                <c:pt idx="47" formatCode="0">
                  <c:v>0.754210881791959</c:v>
                </c:pt>
                <c:pt idx="48" formatCode="0">
                  <c:v>0.754210881791959</c:v>
                </c:pt>
                <c:pt idx="49" formatCode="0">
                  <c:v>0.754210881791959</c:v>
                </c:pt>
                <c:pt idx="50" formatCode="0">
                  <c:v>0.754210881791959</c:v>
                </c:pt>
                <c:pt idx="51" formatCode="0">
                  <c:v>0.754210881791959</c:v>
                </c:pt>
                <c:pt idx="52" formatCode="0">
                  <c:v>0.754210881791959</c:v>
                </c:pt>
                <c:pt idx="53" formatCode="0">
                  <c:v>0.754210881791959</c:v>
                </c:pt>
                <c:pt idx="54" formatCode="0">
                  <c:v>0.754210881791959</c:v>
                </c:pt>
                <c:pt idx="55" formatCode="0">
                  <c:v>0.754210881791959</c:v>
                </c:pt>
                <c:pt idx="56" formatCode="0">
                  <c:v>0.754210881791959</c:v>
                </c:pt>
                <c:pt idx="57" formatCode="0">
                  <c:v>0.754210881791959</c:v>
                </c:pt>
                <c:pt idx="58" formatCode="0">
                  <c:v>0.754210881791959</c:v>
                </c:pt>
                <c:pt idx="59" formatCode="0">
                  <c:v>0.754210881791959</c:v>
                </c:pt>
                <c:pt idx="60" formatCode="0">
                  <c:v>0.754210881791959</c:v>
                </c:pt>
                <c:pt idx="61" formatCode="0">
                  <c:v>0.754210881791959</c:v>
                </c:pt>
                <c:pt idx="62" formatCode="0">
                  <c:v>0.754210881791959</c:v>
                </c:pt>
                <c:pt idx="63" formatCode="0">
                  <c:v>0.754210881791959</c:v>
                </c:pt>
                <c:pt idx="64" formatCode="0">
                  <c:v>0.754210881791959</c:v>
                </c:pt>
                <c:pt idx="65" formatCode="0">
                  <c:v>0.754210881791959</c:v>
                </c:pt>
                <c:pt idx="66" formatCode="0">
                  <c:v>0.754210881791959</c:v>
                </c:pt>
                <c:pt idx="67" formatCode="0">
                  <c:v>0.754210881791959</c:v>
                </c:pt>
                <c:pt idx="68" formatCode="0">
                  <c:v>0.754210881791959</c:v>
                </c:pt>
                <c:pt idx="69" formatCode="0">
                  <c:v>0.754210881791959</c:v>
                </c:pt>
                <c:pt idx="70" formatCode="0">
                  <c:v>0.754210881791959</c:v>
                </c:pt>
                <c:pt idx="71" formatCode="0">
                  <c:v>0.754210881791959</c:v>
                </c:pt>
                <c:pt idx="72" formatCode="0">
                  <c:v>0.754210881791959</c:v>
                </c:pt>
                <c:pt idx="73" formatCode="0">
                  <c:v>0.754210881791959</c:v>
                </c:pt>
                <c:pt idx="74" formatCode="0">
                  <c:v>0.754210881791959</c:v>
                </c:pt>
                <c:pt idx="75" formatCode="0">
                  <c:v>0.754210881791959</c:v>
                </c:pt>
                <c:pt idx="76" formatCode="0">
                  <c:v>0.754210881791959</c:v>
                </c:pt>
                <c:pt idx="77" formatCode="0">
                  <c:v>0.754210881791959</c:v>
                </c:pt>
                <c:pt idx="78" formatCode="0">
                  <c:v>0.754210881791959</c:v>
                </c:pt>
                <c:pt idx="79" formatCode="0">
                  <c:v>0.754210881791959</c:v>
                </c:pt>
                <c:pt idx="80" formatCode="0">
                  <c:v>5.71695033881916</c:v>
                </c:pt>
                <c:pt idx="81" formatCode="0">
                  <c:v>5.71695033881916</c:v>
                </c:pt>
                <c:pt idx="82" formatCode="0">
                  <c:v>5.71695033881916</c:v>
                </c:pt>
                <c:pt idx="83" formatCode="0">
                  <c:v>5.71695033881916</c:v>
                </c:pt>
                <c:pt idx="84" formatCode="0">
                  <c:v>5.71695033881916</c:v>
                </c:pt>
                <c:pt idx="85" formatCode="0">
                  <c:v>5.71695033881916</c:v>
                </c:pt>
                <c:pt idx="86" formatCode="0">
                  <c:v>5.71695033881916</c:v>
                </c:pt>
                <c:pt idx="87" formatCode="0">
                  <c:v>5.71695033881916</c:v>
                </c:pt>
                <c:pt idx="88" formatCode="0">
                  <c:v>5.71695033881916</c:v>
                </c:pt>
                <c:pt idx="89" formatCode="0">
                  <c:v>5.71695033881916</c:v>
                </c:pt>
                <c:pt idx="90" formatCode="0">
                  <c:v>5.71695033881916</c:v>
                </c:pt>
                <c:pt idx="91" formatCode="0">
                  <c:v>5.71695033881916</c:v>
                </c:pt>
                <c:pt idx="92" formatCode="0">
                  <c:v>5.71695033881916</c:v>
                </c:pt>
                <c:pt idx="93" formatCode="0">
                  <c:v>5.71695033881916</c:v>
                </c:pt>
                <c:pt idx="94" formatCode="0">
                  <c:v>5.71695033881916</c:v>
                </c:pt>
                <c:pt idx="95" formatCode="0">
                  <c:v>5.71695033881916</c:v>
                </c:pt>
                <c:pt idx="96" formatCode="0">
                  <c:v>5.71695033881916</c:v>
                </c:pt>
                <c:pt idx="97" formatCode="0">
                  <c:v>5.71695033881916</c:v>
                </c:pt>
                <c:pt idx="98" formatCode="0">
                  <c:v>5.71695033881916</c:v>
                </c:pt>
                <c:pt idx="99" formatCode="0">
                  <c:v>5.71695033881916</c:v>
                </c:pt>
                <c:pt idx="100" formatCode="0">
                  <c:v>10.67968979584636</c:v>
                </c:pt>
                <c:pt idx="101" formatCode="0">
                  <c:v>10.67968979584636</c:v>
                </c:pt>
                <c:pt idx="102" formatCode="0">
                  <c:v>10.67968979584636</c:v>
                </c:pt>
                <c:pt idx="103" formatCode="0">
                  <c:v>10.67968979584636</c:v>
                </c:pt>
                <c:pt idx="104" formatCode="0">
                  <c:v>10.67968979584636</c:v>
                </c:pt>
                <c:pt idx="105" formatCode="0">
                  <c:v>10.67968979584636</c:v>
                </c:pt>
                <c:pt idx="106" formatCode="0">
                  <c:v>10.67968979584636</c:v>
                </c:pt>
                <c:pt idx="107" formatCode="0">
                  <c:v>10.67968979584636</c:v>
                </c:pt>
                <c:pt idx="108" formatCode="0">
                  <c:v>10.67968979584636</c:v>
                </c:pt>
                <c:pt idx="109" formatCode="0">
                  <c:v>10.67968979584636</c:v>
                </c:pt>
                <c:pt idx="110" formatCode="0">
                  <c:v>10.67968979584636</c:v>
                </c:pt>
                <c:pt idx="111" formatCode="0">
                  <c:v>10.67968979584636</c:v>
                </c:pt>
                <c:pt idx="112" formatCode="0">
                  <c:v>10.67968979584636</c:v>
                </c:pt>
                <c:pt idx="113" formatCode="0">
                  <c:v>10.67968979584636</c:v>
                </c:pt>
                <c:pt idx="114" formatCode="0">
                  <c:v>10.67968979584636</c:v>
                </c:pt>
                <c:pt idx="115" formatCode="0">
                  <c:v>10.67968979584636</c:v>
                </c:pt>
                <c:pt idx="116" formatCode="0">
                  <c:v>10.67968979584636</c:v>
                </c:pt>
                <c:pt idx="117" formatCode="0">
                  <c:v>10.67968979584636</c:v>
                </c:pt>
                <c:pt idx="118" formatCode="0">
                  <c:v>10.67968979584636</c:v>
                </c:pt>
                <c:pt idx="119" formatCode="0">
                  <c:v>10.67968979584636</c:v>
                </c:pt>
                <c:pt idx="120" formatCode="0">
                  <c:v>15.64242925287356</c:v>
                </c:pt>
                <c:pt idx="121" formatCode="0">
                  <c:v>15.64242925287356</c:v>
                </c:pt>
                <c:pt idx="122" formatCode="0">
                  <c:v>15.64242925287356</c:v>
                </c:pt>
                <c:pt idx="123" formatCode="0">
                  <c:v>15.64242925287356</c:v>
                </c:pt>
                <c:pt idx="124" formatCode="0">
                  <c:v>15.64242925287356</c:v>
                </c:pt>
                <c:pt idx="125" formatCode="0">
                  <c:v>15.64242925287356</c:v>
                </c:pt>
                <c:pt idx="126" formatCode="0">
                  <c:v>15.64242925287356</c:v>
                </c:pt>
                <c:pt idx="127" formatCode="0">
                  <c:v>15.64242925287356</c:v>
                </c:pt>
                <c:pt idx="128" formatCode="0">
                  <c:v>15.64242925287356</c:v>
                </c:pt>
                <c:pt idx="129" formatCode="0">
                  <c:v>15.64242925287356</c:v>
                </c:pt>
                <c:pt idx="130" formatCode="0">
                  <c:v>15.64242925287356</c:v>
                </c:pt>
                <c:pt idx="131" formatCode="0">
                  <c:v>15.64242925287356</c:v>
                </c:pt>
                <c:pt idx="132" formatCode="0">
                  <c:v>15.64242925287356</c:v>
                </c:pt>
                <c:pt idx="133" formatCode="0">
                  <c:v>15.64242925287356</c:v>
                </c:pt>
                <c:pt idx="134" formatCode="0">
                  <c:v>15.64242925287356</c:v>
                </c:pt>
                <c:pt idx="135" formatCode="0">
                  <c:v>15.64242925287356</c:v>
                </c:pt>
                <c:pt idx="136" formatCode="0">
                  <c:v>15.64242925287356</c:v>
                </c:pt>
                <c:pt idx="137" formatCode="0">
                  <c:v>15.64242925287356</c:v>
                </c:pt>
                <c:pt idx="138" formatCode="0">
                  <c:v>15.64242925287356</c:v>
                </c:pt>
                <c:pt idx="139" formatCode="0">
                  <c:v>15.64242925287356</c:v>
                </c:pt>
                <c:pt idx="140" formatCode="0">
                  <c:v>20.60516870990076</c:v>
                </c:pt>
                <c:pt idx="141" formatCode="0">
                  <c:v>20.60516870990076</c:v>
                </c:pt>
                <c:pt idx="142" formatCode="0">
                  <c:v>20.60516870990076</c:v>
                </c:pt>
                <c:pt idx="143" formatCode="0">
                  <c:v>20.60516870990076</c:v>
                </c:pt>
                <c:pt idx="144" formatCode="0">
                  <c:v>20.60516870990076</c:v>
                </c:pt>
                <c:pt idx="145" formatCode="0">
                  <c:v>20.60516870990076</c:v>
                </c:pt>
                <c:pt idx="146" formatCode="0">
                  <c:v>20.60516870990076</c:v>
                </c:pt>
                <c:pt idx="147" formatCode="0">
                  <c:v>20.60516870990076</c:v>
                </c:pt>
                <c:pt idx="148" formatCode="0">
                  <c:v>20.60516870990076</c:v>
                </c:pt>
                <c:pt idx="149" formatCode="0">
                  <c:v>20.60516870990076</c:v>
                </c:pt>
                <c:pt idx="150" formatCode="0">
                  <c:v>20.60516870990076</c:v>
                </c:pt>
                <c:pt idx="151" formatCode="0">
                  <c:v>20.60516870990076</c:v>
                </c:pt>
                <c:pt idx="152" formatCode="0">
                  <c:v>20.60516870990076</c:v>
                </c:pt>
                <c:pt idx="153" formatCode="0">
                  <c:v>20.60516870990076</c:v>
                </c:pt>
                <c:pt idx="154" formatCode="0">
                  <c:v>20.60516870990076</c:v>
                </c:pt>
                <c:pt idx="155" formatCode="0">
                  <c:v>20.60516870990076</c:v>
                </c:pt>
                <c:pt idx="156" formatCode="0">
                  <c:v>20.60516870990076</c:v>
                </c:pt>
                <c:pt idx="157" formatCode="0">
                  <c:v>20.60516870990076</c:v>
                </c:pt>
                <c:pt idx="158" formatCode="0">
                  <c:v>20.60516870990076</c:v>
                </c:pt>
                <c:pt idx="159" formatCode="0">
                  <c:v>20.60516870990076</c:v>
                </c:pt>
                <c:pt idx="160" formatCode="0">
                  <c:v>25.56790816692796</c:v>
                </c:pt>
                <c:pt idx="161" formatCode="0">
                  <c:v>25.56790816692796</c:v>
                </c:pt>
                <c:pt idx="162" formatCode="0">
                  <c:v>25.56790816692796</c:v>
                </c:pt>
                <c:pt idx="163" formatCode="0">
                  <c:v>25.56790816692796</c:v>
                </c:pt>
                <c:pt idx="164" formatCode="0">
                  <c:v>25.56790816692796</c:v>
                </c:pt>
                <c:pt idx="165" formatCode="0">
                  <c:v>25.56790816692796</c:v>
                </c:pt>
                <c:pt idx="166" formatCode="0">
                  <c:v>25.56790816692796</c:v>
                </c:pt>
                <c:pt idx="167" formatCode="0">
                  <c:v>25.56790816692796</c:v>
                </c:pt>
                <c:pt idx="168" formatCode="0">
                  <c:v>25.56790816692796</c:v>
                </c:pt>
                <c:pt idx="169" formatCode="0">
                  <c:v>25.56790816692796</c:v>
                </c:pt>
                <c:pt idx="170" formatCode="0">
                  <c:v>25.56790816692796</c:v>
                </c:pt>
                <c:pt idx="171" formatCode="0">
                  <c:v>25.56790816692796</c:v>
                </c:pt>
                <c:pt idx="172" formatCode="0">
                  <c:v>25.56790816692796</c:v>
                </c:pt>
                <c:pt idx="173" formatCode="0">
                  <c:v>25.56790816692796</c:v>
                </c:pt>
                <c:pt idx="174" formatCode="0">
                  <c:v>25.56790816692796</c:v>
                </c:pt>
                <c:pt idx="175" formatCode="0">
                  <c:v>25.56790816692796</c:v>
                </c:pt>
                <c:pt idx="176" formatCode="0">
                  <c:v>25.56790816692796</c:v>
                </c:pt>
                <c:pt idx="177" formatCode="0">
                  <c:v>25.56790816692796</c:v>
                </c:pt>
                <c:pt idx="178" formatCode="0">
                  <c:v>25.56790816692796</c:v>
                </c:pt>
                <c:pt idx="179" formatCode="0">
                  <c:v>25.56790816692796</c:v>
                </c:pt>
                <c:pt idx="180" formatCode="0">
                  <c:v>30.53064762395516</c:v>
                </c:pt>
                <c:pt idx="181" formatCode="0">
                  <c:v>30.53064762395516</c:v>
                </c:pt>
                <c:pt idx="182" formatCode="0">
                  <c:v>30.53064762395516</c:v>
                </c:pt>
                <c:pt idx="183" formatCode="0">
                  <c:v>30.53064762395516</c:v>
                </c:pt>
                <c:pt idx="184" formatCode="0">
                  <c:v>30.53064762395516</c:v>
                </c:pt>
                <c:pt idx="185" formatCode="0">
                  <c:v>30.53064762395516</c:v>
                </c:pt>
                <c:pt idx="186" formatCode="0">
                  <c:v>30.53064762395516</c:v>
                </c:pt>
                <c:pt idx="187" formatCode="0">
                  <c:v>30.53064762395516</c:v>
                </c:pt>
                <c:pt idx="188" formatCode="0">
                  <c:v>30.53064762395516</c:v>
                </c:pt>
                <c:pt idx="189" formatCode="0">
                  <c:v>30.53064762395516</c:v>
                </c:pt>
                <c:pt idx="190" formatCode="0">
                  <c:v>30.53064762395516</c:v>
                </c:pt>
                <c:pt idx="191" formatCode="0">
                  <c:v>30.53064762395516</c:v>
                </c:pt>
                <c:pt idx="192" formatCode="0">
                  <c:v>30.53064762395516</c:v>
                </c:pt>
                <c:pt idx="193" formatCode="0">
                  <c:v>30.53064762395516</c:v>
                </c:pt>
                <c:pt idx="194" formatCode="0">
                  <c:v>30.53064762395516</c:v>
                </c:pt>
                <c:pt idx="195" formatCode="0">
                  <c:v>30.53064762395516</c:v>
                </c:pt>
                <c:pt idx="196" formatCode="0">
                  <c:v>30.53064762395516</c:v>
                </c:pt>
                <c:pt idx="197" formatCode="0">
                  <c:v>30.53064762395516</c:v>
                </c:pt>
                <c:pt idx="198" formatCode="0">
                  <c:v>30.53064762395516</c:v>
                </c:pt>
                <c:pt idx="199" formatCode="0">
                  <c:v>30.53064762395516</c:v>
                </c:pt>
                <c:pt idx="200" formatCode="0">
                  <c:v>35.49338708098237</c:v>
                </c:pt>
                <c:pt idx="201" formatCode="0">
                  <c:v>35.49338708098237</c:v>
                </c:pt>
                <c:pt idx="202" formatCode="0">
                  <c:v>35.49338708098237</c:v>
                </c:pt>
                <c:pt idx="203" formatCode="0">
                  <c:v>35.49338708098237</c:v>
                </c:pt>
                <c:pt idx="204" formatCode="0">
                  <c:v>35.49338708098237</c:v>
                </c:pt>
                <c:pt idx="205" formatCode="0">
                  <c:v>35.49338708098237</c:v>
                </c:pt>
                <c:pt idx="206" formatCode="0">
                  <c:v>35.49338708098237</c:v>
                </c:pt>
                <c:pt idx="207" formatCode="0">
                  <c:v>35.49338708098237</c:v>
                </c:pt>
                <c:pt idx="208" formatCode="0">
                  <c:v>35.49338708098237</c:v>
                </c:pt>
                <c:pt idx="209" formatCode="0">
                  <c:v>35.49338708098237</c:v>
                </c:pt>
                <c:pt idx="210" formatCode="0">
                  <c:v>35.49338708098237</c:v>
                </c:pt>
                <c:pt idx="211" formatCode="0">
                  <c:v>35.49338708098237</c:v>
                </c:pt>
                <c:pt idx="212" formatCode="0">
                  <c:v>35.49338708098237</c:v>
                </c:pt>
                <c:pt idx="213" formatCode="0">
                  <c:v>35.49338708098237</c:v>
                </c:pt>
                <c:pt idx="214" formatCode="0">
                  <c:v>35.49338708098237</c:v>
                </c:pt>
                <c:pt idx="215" formatCode="0">
                  <c:v>35.49338708098237</c:v>
                </c:pt>
                <c:pt idx="216" formatCode="0">
                  <c:v>35.49338708098237</c:v>
                </c:pt>
                <c:pt idx="217" formatCode="0">
                  <c:v>35.49338708098237</c:v>
                </c:pt>
                <c:pt idx="218" formatCode="0">
                  <c:v>35.49338708098237</c:v>
                </c:pt>
                <c:pt idx="219" formatCode="0">
                  <c:v>35.49338708098237</c:v>
                </c:pt>
                <c:pt idx="220" formatCode="0">
                  <c:v>40.45612653800956</c:v>
                </c:pt>
                <c:pt idx="221" formatCode="0">
                  <c:v>40.45612653800956</c:v>
                </c:pt>
                <c:pt idx="222" formatCode="0">
                  <c:v>40.45612653800956</c:v>
                </c:pt>
                <c:pt idx="223" formatCode="0">
                  <c:v>40.45612653800956</c:v>
                </c:pt>
                <c:pt idx="224" formatCode="0">
                  <c:v>40.45612653800956</c:v>
                </c:pt>
                <c:pt idx="225" formatCode="0">
                  <c:v>40.45612653800956</c:v>
                </c:pt>
                <c:pt idx="226" formatCode="0">
                  <c:v>40.45612653800956</c:v>
                </c:pt>
                <c:pt idx="227" formatCode="0">
                  <c:v>40.45612653800956</c:v>
                </c:pt>
                <c:pt idx="228" formatCode="0">
                  <c:v>40.45612653800956</c:v>
                </c:pt>
                <c:pt idx="229" formatCode="0">
                  <c:v>40.45612653800956</c:v>
                </c:pt>
                <c:pt idx="230" formatCode="0">
                  <c:v>40.45612653800956</c:v>
                </c:pt>
                <c:pt idx="231" formatCode="0">
                  <c:v>40.45612653800956</c:v>
                </c:pt>
                <c:pt idx="232" formatCode="0">
                  <c:v>40.45612653800956</c:v>
                </c:pt>
                <c:pt idx="233" formatCode="0">
                  <c:v>40.45612653800956</c:v>
                </c:pt>
                <c:pt idx="234" formatCode="0">
                  <c:v>40.45612653800956</c:v>
                </c:pt>
                <c:pt idx="235" formatCode="0">
                  <c:v>40.45612653800956</c:v>
                </c:pt>
                <c:pt idx="236" formatCode="0">
                  <c:v>40.45612653800956</c:v>
                </c:pt>
                <c:pt idx="237" formatCode="0">
                  <c:v>40.45612653800956</c:v>
                </c:pt>
                <c:pt idx="238" formatCode="0">
                  <c:v>40.45612653800956</c:v>
                </c:pt>
                <c:pt idx="239" formatCode="0">
                  <c:v>40.45612653800956</c:v>
                </c:pt>
                <c:pt idx="240" formatCode="0">
                  <c:v>40.45612653800956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'Uneven Mixed Conifer'!$CN$77</c:f>
              <c:strCache>
                <c:ptCount val="1"/>
                <c:pt idx="0">
                  <c:v>Wood products </c:v>
                </c:pt>
              </c:strCache>
            </c:strRef>
          </c:tx>
          <c:marker>
            <c:symbol val="none"/>
          </c:marker>
          <c:val>
            <c:numRef>
              <c:f>'Uneven Mixed Conifer'!$CN$78:$CN$318</c:f>
              <c:numCache>
                <c:formatCode>General</c:formatCode>
                <c:ptCount val="241"/>
                <c:pt idx="40" formatCode="0">
                  <c:v>2.356909005599873</c:v>
                </c:pt>
                <c:pt idx="41" formatCode="0">
                  <c:v>2.320883069138215</c:v>
                </c:pt>
                <c:pt idx="42" formatCode="0">
                  <c:v>2.285407798016142</c:v>
                </c:pt>
                <c:pt idx="43" formatCode="0">
                  <c:v>2.250474775177888</c:v>
                </c:pt>
                <c:pt idx="44" formatCode="0">
                  <c:v>2.216075712224464</c:v>
                </c:pt>
                <c:pt idx="45" formatCode="0">
                  <c:v>2.182202447447107</c:v>
                </c:pt>
                <c:pt idx="46" formatCode="0">
                  <c:v>2.148846943890789</c:v>
                </c:pt>
                <c:pt idx="47" formatCode="0">
                  <c:v>2.116001287447326</c:v>
                </c:pt>
                <c:pt idx="48" formatCode="0">
                  <c:v>2.083657684977632</c:v>
                </c:pt>
                <c:pt idx="49" formatCode="0">
                  <c:v>2.051808462462677</c:v>
                </c:pt>
                <c:pt idx="50" formatCode="0">
                  <c:v>2.02044606318271</c:v>
                </c:pt>
                <c:pt idx="51" formatCode="0">
                  <c:v>1.989563045924307</c:v>
                </c:pt>
                <c:pt idx="52" formatCode="0">
                  <c:v>1.959152083214829</c:v>
                </c:pt>
                <c:pt idx="53" formatCode="0">
                  <c:v>1.929205959583866</c:v>
                </c:pt>
                <c:pt idx="54" formatCode="0">
                  <c:v>1.89971756985126</c:v>
                </c:pt>
                <c:pt idx="55" formatCode="0">
                  <c:v>1.870679917441281</c:v>
                </c:pt>
                <c:pt idx="56" formatCode="0">
                  <c:v>1.842086112722594</c:v>
                </c:pt>
                <c:pt idx="57" formatCode="0">
                  <c:v>1.813929371373575</c:v>
                </c:pt>
                <c:pt idx="58" formatCode="0">
                  <c:v>1.786203012772638</c:v>
                </c:pt>
                <c:pt idx="59" formatCode="0">
                  <c:v>1.758900458413145</c:v>
                </c:pt>
                <c:pt idx="60" formatCode="0">
                  <c:v>1.732015230342558</c:v>
                </c:pt>
                <c:pt idx="61" formatCode="0">
                  <c:v>1.705540949625444</c:v>
                </c:pt>
                <c:pt idx="62" formatCode="0">
                  <c:v>1.679471334829975</c:v>
                </c:pt>
                <c:pt idx="63" formatCode="0">
                  <c:v>1.653800200537558</c:v>
                </c:pt>
                <c:pt idx="64" formatCode="0">
                  <c:v>1.628521455875254</c:v>
                </c:pt>
                <c:pt idx="65" formatCode="0">
                  <c:v>1.603629103070621</c:v>
                </c:pt>
                <c:pt idx="66" formatCode="0">
                  <c:v>1.579117236028651</c:v>
                </c:pt>
                <c:pt idx="67" formatCode="0">
                  <c:v>1.554980038930454</c:v>
                </c:pt>
                <c:pt idx="68" formatCode="0">
                  <c:v>1.531211784853375</c:v>
                </c:pt>
                <c:pt idx="69" formatCode="0">
                  <c:v>1.50780683441218</c:v>
                </c:pt>
                <c:pt idx="70" formatCode="0">
                  <c:v>1.484759634421037</c:v>
                </c:pt>
                <c:pt idx="71" formatCode="0">
                  <c:v>1.462064716575928</c:v>
                </c:pt>
                <c:pt idx="72" formatCode="0">
                  <c:v>1.439716696157214</c:v>
                </c:pt>
                <c:pt idx="73" formatCode="0">
                  <c:v>1.417710270752027</c:v>
                </c:pt>
                <c:pt idx="74" formatCode="0">
                  <c:v>1.396040218996188</c:v>
                </c:pt>
                <c:pt idx="75" formatCode="0">
                  <c:v>1.37470139933536</c:v>
                </c:pt>
                <c:pt idx="76" formatCode="0">
                  <c:v>1.353688748805136</c:v>
                </c:pt>
                <c:pt idx="77" formatCode="0">
                  <c:v>1.33299728182977</c:v>
                </c:pt>
                <c:pt idx="78" formatCode="0">
                  <c:v>1.312622089039269</c:v>
                </c:pt>
                <c:pt idx="79" formatCode="0">
                  <c:v>1.292558336104581</c:v>
                </c:pt>
                <c:pt idx="80" formatCode="0">
                  <c:v>16.78136206580056</c:v>
                </c:pt>
                <c:pt idx="81" formatCode="0">
                  <c:v>16.52485480052804</c:v>
                </c:pt>
                <c:pt idx="82" formatCode="0">
                  <c:v>16.27226831217932</c:v>
                </c:pt>
                <c:pt idx="83" formatCode="0">
                  <c:v>16.02354267071043</c:v>
                </c:pt>
                <c:pt idx="84" formatCode="0">
                  <c:v>15.77861886212294</c:v>
                </c:pt>
                <c:pt idx="85" formatCode="0">
                  <c:v>15.53743877446195</c:v>
                </c:pt>
                <c:pt idx="86" formatCode="0">
                  <c:v>15.29994518402815</c:v>
                </c:pt>
                <c:pt idx="87" formatCode="0">
                  <c:v>15.06608174180062</c:v>
                </c:pt>
                <c:pt idx="88" formatCode="0">
                  <c:v>14.83579296006714</c:v>
                </c:pt>
                <c:pt idx="89" formatCode="0">
                  <c:v>14.60902419925889</c:v>
                </c:pt>
                <c:pt idx="90" formatCode="0">
                  <c:v>14.38572165498634</c:v>
                </c:pt>
                <c:pt idx="91" formatCode="0">
                  <c:v>14.16583234527338</c:v>
                </c:pt>
                <c:pt idx="92" formatCode="0">
                  <c:v>13.94930409798645</c:v>
                </c:pt>
                <c:pt idx="93" formatCode="0">
                  <c:v>13.73608553845597</c:v>
                </c:pt>
                <c:pt idx="94" formatCode="0">
                  <c:v>13.52612607728689</c:v>
                </c:pt>
                <c:pt idx="95" formatCode="0">
                  <c:v>13.31937589835553</c:v>
                </c:pt>
                <c:pt idx="96" formatCode="0">
                  <c:v>13.11578594698998</c:v>
                </c:pt>
                <c:pt idx="97" formatCode="0">
                  <c:v>12.91530791833112</c:v>
                </c:pt>
                <c:pt idx="98" formatCode="0">
                  <c:v>12.71789424587154</c:v>
                </c:pt>
                <c:pt idx="99" formatCode="0">
                  <c:v>12.52349809016961</c:v>
                </c:pt>
                <c:pt idx="100" formatCode="0">
                  <c:v>27.84063413094619</c:v>
                </c:pt>
                <c:pt idx="101" formatCode="0">
                  <c:v>27.41508315979257</c:v>
                </c:pt>
                <c:pt idx="102" formatCode="0">
                  <c:v>26.99603684037204</c:v>
                </c:pt>
                <c:pt idx="103" formatCode="0">
                  <c:v>26.58339574747575</c:v>
                </c:pt>
                <c:pt idx="104" formatCode="0">
                  <c:v>26.1770619756338</c:v>
                </c:pt>
                <c:pt idx="105" formatCode="0">
                  <c:v>25.77693911588553</c:v>
                </c:pt>
                <c:pt idx="106" formatCode="0">
                  <c:v>25.38293223290509</c:v>
                </c:pt>
                <c:pt idx="107" formatCode="0">
                  <c:v>24.99494784247655</c:v>
                </c:pt>
                <c:pt idx="108" formatCode="0">
                  <c:v>24.61289388931329</c:v>
                </c:pt>
                <c:pt idx="109" formatCode="0">
                  <c:v>24.23667972521651</c:v>
                </c:pt>
                <c:pt idx="110" formatCode="0">
                  <c:v>23.86621608756751</c:v>
                </c:pt>
                <c:pt idx="111" formatCode="0">
                  <c:v>23.50141507814879</c:v>
                </c:pt>
                <c:pt idx="112" formatCode="0">
                  <c:v>23.1421901422888</c:v>
                </c:pt>
                <c:pt idx="113" formatCode="0">
                  <c:v>22.78845604832555</c:v>
                </c:pt>
                <c:pt idx="114" formatCode="0">
                  <c:v>22.44012886738404</c:v>
                </c:pt>
                <c:pt idx="115" formatCode="0">
                  <c:v>22.09712595346287</c:v>
                </c:pt>
                <c:pt idx="116" formatCode="0">
                  <c:v>21.7593659238252</c:v>
                </c:pt>
                <c:pt idx="117" formatCode="0">
                  <c:v>21.42676863968942</c:v>
                </c:pt>
                <c:pt idx="118" formatCode="0">
                  <c:v>21.09925518721498</c:v>
                </c:pt>
                <c:pt idx="119" formatCode="0">
                  <c:v>20.77674785877892</c:v>
                </c:pt>
                <c:pt idx="120" formatCode="0">
                  <c:v>35.96773093774846</c:v>
                </c:pt>
                <c:pt idx="121" formatCode="0">
                  <c:v>35.41795528397707</c:v>
                </c:pt>
                <c:pt idx="122" formatCode="0">
                  <c:v>34.87658308690422</c:v>
                </c:pt>
                <c:pt idx="123" formatCode="0">
                  <c:v>34.34348589761804</c:v>
                </c:pt>
                <c:pt idx="124" formatCode="0">
                  <c:v>33.81853723058007</c:v>
                </c:pt>
                <c:pt idx="125" formatCode="0">
                  <c:v>33.30161253361453</c:v>
                </c:pt>
                <c:pt idx="126" formatCode="0">
                  <c:v>32.7925891583564</c:v>
                </c:pt>
                <c:pt idx="127" formatCode="0">
                  <c:v>32.29134633115121</c:v>
                </c:pt>
                <c:pt idx="128" formatCode="0">
                  <c:v>31.79776512439972</c:v>
                </c:pt>
                <c:pt idx="129" formatCode="0">
                  <c:v>31.31172842834035</c:v>
                </c:pt>
                <c:pt idx="130" formatCode="0">
                  <c:v>30.83312092326317</c:v>
                </c:pt>
                <c:pt idx="131" formatCode="0">
                  <c:v>30.36182905214854</c:v>
                </c:pt>
                <c:pt idx="132" formatCode="0">
                  <c:v>29.89774099372389</c:v>
                </c:pt>
                <c:pt idx="133" formatCode="0">
                  <c:v>29.44074663593243</c:v>
                </c:pt>
                <c:pt idx="134" formatCode="0">
                  <c:v>28.9907375498074</c:v>
                </c:pt>
                <c:pt idx="135" formatCode="0">
                  <c:v>28.54760696374553</c:v>
                </c:pt>
                <c:pt idx="136" formatCode="0">
                  <c:v>28.11124973817393</c:v>
                </c:pt>
                <c:pt idx="137" formatCode="0">
                  <c:v>27.68156234060403</c:v>
                </c:pt>
                <c:pt idx="138" formatCode="0">
                  <c:v>27.25844282106696</c:v>
                </c:pt>
                <c:pt idx="139" formatCode="0">
                  <c:v>26.84179078792427</c:v>
                </c:pt>
                <c:pt idx="140" formatCode="0">
                  <c:v>41.94006818725854</c:v>
                </c:pt>
                <c:pt idx="141" formatCode="0">
                  <c:v>41.2990038830695</c:v>
                </c:pt>
                <c:pt idx="142" formatCode="0">
                  <c:v>40.6677384051549</c:v>
                </c:pt>
                <c:pt idx="143" formatCode="0">
                  <c:v>40.04612197603418</c:v>
                </c:pt>
                <c:pt idx="144" formatCode="0">
                  <c:v>39.43400710761259</c:v>
                </c:pt>
                <c:pt idx="145" formatCode="0">
                  <c:v>38.83124856618734</c:v>
                </c:pt>
                <c:pt idx="146" formatCode="0">
                  <c:v>38.23770333798865</c:v>
                </c:pt>
                <c:pt idx="147" formatCode="0">
                  <c:v>37.65323059524758</c:v>
                </c:pt>
                <c:pt idx="148" formatCode="0">
                  <c:v>37.07769166278239</c:v>
                </c:pt>
                <c:pt idx="149" formatCode="0">
                  <c:v>36.51094998509578</c:v>
                </c:pt>
                <c:pt idx="150" formatCode="0">
                  <c:v>35.95287109397496</c:v>
                </c:pt>
                <c:pt idx="151" formatCode="0">
                  <c:v>35.40332257658702</c:v>
                </c:pt>
                <c:pt idx="152" formatCode="0">
                  <c:v>34.86217404406185</c:v>
                </c:pt>
                <c:pt idx="153" formatCode="0">
                  <c:v>34.32929710055551</c:v>
                </c:pt>
                <c:pt idx="154" formatCode="0">
                  <c:v>33.80456531278621</c:v>
                </c:pt>
                <c:pt idx="155" formatCode="0">
                  <c:v>33.28785418003611</c:v>
                </c:pt>
                <c:pt idx="156" formatCode="0">
                  <c:v>32.77904110461164</c:v>
                </c:pt>
                <c:pt idx="157" formatCode="0">
                  <c:v>32.2780053627552</c:v>
                </c:pt>
                <c:pt idx="158" formatCode="0">
                  <c:v>31.78462807600174</c:v>
                </c:pt>
                <c:pt idx="159" formatCode="0">
                  <c:v>31.29879218297285</c:v>
                </c:pt>
                <c:pt idx="160" formatCode="0">
                  <c:v>46.32894321481221</c:v>
                </c:pt>
                <c:pt idx="161" formatCode="0">
                  <c:v>45.62079387148711</c:v>
                </c:pt>
                <c:pt idx="162" formatCode="0">
                  <c:v>44.92346876583404</c:v>
                </c:pt>
                <c:pt idx="163" formatCode="0">
                  <c:v>44.2368024467059</c:v>
                </c:pt>
                <c:pt idx="164" formatCode="0">
                  <c:v>43.56063199191725</c:v>
                </c:pt>
                <c:pt idx="165" formatCode="0">
                  <c:v>42.89479696958847</c:v>
                </c:pt>
                <c:pt idx="166" formatCode="0">
                  <c:v>42.2391394000809</c:v>
                </c:pt>
                <c:pt idx="167" formatCode="0">
                  <c:v>41.59350371851367</c:v>
                </c:pt>
                <c:pt idx="168" formatCode="0">
                  <c:v>40.95773673785354</c:v>
                </c:pt>
                <c:pt idx="169" formatCode="0">
                  <c:v>40.33168761256892</c:v>
                </c:pt>
                <c:pt idx="170" formatCode="0">
                  <c:v>39.71520780283947</c:v>
                </c:pt>
                <c:pt idx="171" formatCode="0">
                  <c:v>39.10815103931266</c:v>
                </c:pt>
                <c:pt idx="172" formatCode="0">
                  <c:v>38.51037328839919</c:v>
                </c:pt>
                <c:pt idx="173" formatCode="0">
                  <c:v>37.92173271809872</c:v>
                </c:pt>
                <c:pt idx="174" formatCode="0">
                  <c:v>37.34208966434812</c:v>
                </c:pt>
                <c:pt idx="175" formatCode="0">
                  <c:v>36.77130659788394</c:v>
                </c:pt>
                <c:pt idx="176" formatCode="0">
                  <c:v>36.20924809161151</c:v>
                </c:pt>
                <c:pt idx="177" formatCode="0">
                  <c:v>35.65578078847275</c:v>
                </c:pt>
                <c:pt idx="178" formatCode="0">
                  <c:v>35.11077336980519</c:v>
                </c:pt>
                <c:pt idx="179" formatCode="0">
                  <c:v>34.57409652418453</c:v>
                </c:pt>
                <c:pt idx="180" formatCode="0">
                  <c:v>49.55418371995354</c:v>
                </c:pt>
                <c:pt idx="181" formatCode="0">
                  <c:v>48.79673577866147</c:v>
                </c:pt>
                <c:pt idx="182" formatCode="0">
                  <c:v>48.05086561629135</c:v>
                </c:pt>
                <c:pt idx="183" formatCode="0">
                  <c:v>47.31639626363189</c:v>
                </c:pt>
                <c:pt idx="184" formatCode="0">
                  <c:v>46.59315345648991</c:v>
                </c:pt>
                <c:pt idx="185" formatCode="0">
                  <c:v>45.88096559434351</c:v>
                </c:pt>
                <c:pt idx="186" formatCode="0">
                  <c:v>45.17966369962712</c:v>
                </c:pt>
                <c:pt idx="187" formatCode="0">
                  <c:v>44.48908137763901</c:v>
                </c:pt>
                <c:pt idx="188" formatCode="0">
                  <c:v>43.8090547770616</c:v>
                </c:pt>
                <c:pt idx="189" formatCode="0">
                  <c:v>43.13942255108518</c:v>
                </c:pt>
                <c:pt idx="190" formatCode="0">
                  <c:v>42.48002581912587</c:v>
                </c:pt>
                <c:pt idx="191" formatCode="0">
                  <c:v>41.8307081291288</c:v>
                </c:pt>
                <c:pt idx="192" formatCode="0">
                  <c:v>41.19131542044737</c:v>
                </c:pt>
                <c:pt idx="193" formatCode="0">
                  <c:v>40.56169598729005</c:v>
                </c:pt>
                <c:pt idx="194" formatCode="0">
                  <c:v>39.94170044272584</c:v>
                </c:pt>
                <c:pt idx="195" formatCode="0">
                  <c:v>39.33118168323984</c:v>
                </c:pt>
                <c:pt idx="196" formatCode="0">
                  <c:v>38.72999485383074</c:v>
                </c:pt>
                <c:pt idx="197" formatCode="0">
                  <c:v>38.13799731364173</c:v>
                </c:pt>
                <c:pt idx="198" formatCode="0">
                  <c:v>37.55504860211673</c:v>
                </c:pt>
                <c:pt idx="199" formatCode="0">
                  <c:v>36.98101040567393</c:v>
                </c:pt>
                <c:pt idx="200" formatCode="0">
                  <c:v>51.92430732809883</c:v>
                </c:pt>
                <c:pt idx="201" formatCode="0">
                  <c:v>50.93324180737675</c:v>
                </c:pt>
                <c:pt idx="202" formatCode="0">
                  <c:v>50.15471462250063</c:v>
                </c:pt>
                <c:pt idx="203" formatCode="0">
                  <c:v>49.38808741799262</c:v>
                </c:pt>
                <c:pt idx="204" formatCode="0">
                  <c:v>48.63317829971268</c:v>
                </c:pt>
                <c:pt idx="205" formatCode="0">
                  <c:v>47.88980815381773</c:v>
                </c:pt>
                <c:pt idx="206" formatCode="0">
                  <c:v>47.15780060426393</c:v>
                </c:pt>
                <c:pt idx="207" formatCode="0">
                  <c:v>46.43698197095892</c:v>
                </c:pt>
                <c:pt idx="208" formatCode="0">
                  <c:v>45.72718122855346</c:v>
                </c:pt>
                <c:pt idx="209" formatCode="0">
                  <c:v>45.02822996586298</c:v>
                </c:pt>
                <c:pt idx="210" formatCode="0">
                  <c:v>44.33996234590951</c:v>
                </c:pt>
                <c:pt idx="211" formatCode="0">
                  <c:v>43.66221506657427</c:v>
                </c:pt>
                <c:pt idx="212" formatCode="0">
                  <c:v>42.99482732185169</c:v>
                </c:pt>
                <c:pt idx="213" formatCode="0">
                  <c:v>42.33764076369572</c:v>
                </c:pt>
                <c:pt idx="214" formatCode="0">
                  <c:v>41.69049946444934</c:v>
                </c:pt>
                <c:pt idx="215" formatCode="0">
                  <c:v>41.05324987984827</c:v>
                </c:pt>
                <c:pt idx="216" formatCode="0">
                  <c:v>40.42574081259026</c:v>
                </c:pt>
                <c:pt idx="217" formatCode="0">
                  <c:v>39.80782337646117</c:v>
                </c:pt>
                <c:pt idx="218" formatCode="0">
                  <c:v>39.19935096100943</c:v>
                </c:pt>
                <c:pt idx="219" formatCode="0">
                  <c:v>38.60017919676046</c:v>
                </c:pt>
                <c:pt idx="220" formatCode="0">
                  <c:v>53.51872672417275</c:v>
                </c:pt>
                <c:pt idx="221" formatCode="0">
                  <c:v>52.70067976355912</c:v>
                </c:pt>
                <c:pt idx="222" formatCode="0">
                  <c:v>51.8951368528497</c:v>
                </c:pt>
                <c:pt idx="223" formatCode="0">
                  <c:v>51.1019068645524</c:v>
                </c:pt>
                <c:pt idx="224" formatCode="0">
                  <c:v>50.32080159260602</c:v>
                </c:pt>
                <c:pt idx="225" formatCode="0">
                  <c:v>49.55163570772557</c:v>
                </c:pt>
                <c:pt idx="226" formatCode="0">
                  <c:v>48.79422671342992</c:v>
                </c:pt>
                <c:pt idx="227" formatCode="0">
                  <c:v>48.04839490274177</c:v>
                </c:pt>
                <c:pt idx="228" formatCode="0">
                  <c:v>47.31396331554936</c:v>
                </c:pt>
                <c:pt idx="229" formatCode="0">
                  <c:v>46.59075769661992</c:v>
                </c:pt>
                <c:pt idx="230" formatCode="0">
                  <c:v>45.87860645425503</c:v>
                </c:pt>
                <c:pt idx="231" formatCode="0">
                  <c:v>45.17734061957776</c:v>
                </c:pt>
                <c:pt idx="232" formatCode="0">
                  <c:v>44.48679380644216</c:v>
                </c:pt>
                <c:pt idx="233" formatCode="0">
                  <c:v>43.80680217195567</c:v>
                </c:pt>
                <c:pt idx="234" formatCode="0">
                  <c:v>43.13720437760484</c:v>
                </c:pt>
                <c:pt idx="235" formatCode="0">
                  <c:v>42.47784155097521</c:v>
                </c:pt>
                <c:pt idx="236" formatCode="0">
                  <c:v>41.82855724805648</c:v>
                </c:pt>
                <c:pt idx="237" formatCode="0">
                  <c:v>41.18919741612365</c:v>
                </c:pt>
                <c:pt idx="238" formatCode="0">
                  <c:v>40.5596103571857</c:v>
                </c:pt>
                <c:pt idx="239" formatCode="0">
                  <c:v>39.93964669199292</c:v>
                </c:pt>
                <c:pt idx="240" formatCode="0">
                  <c:v>39.32915932459428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'Uneven Mixed Conifer'!$CO$77</c:f>
              <c:strCache>
                <c:ptCount val="1"/>
                <c:pt idx="0">
                  <c:v>Landfill storage</c:v>
                </c:pt>
              </c:strCache>
            </c:strRef>
          </c:tx>
          <c:marker>
            <c:symbol val="none"/>
          </c:marker>
          <c:val>
            <c:numRef>
              <c:f>'Uneven Mixed Conifer'!$CO$78:$CO$318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0.0180309811990599</c:v>
                </c:pt>
                <c:pt idx="42" formatCode="0">
                  <c:v>0.0357863543956574</c:v>
                </c:pt>
                <c:pt idx="43" formatCode="0">
                  <c:v>0.0532703323262037</c:v>
                </c:pt>
                <c:pt idx="44" formatCode="0">
                  <c:v>0.0704870633343924</c:v>
                </c:pt>
                <c:pt idx="45" formatCode="0">
                  <c:v>0.0874406323554598</c:v>
                </c:pt>
                <c:pt idx="46" formatCode="0">
                  <c:v>0.104135061885397</c:v>
                </c:pt>
                <c:pt idx="47" formatCode="0">
                  <c:v>0.12057431293535</c:v>
                </c:pt>
                <c:pt idx="48" formatCode="0">
                  <c:v>0.136762285971432</c:v>
                </c:pt>
                <c:pt idx="49" formatCode="0">
                  <c:v>0.152702821840166</c:v>
                </c:pt>
                <c:pt idx="50" formatCode="0">
                  <c:v>0.16839970267979</c:v>
                </c:pt>
                <c:pt idx="51" formatCode="0">
                  <c:v>0.183856652817621</c:v>
                </c:pt>
                <c:pt idx="52" formatCode="0">
                  <c:v>0.199077339653715</c:v>
                </c:pt>
                <c:pt idx="53" formatCode="0">
                  <c:v>0.214065374531011</c:v>
                </c:pt>
                <c:pt idx="54" formatCode="0">
                  <c:v>0.228824313592181</c:v>
                </c:pt>
                <c:pt idx="55" formatCode="0">
                  <c:v>0.243357658623375</c:v>
                </c:pt>
                <c:pt idx="56" formatCode="0">
                  <c:v>0.257668857885079</c:v>
                </c:pt>
                <c:pt idx="57" formatCode="0">
                  <c:v>0.271761306930262</c:v>
                </c:pt>
                <c:pt idx="58" formatCode="0">
                  <c:v>0.285638349410031</c:v>
                </c:pt>
                <c:pt idx="59" formatCode="0">
                  <c:v>0.299303277866957</c:v>
                </c:pt>
                <c:pt idx="60" formatCode="0">
                  <c:v>0.312759334516286</c:v>
                </c:pt>
                <c:pt idx="61" formatCode="0">
                  <c:v>0.326009712015202</c:v>
                </c:pt>
                <c:pt idx="62" formatCode="0">
                  <c:v>0.339057554220334</c:v>
                </c:pt>
                <c:pt idx="63" formatCode="0">
                  <c:v>0.351905956933689</c:v>
                </c:pt>
                <c:pt idx="64" formatCode="0">
                  <c:v>0.364557968637172</c:v>
                </c:pt>
                <c:pt idx="65" formatCode="0">
                  <c:v>0.377016591215891</c:v>
                </c:pt>
                <c:pt idx="66" formatCode="0">
                  <c:v>0.389284780670397</c:v>
                </c:pt>
                <c:pt idx="67" formatCode="0">
                  <c:v>0.401365447818044</c:v>
                </c:pt>
                <c:pt idx="68" formatCode="0">
                  <c:v>0.413261458983623</c:v>
                </c:pt>
                <c:pt idx="69" formatCode="0">
                  <c:v>0.42497563667944</c:v>
                </c:pt>
                <c:pt idx="70" formatCode="0">
                  <c:v>0.436510760275008</c:v>
                </c:pt>
                <c:pt idx="71" formatCode="0">
                  <c:v>0.447869566656485</c:v>
                </c:pt>
                <c:pt idx="72" formatCode="0">
                  <c:v>0.459054750876051</c:v>
                </c:pt>
                <c:pt idx="73" formatCode="0">
                  <c:v>0.470068966791347</c:v>
                </c:pt>
                <c:pt idx="74" formatCode="0">
                  <c:v>0.480914827695145</c:v>
                </c:pt>
                <c:pt idx="75" formatCode="0">
                  <c:v>0.491594906935389</c:v>
                </c:pt>
                <c:pt idx="76" formatCode="0">
                  <c:v>0.502111738525766</c:v>
                </c:pt>
                <c:pt idx="77" formatCode="0">
                  <c:v>0.512467817746937</c:v>
                </c:pt>
                <c:pt idx="78" formatCode="0">
                  <c:v>0.522665601738582</c:v>
                </c:pt>
                <c:pt idx="79" formatCode="0">
                  <c:v>0.532707510082394</c:v>
                </c:pt>
                <c:pt idx="80" formatCode="0">
                  <c:v>0.54259592537616</c:v>
                </c:pt>
                <c:pt idx="81" formatCode="0">
                  <c:v>0.710526017593721</c:v>
                </c:pt>
                <c:pt idx="82" formatCode="0">
                  <c:v>0.875889256861992</c:v>
                </c:pt>
                <c:pt idx="83" formatCode="0">
                  <c:v>1.038724878162484</c:v>
                </c:pt>
                <c:pt idx="84" formatCode="0">
                  <c:v>1.199071516760323</c:v>
                </c:pt>
                <c:pt idx="85" formatCode="0">
                  <c:v>1.356967217371062</c:v>
                </c:pt>
                <c:pt idx="86" formatCode="0">
                  <c:v>1.512449443187374</c:v>
                </c:pt>
                <c:pt idx="87" formatCode="0">
                  <c:v>1.665555084767778</c:v>
                </c:pt>
                <c:pt idx="88" formatCode="0">
                  <c:v>1.816320468789493</c:v>
                </c:pt>
                <c:pt idx="89" formatCode="0">
                  <c:v>1.964781366667503</c:v>
                </c:pt>
                <c:pt idx="90" formatCode="0">
                  <c:v>2.11097300304187</c:v>
                </c:pt>
                <c:pt idx="91" formatCode="0">
                  <c:v>2.254930064135334</c:v>
                </c:pt>
                <c:pt idx="92" formatCode="0">
                  <c:v>2.396686705983153</c:v>
                </c:pt>
                <c:pt idx="93" formatCode="0">
                  <c:v>2.536276562537142</c:v>
                </c:pt>
                <c:pt idx="94" formatCode="0">
                  <c:v>2.673732753645855</c:v>
                </c:pt>
                <c:pt idx="95" formatCode="0">
                  <c:v>2.80908789291278</c:v>
                </c:pt>
                <c:pt idx="96" formatCode="0">
                  <c:v>2.942374095434416</c:v>
                </c:pt>
                <c:pt idx="97" formatCode="0">
                  <c:v>3.073622985420078</c:v>
                </c:pt>
                <c:pt idx="98" formatCode="0">
                  <c:v>3.202865703695226</c:v>
                </c:pt>
                <c:pt idx="99" formatCode="0">
                  <c:v>3.330132915090115</c:v>
                </c:pt>
                <c:pt idx="100" formatCode="0">
                  <c:v>3.455454815715485</c:v>
                </c:pt>
                <c:pt idx="101" formatCode="0">
                  <c:v>3.737053963921717</c:v>
                </c:pt>
                <c:pt idx="102" formatCode="0">
                  <c:v>4.01434879957416</c:v>
                </c:pt>
                <c:pt idx="103" formatCode="0">
                  <c:v>4.287405115153652</c:v>
                </c:pt>
                <c:pt idx="104" formatCode="0">
                  <c:v>4.556287697486697</c:v>
                </c:pt>
                <c:pt idx="105" formatCode="0">
                  <c:v>4.821060343117153</c:v>
                </c:pt>
                <c:pt idx="106" formatCode="0">
                  <c:v>5.081785873442943</c:v>
                </c:pt>
                <c:pt idx="107" formatCode="0">
                  <c:v>5.338526149621403</c:v>
                </c:pt>
                <c:pt idx="108" formatCode="0">
                  <c:v>5.59134208724679</c:v>
                </c:pt>
                <c:pt idx="109" formatCode="0">
                  <c:v>5.840293670803463</c:v>
                </c:pt>
                <c:pt idx="110" formatCode="0">
                  <c:v>6.085439967898107</c:v>
                </c:pt>
                <c:pt idx="111" formatCode="0">
                  <c:v>6.326839143274448</c:v>
                </c:pt>
                <c:pt idx="112" formatCode="0">
                  <c:v>6.564548472613738</c:v>
                </c:pt>
                <c:pt idx="113" formatCode="0">
                  <c:v>6.798624356124286</c:v>
                </c:pt>
                <c:pt idx="114" formatCode="0">
                  <c:v>7.029122331923284</c:v>
                </c:pt>
                <c:pt idx="115" formatCode="0">
                  <c:v>7.256097089214081</c:v>
                </c:pt>
                <c:pt idx="116" formatCode="0">
                  <c:v>7.47960248126204</c:v>
                </c:pt>
                <c:pt idx="117" formatCode="0">
                  <c:v>7.699691538172061</c:v>
                </c:pt>
                <c:pt idx="118" formatCode="0">
                  <c:v>7.916416479470784</c:v>
                </c:pt>
                <c:pt idx="119" formatCode="0">
                  <c:v>8.129828726496486</c:v>
                </c:pt>
                <c:pt idx="120" formatCode="0">
                  <c:v>8.33997891459958</c:v>
                </c:pt>
                <c:pt idx="121" formatCode="0">
                  <c:v>8.70510972895129</c:v>
                </c:pt>
                <c:pt idx="122" formatCode="0">
                  <c:v>9.06465942859438</c:v>
                </c:pt>
                <c:pt idx="123" formatCode="0">
                  <c:v>9.418713322246075</c:v>
                </c:pt>
                <c:pt idx="124" formatCode="0">
                  <c:v>9.76735541465878</c:v>
                </c:pt>
                <c:pt idx="125" formatCode="0">
                  <c:v>10.1106684265515</c:v>
                </c:pt>
                <c:pt idx="126" formatCode="0">
                  <c:v>10.44873381423661</c:v>
                </c:pt>
                <c:pt idx="127" formatCode="0">
                  <c:v>10.78163178894664</c:v>
                </c:pt>
                <c:pt idx="128" formatCode="0">
                  <c:v>11.10944133586559</c:v>
                </c:pt>
                <c:pt idx="129" formatCode="0">
                  <c:v>11.43224023286945</c:v>
                </c:pt>
                <c:pt idx="130" formatCode="0">
                  <c:v>11.7501050689801</c:v>
                </c:pt>
                <c:pt idx="131" formatCode="0">
                  <c:v>12.06311126253734</c:v>
                </c:pt>
                <c:pt idx="132" formatCode="0">
                  <c:v>12.37133307909301</c:v>
                </c:pt>
                <c:pt idx="133" formatCode="0">
                  <c:v>12.67484364903163</c:v>
                </c:pt>
                <c:pt idx="134" formatCode="0">
                  <c:v>12.97371498492172</c:v>
                </c:pt>
                <c:pt idx="135" formatCode="0">
                  <c:v>13.26801799860192</c:v>
                </c:pt>
                <c:pt idx="136" formatCode="0">
                  <c:v>13.55782251800587</c:v>
                </c:pt>
                <c:pt idx="137" formatCode="0">
                  <c:v>13.84319730373002</c:v>
                </c:pt>
                <c:pt idx="138" formatCode="0">
                  <c:v>14.12421006534809</c:v>
                </c:pt>
                <c:pt idx="139" formatCode="0">
                  <c:v>14.40092747747625</c:v>
                </c:pt>
                <c:pt idx="140" formatCode="0">
                  <c:v>14.67341519559268</c:v>
                </c:pt>
                <c:pt idx="141" formatCode="0">
                  <c:v>15.09993069541002</c:v>
                </c:pt>
                <c:pt idx="142" formatCode="0">
                  <c:v>15.51992680043536</c:v>
                </c:pt>
                <c:pt idx="143" formatCode="0">
                  <c:v>15.9335031612288</c:v>
                </c:pt>
                <c:pt idx="144" formatCode="0">
                  <c:v>16.34075790516705</c:v>
                </c:pt>
                <c:pt idx="145" formatCode="0">
                  <c:v>16.74178765972556</c:v>
                </c:pt>
                <c:pt idx="146" formatCode="0">
                  <c:v>17.13668757540501</c:v>
                </c:pt>
                <c:pt idx="147" formatCode="0">
                  <c:v>17.52555134830713</c:v>
                </c:pt>
                <c:pt idx="148" formatCode="0">
                  <c:v>17.90847124236558</c:v>
                </c:pt>
                <c:pt idx="149" formatCode="0">
                  <c:v>18.28553811123704</c:v>
                </c:pt>
                <c:pt idx="150" formatCode="0">
                  <c:v>18.65684141985755</c:v>
                </c:pt>
                <c:pt idx="151" formatCode="0">
                  <c:v>19.02246926566953</c:v>
                </c:pt>
                <c:pt idx="152" formatCode="0">
                  <c:v>19.38250839952423</c:v>
                </c:pt>
                <c:pt idx="153" formatCode="0">
                  <c:v>19.73704424626468</c:v>
                </c:pt>
                <c:pt idx="154" formatCode="0">
                  <c:v>20.0861609249941</c:v>
                </c:pt>
                <c:pt idx="155" formatCode="0">
                  <c:v>20.42994126903444</c:v>
                </c:pt>
                <c:pt idx="156" formatCode="0">
                  <c:v>20.76846684557983</c:v>
                </c:pt>
                <c:pt idx="157" formatCode="0">
                  <c:v>21.10181797504972</c:v>
                </c:pt>
                <c:pt idx="158" formatCode="0">
                  <c:v>21.43007375014606</c:v>
                </c:pt>
                <c:pt idx="159" formatCode="0">
                  <c:v>21.75331205461936</c:v>
                </c:pt>
                <c:pt idx="160" formatCode="0">
                  <c:v>22.07160958174774</c:v>
                </c:pt>
                <c:pt idx="161" formatCode="0">
                  <c:v>22.54323467632824</c:v>
                </c:pt>
                <c:pt idx="162" formatCode="0">
                  <c:v>23.00765086481575</c:v>
                </c:pt>
                <c:pt idx="163" formatCode="0">
                  <c:v>23.46496833712099</c:v>
                </c:pt>
                <c:pt idx="164" formatCode="0">
                  <c:v>23.91529559887464</c:v>
                </c:pt>
                <c:pt idx="165" formatCode="0">
                  <c:v>24.35873949717202</c:v>
                </c:pt>
                <c:pt idx="166" formatCode="0">
                  <c:v>24.7954052459242</c:v>
                </c:pt>
                <c:pt idx="167" formatCode="0">
                  <c:v>25.22539645082164</c:v>
                </c:pt>
                <c:pt idx="168" formatCode="0">
                  <c:v>25.6488151339162</c:v>
                </c:pt>
                <c:pt idx="169" formatCode="0">
                  <c:v>26.06576175782748</c:v>
                </c:pt>
                <c:pt idx="170" formatCode="0">
                  <c:v>26.47633524957913</c:v>
                </c:pt>
                <c:pt idx="171" formatCode="0">
                  <c:v>26.88063302407077</c:v>
                </c:pt>
                <c:pt idx="172" formatCode="0">
                  <c:v>27.27875100719125</c:v>
                </c:pt>
                <c:pt idx="173" formatCode="0">
                  <c:v>27.67078365857849</c:v>
                </c:pt>
                <c:pt idx="174" formatCode="0">
                  <c:v>28.0568239940315</c:v>
                </c:pt>
                <c:pt idx="175" formatCode="0">
                  <c:v>28.43696360757984</c:v>
                </c:pt>
                <c:pt idx="176" formatCode="0">
                  <c:v>28.81129269321568</c:v>
                </c:pt>
                <c:pt idx="177" formatCode="0">
                  <c:v>29.17990006629375</c:v>
                </c:pt>
                <c:pt idx="178" formatCode="0">
                  <c:v>29.54287318460414</c:v>
                </c:pt>
                <c:pt idx="179" formatCode="0">
                  <c:v>29.90029816912298</c:v>
                </c:pt>
                <c:pt idx="180" formatCode="0">
                  <c:v>30.25225982444606</c:v>
                </c:pt>
                <c:pt idx="181" formatCode="0">
                  <c:v>30.75703448270456</c:v>
                </c:pt>
                <c:pt idx="182" formatCode="0">
                  <c:v>31.25409353559914</c:v>
                </c:pt>
                <c:pt idx="183" formatCode="0">
                  <c:v>31.74355491806404</c:v>
                </c:pt>
                <c:pt idx="184" formatCode="0">
                  <c:v>32.22553476236891</c:v>
                </c:pt>
                <c:pt idx="185" formatCode="0">
                  <c:v>32.70014742567297</c:v>
                </c:pt>
                <c:pt idx="186" formatCode="0">
                  <c:v>33.16750551715797</c:v>
                </c:pt>
                <c:pt idx="187" formatCode="0">
                  <c:v>33.62771992474654</c:v>
                </c:pt>
                <c:pt idx="188" formatCode="0">
                  <c:v>34.08089984141196</c:v>
                </c:pt>
                <c:pt idx="189" formatCode="0">
                  <c:v>34.52715279108602</c:v>
                </c:pt>
                <c:pt idx="190" formatCode="0">
                  <c:v>34.96658465417057</c:v>
                </c:pt>
                <c:pt idx="191" formatCode="0">
                  <c:v>35.39929969265937</c:v>
                </c:pt>
                <c:pt idx="192" formatCode="0">
                  <c:v>35.8254005748759</c:v>
                </c:pt>
                <c:pt idx="193" formatCode="0">
                  <c:v>36.2449883998329</c:v>
                </c:pt>
                <c:pt idx="194" formatCode="0">
                  <c:v>36.6581627212197</c:v>
                </c:pt>
                <c:pt idx="195" formatCode="0">
                  <c:v>37.06502157102297</c:v>
                </c:pt>
                <c:pt idx="196" formatCode="0">
                  <c:v>37.46566148278618</c:v>
                </c:pt>
                <c:pt idx="197" formatCode="0">
                  <c:v>37.86017751451377</c:v>
                </c:pt>
                <c:pt idx="198" formatCode="0">
                  <c:v>38.24866327122506</c:v>
                </c:pt>
                <c:pt idx="199" formatCode="0">
                  <c:v>38.63121092716359</c:v>
                </c:pt>
                <c:pt idx="200" formatCode="0">
                  <c:v>39.00791124766672</c:v>
                </c:pt>
                <c:pt idx="201" formatCode="0">
                  <c:v>38.45620699927224</c:v>
                </c:pt>
                <c:pt idx="202" formatCode="0">
                  <c:v>38.97574414064623</c:v>
                </c:pt>
                <c:pt idx="203" formatCode="0">
                  <c:v>39.48734002845459</c:v>
                </c:pt>
                <c:pt idx="204" formatCode="0">
                  <c:v>39.99111604672005</c:v>
                </c:pt>
                <c:pt idx="205" formatCode="0">
                  <c:v>40.48719172408062</c:v>
                </c:pt>
                <c:pt idx="206" formatCode="0">
                  <c:v>40.97568476214952</c:v>
                </c:pt>
                <c:pt idx="207" formatCode="0">
                  <c:v>41.45671106344173</c:v>
                </c:pt>
                <c:pt idx="208" formatCode="0">
                  <c:v>41.93038475887364</c:v>
                </c:pt>
                <c:pt idx="209" formatCode="0">
                  <c:v>42.39681823484243</c:v>
                </c:pt>
                <c:pt idx="210" formatCode="0">
                  <c:v>42.85612215989137</c:v>
                </c:pt>
                <c:pt idx="211" formatCode="0">
                  <c:v>43.30840551096774</c:v>
                </c:pt>
                <c:pt idx="212" formatCode="0">
                  <c:v>43.7537755992793</c:v>
                </c:pt>
                <c:pt idx="213" formatCode="0">
                  <c:v>44.19233809575538</c:v>
                </c:pt>
                <c:pt idx="214" formatCode="0">
                  <c:v>44.62419705611913</c:v>
                </c:pt>
                <c:pt idx="215" formatCode="0">
                  <c:v>45.04945494557624</c:v>
                </c:pt>
                <c:pt idx="216" formatCode="0">
                  <c:v>45.46821266312642</c:v>
                </c:pt>
                <c:pt idx="217" formatCode="0">
                  <c:v>45.88056956550323</c:v>
                </c:pt>
                <c:pt idx="218" formatCode="0">
                  <c:v>46.28662349074803</c:v>
                </c:pt>
                <c:pt idx="219" formatCode="0">
                  <c:v>46.6864707814235</c:v>
                </c:pt>
                <c:pt idx="220" formatCode="0">
                  <c:v>47.08020630747251</c:v>
                </c:pt>
                <c:pt idx="221" formatCode="0">
                  <c:v>47.626116312522</c:v>
                </c:pt>
                <c:pt idx="222" formatCode="0">
                  <c:v>48.16368194826876</c:v>
                </c:pt>
                <c:pt idx="223" formatCode="0">
                  <c:v>48.69303076045917</c:v>
                </c:pt>
                <c:pt idx="224" formatCode="0">
                  <c:v>49.21428834527138</c:v>
                </c:pt>
                <c:pt idx="225" formatCode="0">
                  <c:v>49.72757837911493</c:v>
                </c:pt>
                <c:pt idx="226" formatCode="0">
                  <c:v>50.23302264797488</c:v>
                </c:pt>
                <c:pt idx="227" formatCode="0">
                  <c:v>50.73074107630745</c:v>
                </c:pt>
                <c:pt idx="228" formatCode="0">
                  <c:v>51.22085175549385</c:v>
                </c:pt>
                <c:pt idx="229" formatCode="0">
                  <c:v>51.70347097185944</c:v>
                </c:pt>
                <c:pt idx="230" formatCode="0">
                  <c:v>52.17871323426427</c:v>
                </c:pt>
                <c:pt idx="231" formatCode="0">
                  <c:v>52.64669130127224</c:v>
                </c:pt>
                <c:pt idx="232" formatCode="0">
                  <c:v>53.10751620790473</c:v>
                </c:pt>
                <c:pt idx="233" formatCode="0">
                  <c:v>53.56129729198538</c:v>
                </c:pt>
                <c:pt idx="234" formatCode="0">
                  <c:v>54.00814222008216</c:v>
                </c:pt>
                <c:pt idx="235" formatCode="0">
                  <c:v>54.448157013053</c:v>
                </c:pt>
                <c:pt idx="236" formatCode="0">
                  <c:v>54.88144607120077</c:v>
                </c:pt>
                <c:pt idx="237" formatCode="0">
                  <c:v>55.30811219904395</c:v>
                </c:pt>
                <c:pt idx="238" formatCode="0">
                  <c:v>55.72825662970853</c:v>
                </c:pt>
                <c:pt idx="239" formatCode="0">
                  <c:v>56.14197904894719</c:v>
                </c:pt>
                <c:pt idx="240" formatCode="0">
                  <c:v>56.5493776187912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'Uneven Mixed Conifer'!$CP$77</c:f>
              <c:strCache>
                <c:ptCount val="1"/>
                <c:pt idx="0">
                  <c:v>Energy from post-consumer residues</c:v>
                </c:pt>
              </c:strCache>
            </c:strRef>
          </c:tx>
          <c:marker>
            <c:symbol val="none"/>
          </c:marker>
          <c:val>
            <c:numRef>
              <c:f>'Uneven Mixed Conifer'!$CP$78:$CP$318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0.00900648411541453</c:v>
                </c:pt>
                <c:pt idx="42" formatCode="0">
                  <c:v>0.0178753018959328</c:v>
                </c:pt>
                <c:pt idx="43" formatCode="0">
                  <c:v>0.0266085576054963</c:v>
                </c:pt>
                <c:pt idx="44" formatCode="0">
                  <c:v>0.0352083233438524</c:v>
                </c:pt>
                <c:pt idx="45" formatCode="0">
                  <c:v>0.0436766395381917</c:v>
                </c:pt>
                <c:pt idx="46" formatCode="0">
                  <c:v>0.0520155154272712</c:v>
                </c:pt>
                <c:pt idx="47" formatCode="0">
                  <c:v>0.0602269295381369</c:v>
                </c:pt>
                <c:pt idx="48" formatCode="0">
                  <c:v>0.0683128301555604</c:v>
                </c:pt>
                <c:pt idx="49" formatCode="0">
                  <c:v>0.0762751357842989</c:v>
                </c:pt>
                <c:pt idx="50" formatCode="0">
                  <c:v>0.0841157356042907</c:v>
                </c:pt>
                <c:pt idx="51" formatCode="0">
                  <c:v>0.0918364899188915</c:v>
                </c:pt>
                <c:pt idx="52" formatCode="0">
                  <c:v>0.0994392305962611</c:v>
                </c:pt>
                <c:pt idx="53" formatCode="0">
                  <c:v>0.106925761504002</c:v>
                </c:pt>
                <c:pt idx="54" formatCode="0">
                  <c:v>0.114297858937153</c:v>
                </c:pt>
                <c:pt idx="55" formatCode="0">
                  <c:v>0.121557272039648</c:v>
                </c:pt>
                <c:pt idx="56" formatCode="0">
                  <c:v>0.12870572321932</c:v>
                </c:pt>
                <c:pt idx="57" formatCode="0">
                  <c:v>0.135744908556574</c:v>
                </c:pt>
                <c:pt idx="58" formatCode="0">
                  <c:v>0.142676498206809</c:v>
                </c:pt>
                <c:pt idx="59" formatCode="0">
                  <c:v>0.149502136796682</c:v>
                </c:pt>
                <c:pt idx="60" formatCode="0">
                  <c:v>0.156223443814329</c:v>
                </c:pt>
                <c:pt idx="61" formatCode="0">
                  <c:v>0.162842013993607</c:v>
                </c:pt>
                <c:pt idx="62" formatCode="0">
                  <c:v>0.169359417692475</c:v>
                </c:pt>
                <c:pt idx="63" formatCode="0">
                  <c:v>0.175777201265579</c:v>
                </c:pt>
                <c:pt idx="64" formatCode="0">
                  <c:v>0.182096887431155</c:v>
                </c:pt>
                <c:pt idx="65" formatCode="0">
                  <c:v>0.188319975632313</c:v>
                </c:pt>
                <c:pt idx="66" formatCode="0">
                  <c:v>0.194447942392806</c:v>
                </c:pt>
                <c:pt idx="67" formatCode="0">
                  <c:v>0.200482241667355</c:v>
                </c:pt>
                <c:pt idx="68" formatCode="0">
                  <c:v>0.206424305186625</c:v>
                </c:pt>
                <c:pt idx="69" formatCode="0">
                  <c:v>0.212275542796923</c:v>
                </c:pt>
                <c:pt idx="70" formatCode="0">
                  <c:v>0.218037342794709</c:v>
                </c:pt>
                <c:pt idx="71" formatCode="0">
                  <c:v>0.223711072255986</c:v>
                </c:pt>
                <c:pt idx="72" formatCode="0">
                  <c:v>0.229298077360665</c:v>
                </c:pt>
                <c:pt idx="73" formatCode="0">
                  <c:v>0.234799683711962</c:v>
                </c:pt>
                <c:pt idx="74" formatCode="0">
                  <c:v>0.240217196650921</c:v>
                </c:pt>
                <c:pt idx="75" formatCode="0">
                  <c:v>0.245551901566128</c:v>
                </c:pt>
                <c:pt idx="76" formatCode="0">
                  <c:v>0.250805064198684</c:v>
                </c:pt>
                <c:pt idx="77" formatCode="0">
                  <c:v>0.255977930942526</c:v>
                </c:pt>
                <c:pt idx="78" formatCode="0">
                  <c:v>0.261071729140151</c:v>
                </c:pt>
                <c:pt idx="79" formatCode="0">
                  <c:v>0.266087667373823</c:v>
                </c:pt>
                <c:pt idx="80" formatCode="0">
                  <c:v>0.271026935752328</c:v>
                </c:pt>
                <c:pt idx="81" formatCode="0">
                  <c:v>0.354908100696164</c:v>
                </c:pt>
                <c:pt idx="82" formatCode="0">
                  <c:v>0.437507121309686</c:v>
                </c:pt>
                <c:pt idx="83" formatCode="0">
                  <c:v>0.518843595485756</c:v>
                </c:pt>
                <c:pt idx="84" formatCode="0">
                  <c:v>0.598936821558603</c:v>
                </c:pt>
                <c:pt idx="85" formatCode="0">
                  <c:v>0.677805802882648</c:v>
                </c:pt>
                <c:pt idx="86" formatCode="0">
                  <c:v>0.755469252341345</c:v>
                </c:pt>
                <c:pt idx="87" formatCode="0">
                  <c:v>0.831945596787102</c:v>
                </c:pt>
                <c:pt idx="88" formatCode="0">
                  <c:v>0.907252981413333</c:v>
                </c:pt>
                <c:pt idx="89" formatCode="0">
                  <c:v>0.981409274059691</c:v>
                </c:pt>
                <c:pt idx="90" formatCode="0">
                  <c:v>1.054432069451484</c:v>
                </c:pt>
                <c:pt idx="91" formatCode="0">
                  <c:v>1.126338693374293</c:v>
                </c:pt>
                <c:pt idx="92" formatCode="0">
                  <c:v>1.197146206784792</c:v>
                </c:pt>
                <c:pt idx="93" formatCode="0">
                  <c:v>1.266871409858712</c:v>
                </c:pt>
                <c:pt idx="94" formatCode="0">
                  <c:v>1.335530845976951</c:v>
                </c:pt>
                <c:pt idx="95" formatCode="0">
                  <c:v>1.403140805650739</c:v>
                </c:pt>
                <c:pt idx="96" formatCode="0">
                  <c:v>1.469717330386821</c:v>
                </c:pt>
                <c:pt idx="97" formatCode="0">
                  <c:v>1.535276216493545</c:v>
                </c:pt>
                <c:pt idx="98" formatCode="0">
                  <c:v>1.599833018828784</c:v>
                </c:pt>
                <c:pt idx="99" formatCode="0">
                  <c:v>1.663403054490566</c:v>
                </c:pt>
                <c:pt idx="100" formatCode="0">
                  <c:v>1.726001406451291</c:v>
                </c:pt>
                <c:pt idx="101" formatCode="0">
                  <c:v>1.866660321639219</c:v>
                </c:pt>
                <c:pt idx="102" formatCode="0">
                  <c:v>2.005169230556524</c:v>
                </c:pt>
                <c:pt idx="103" formatCode="0">
                  <c:v>2.141560996580246</c:v>
                </c:pt>
                <c:pt idx="104" formatCode="0">
                  <c:v>2.275867980762586</c:v>
                </c:pt>
                <c:pt idx="105" formatCode="0">
                  <c:v>2.408122049509067</c:v>
                </c:pt>
                <c:pt idx="106" formatCode="0">
                  <c:v>2.538354582139331</c:v>
                </c:pt>
                <c:pt idx="107" formatCode="0">
                  <c:v>2.666596478332369</c:v>
                </c:pt>
                <c:pt idx="108" formatCode="0">
                  <c:v>2.792878165457937</c:v>
                </c:pt>
                <c:pt idx="109" formatCode="0">
                  <c:v>2.917229605795935</c:v>
                </c:pt>
                <c:pt idx="110" formatCode="0">
                  <c:v>3.039680303645408</c:v>
                </c:pt>
                <c:pt idx="111" formatCode="0">
                  <c:v>3.160259312324899</c:v>
                </c:pt>
                <c:pt idx="112" formatCode="0">
                  <c:v>3.278995241065803</c:v>
                </c:pt>
                <c:pt idx="113" formatCode="0">
                  <c:v>3.395916261800343</c:v>
                </c:pt>
                <c:pt idx="114" formatCode="0">
                  <c:v>3.511050115845796</c:v>
                </c:pt>
                <c:pt idx="115" formatCode="0">
                  <c:v>3.624424120486554</c:v>
                </c:pt>
                <c:pt idx="116" formatCode="0">
                  <c:v>3.736065175455565</c:v>
                </c:pt>
                <c:pt idx="117" formatCode="0">
                  <c:v>3.845999769316714</c:v>
                </c:pt>
                <c:pt idx="118" formatCode="0">
                  <c:v>3.954253985749642</c:v>
                </c:pt>
                <c:pt idx="119" formatCode="0">
                  <c:v>4.060853509738505</c:v>
                </c:pt>
                <c:pt idx="120" formatCode="0">
                  <c:v>4.165823633666124</c:v>
                </c:pt>
                <c:pt idx="121" formatCode="0">
                  <c:v>4.348206657817826</c:v>
                </c:pt>
                <c:pt idx="122" formatCode="0">
                  <c:v>4.527801912384804</c:v>
                </c:pt>
                <c:pt idx="123" formatCode="0">
                  <c:v>4.704652009113923</c:v>
                </c:pt>
                <c:pt idx="124" formatCode="0">
                  <c:v>4.878798908420966</c:v>
                </c:pt>
                <c:pt idx="125" formatCode="0">
                  <c:v>5.050283929346401</c:v>
                </c:pt>
                <c:pt idx="126" formatCode="0">
                  <c:v>5.219147759358942</c:v>
                </c:pt>
                <c:pt idx="127" formatCode="0">
                  <c:v>5.385430464009309</c:v>
                </c:pt>
                <c:pt idx="128" formatCode="0">
                  <c:v>5.549171496436358</c:v>
                </c:pt>
                <c:pt idx="129" formatCode="0">
                  <c:v>5.710409706727993</c:v>
                </c:pt>
                <c:pt idx="130" formatCode="0">
                  <c:v>5.869183351138909</c:v>
                </c:pt>
                <c:pt idx="131" formatCode="0">
                  <c:v>6.025530101167501</c:v>
                </c:pt>
                <c:pt idx="132" formatCode="0">
                  <c:v>6.17948705249401</c:v>
                </c:pt>
                <c:pt idx="133" formatCode="0">
                  <c:v>6.33109073378203</c:v>
                </c:pt>
                <c:pt idx="134" formatCode="0">
                  <c:v>6.480377115345513</c:v>
                </c:pt>
                <c:pt idx="135" formatCode="0">
                  <c:v>6.627381617683275</c:v>
                </c:pt>
                <c:pt idx="136" formatCode="0">
                  <c:v>6.772139119883051</c:v>
                </c:pt>
                <c:pt idx="137" formatCode="0">
                  <c:v>6.91468396789711</c:v>
                </c:pt>
                <c:pt idx="138" formatCode="0">
                  <c:v>7.05504998269135</c:v>
                </c:pt>
                <c:pt idx="139" formatCode="0">
                  <c:v>7.193270468269852</c:v>
                </c:pt>
                <c:pt idx="140" formatCode="0">
                  <c:v>7.329378219576762</c:v>
                </c:pt>
                <c:pt idx="141" formatCode="0">
                  <c:v>7.542422924780227</c:v>
                </c:pt>
                <c:pt idx="142" formatCode="0">
                  <c:v>7.752211189028646</c:v>
                </c:pt>
                <c:pt idx="143" formatCode="0">
                  <c:v>7.958792787826572</c:v>
                </c:pt>
                <c:pt idx="144" formatCode="0">
                  <c:v>8.16221673584767</c:v>
                </c:pt>
                <c:pt idx="145" formatCode="0">
                  <c:v>8.36253129856421</c:v>
                </c:pt>
                <c:pt idx="146" formatCode="0">
                  <c:v>8.559784003698805</c:v>
                </c:pt>
                <c:pt idx="147" formatCode="0">
                  <c:v>8.754021652501061</c:v>
                </c:pt>
                <c:pt idx="148" formatCode="0">
                  <c:v>8.945290330851936</c:v>
                </c:pt>
                <c:pt idx="149" formatCode="0">
                  <c:v>9.133635420198318</c:v>
                </c:pt>
                <c:pt idx="150" formatCode="0">
                  <c:v>9.319101608320451</c:v>
                </c:pt>
                <c:pt idx="151" formatCode="0">
                  <c:v>9.50173289993483</c:v>
                </c:pt>
                <c:pt idx="152" formatCode="0">
                  <c:v>9.681572627134976</c:v>
                </c:pt>
                <c:pt idx="153" formatCode="0">
                  <c:v>9.858663459672667</c:v>
                </c:pt>
                <c:pt idx="154" formatCode="0">
                  <c:v>10.03304741508197</c:v>
                </c:pt>
                <c:pt idx="155" formatCode="0">
                  <c:v>10.20476586864857</c:v>
                </c:pt>
                <c:pt idx="156" formatCode="0">
                  <c:v>10.37385956322669</c:v>
                </c:pt>
                <c:pt idx="157" formatCode="0">
                  <c:v>10.54036861890595</c:v>
                </c:pt>
                <c:pt idx="158" formatCode="0">
                  <c:v>10.7043325425305</c:v>
                </c:pt>
                <c:pt idx="159" formatCode="0">
                  <c:v>10.86579023707261</c:v>
                </c:pt>
                <c:pt idx="160" formatCode="0">
                  <c:v>11.024780010863</c:v>
                </c:pt>
                <c:pt idx="161" formatCode="0">
                  <c:v>11.26035698118293</c:v>
                </c:pt>
                <c:pt idx="162" formatCode="0">
                  <c:v>11.49233309930857</c:v>
                </c:pt>
                <c:pt idx="163" formatCode="0">
                  <c:v>11.72076340515533</c:v>
                </c:pt>
                <c:pt idx="164" formatCode="0">
                  <c:v>11.94570209733997</c:v>
                </c:pt>
                <c:pt idx="165" formatCode="0">
                  <c:v>12.16720254603997</c:v>
                </c:pt>
                <c:pt idx="166" formatCode="0">
                  <c:v>12.38531730565644</c:v>
                </c:pt>
                <c:pt idx="167" formatCode="0">
                  <c:v>12.60009812728353</c:v>
                </c:pt>
                <c:pt idx="168" formatCode="0">
                  <c:v>12.81159597098711</c:v>
                </c:pt>
                <c:pt idx="169" formatCode="0">
                  <c:v>13.01986101789584</c:v>
                </c:pt>
                <c:pt idx="170" formatCode="0">
                  <c:v>13.22494268210745</c:v>
                </c:pt>
                <c:pt idx="171" formatCode="0">
                  <c:v>13.42688962241297</c:v>
                </c:pt>
                <c:pt idx="172" formatCode="0">
                  <c:v>13.62574975384178</c:v>
                </c:pt>
                <c:pt idx="173" formatCode="0">
                  <c:v>13.82157025903021</c:v>
                </c:pt>
                <c:pt idx="174" formatCode="0">
                  <c:v>14.01439759941633</c:v>
                </c:pt>
                <c:pt idx="175" formatCode="0">
                  <c:v>14.20427752626366</c:v>
                </c:pt>
                <c:pt idx="176" formatCode="0">
                  <c:v>14.39125509151632</c:v>
                </c:pt>
                <c:pt idx="177" formatCode="0">
                  <c:v>14.57537465848838</c:v>
                </c:pt>
                <c:pt idx="178" formatCode="0">
                  <c:v>14.75667991238968</c:v>
                </c:pt>
                <c:pt idx="179" formatCode="0">
                  <c:v>14.9352138706908</c:v>
                </c:pt>
                <c:pt idx="180" formatCode="0">
                  <c:v>15.1110188933297</c:v>
                </c:pt>
                <c:pt idx="181" formatCode="0">
                  <c:v>15.36315408726501</c:v>
                </c:pt>
                <c:pt idx="182" formatCode="0">
                  <c:v>15.6114353324671</c:v>
                </c:pt>
                <c:pt idx="183" formatCode="0">
                  <c:v>15.85592153749452</c:v>
                </c:pt>
                <c:pt idx="184" formatCode="0">
                  <c:v>16.09667071047398</c:v>
                </c:pt>
                <c:pt idx="185" formatCode="0">
                  <c:v>16.33373997286362</c:v>
                </c:pt>
                <c:pt idx="186" formatCode="0">
                  <c:v>16.56718557300597</c:v>
                </c:pt>
                <c:pt idx="187" formatCode="0">
                  <c:v>16.79706289947379</c:v>
                </c:pt>
                <c:pt idx="188" formatCode="0">
                  <c:v>17.02342649421177</c:v>
                </c:pt>
                <c:pt idx="189" formatCode="0">
                  <c:v>17.24633006547753</c:v>
                </c:pt>
                <c:pt idx="190" formatCode="0">
                  <c:v>17.46582650058469</c:v>
                </c:pt>
                <c:pt idx="191" formatCode="0">
                  <c:v>17.68196787845123</c:v>
                </c:pt>
                <c:pt idx="192" formatCode="0">
                  <c:v>17.89480548195599</c:v>
                </c:pt>
                <c:pt idx="193" formatCode="0">
                  <c:v>18.10438981010633</c:v>
                </c:pt>
                <c:pt idx="194" formatCode="0">
                  <c:v>18.31077059001982</c:v>
                </c:pt>
                <c:pt idx="195" formatCode="0">
                  <c:v>18.51399678872276</c:v>
                </c:pt>
                <c:pt idx="196" formatCode="0">
                  <c:v>18.71411662476832</c:v>
                </c:pt>
                <c:pt idx="197" formatCode="0">
                  <c:v>18.9111775796772</c:v>
                </c:pt>
                <c:pt idx="198" formatCode="0">
                  <c:v>19.10522640920333</c:v>
                </c:pt>
                <c:pt idx="199" formatCode="0">
                  <c:v>19.29630915442736</c:v>
                </c:pt>
                <c:pt idx="200" formatCode="0">
                  <c:v>19.48447115268068</c:v>
                </c:pt>
                <c:pt idx="201" formatCode="0">
                  <c:v>19.20889460503109</c:v>
                </c:pt>
                <c:pt idx="202" formatCode="0">
                  <c:v>19.46840366665646</c:v>
                </c:pt>
                <c:pt idx="203" formatCode="0">
                  <c:v>19.72394606815913</c:v>
                </c:pt>
                <c:pt idx="204" formatCode="0">
                  <c:v>19.9755824409191</c:v>
                </c:pt>
                <c:pt idx="205" formatCode="0">
                  <c:v>20.22337248955076</c:v>
                </c:pt>
                <c:pt idx="206" formatCode="0">
                  <c:v>20.46737500606869</c:v>
                </c:pt>
                <c:pt idx="207" formatCode="0">
                  <c:v>20.70764788383702</c:v>
                </c:pt>
                <c:pt idx="208" formatCode="0">
                  <c:v>20.94424813130551</c:v>
                </c:pt>
                <c:pt idx="209" formatCode="0">
                  <c:v>21.17723188553567</c:v>
                </c:pt>
                <c:pt idx="210" formatCode="0">
                  <c:v>21.40665442552016</c:v>
                </c:pt>
                <c:pt idx="211" formatCode="0">
                  <c:v>21.63257018529857</c:v>
                </c:pt>
                <c:pt idx="212" formatCode="0">
                  <c:v>21.85503276687277</c:v>
                </c:pt>
                <c:pt idx="213" formatCode="0">
                  <c:v>22.07409495292476</c:v>
                </c:pt>
                <c:pt idx="214" formatCode="0">
                  <c:v>22.28980871934022</c:v>
                </c:pt>
                <c:pt idx="215" formatCode="0">
                  <c:v>22.50222524754057</c:v>
                </c:pt>
                <c:pt idx="216" formatCode="0">
                  <c:v>22.71139493662658</c:v>
                </c:pt>
                <c:pt idx="217" formatCode="0">
                  <c:v>22.91736741533628</c:v>
                </c:pt>
                <c:pt idx="218" formatCode="0">
                  <c:v>23.12019155382018</c:v>
                </c:pt>
                <c:pt idx="219" formatCode="0">
                  <c:v>23.31991547523651</c:v>
                </c:pt>
                <c:pt idx="220" formatCode="0">
                  <c:v>23.51658656716908</c:v>
                </c:pt>
                <c:pt idx="221" formatCode="0">
                  <c:v>23.78926888737363</c:v>
                </c:pt>
                <c:pt idx="222" formatCode="0">
                  <c:v>24.05778319094343</c:v>
                </c:pt>
                <c:pt idx="223" formatCode="0">
                  <c:v>24.32219318704253</c:v>
                </c:pt>
                <c:pt idx="224" formatCode="0">
                  <c:v>24.58256161102466</c:v>
                </c:pt>
                <c:pt idx="225" formatCode="0">
                  <c:v>24.83895023931814</c:v>
                </c:pt>
                <c:pt idx="226" formatCode="0">
                  <c:v>25.09141990408335</c:v>
                </c:pt>
                <c:pt idx="227" formatCode="0">
                  <c:v>25.34003050764607</c:v>
                </c:pt>
                <c:pt idx="228" formatCode="0">
                  <c:v>25.58484103671021</c:v>
                </c:pt>
                <c:pt idx="229" formatCode="0">
                  <c:v>25.82590957635335</c:v>
                </c:pt>
                <c:pt idx="230" formatCode="0">
                  <c:v>26.06329332380832</c:v>
                </c:pt>
                <c:pt idx="231" formatCode="0">
                  <c:v>26.29704860203407</c:v>
                </c:pt>
                <c:pt idx="232" formatCode="0">
                  <c:v>26.52723087307928</c:v>
                </c:pt>
                <c:pt idx="233" formatCode="0">
                  <c:v>26.75389475124144</c:v>
                </c:pt>
                <c:pt idx="234" formatCode="0">
                  <c:v>26.97709401602505</c:v>
                </c:pt>
                <c:pt idx="235" formatCode="0">
                  <c:v>27.19688162490158</c:v>
                </c:pt>
                <c:pt idx="236" formatCode="0">
                  <c:v>27.4133097258745</c:v>
                </c:pt>
                <c:pt idx="237" formatCode="0">
                  <c:v>27.62642966985211</c:v>
                </c:pt>
                <c:pt idx="238" formatCode="0">
                  <c:v>27.83629202283142</c:v>
                </c:pt>
                <c:pt idx="239" formatCode="0">
                  <c:v>28.04294657789569</c:v>
                </c:pt>
                <c:pt idx="240" formatCode="0">
                  <c:v>28.24644236702856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'Uneven Mixed Conifer'!$CQ$77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marker>
            <c:symbol val="none"/>
          </c:marker>
          <c:val>
            <c:numRef>
              <c:f>'Uneven Mixed Conifer'!$CQ$78:$CQ$318</c:f>
              <c:numCache>
                <c:formatCode>General</c:formatCode>
                <c:ptCount val="241"/>
                <c:pt idx="40" formatCode="0">
                  <c:v>1.343438133191928</c:v>
                </c:pt>
                <c:pt idx="41" formatCode="0">
                  <c:v>1.343438133191928</c:v>
                </c:pt>
                <c:pt idx="42" formatCode="0">
                  <c:v>1.343438133191928</c:v>
                </c:pt>
                <c:pt idx="43" formatCode="0">
                  <c:v>1.343438133191928</c:v>
                </c:pt>
                <c:pt idx="44" formatCode="0">
                  <c:v>1.343438133191928</c:v>
                </c:pt>
                <c:pt idx="45" formatCode="0">
                  <c:v>1.343438133191928</c:v>
                </c:pt>
                <c:pt idx="46" formatCode="0">
                  <c:v>1.343438133191928</c:v>
                </c:pt>
                <c:pt idx="47" formatCode="0">
                  <c:v>1.343438133191928</c:v>
                </c:pt>
                <c:pt idx="48" formatCode="0">
                  <c:v>1.343438133191928</c:v>
                </c:pt>
                <c:pt idx="49" formatCode="0">
                  <c:v>1.343438133191928</c:v>
                </c:pt>
                <c:pt idx="50" formatCode="0">
                  <c:v>1.343438133191928</c:v>
                </c:pt>
                <c:pt idx="51" formatCode="0">
                  <c:v>1.343438133191928</c:v>
                </c:pt>
                <c:pt idx="52" formatCode="0">
                  <c:v>1.343438133191928</c:v>
                </c:pt>
                <c:pt idx="53" formatCode="0">
                  <c:v>1.343438133191928</c:v>
                </c:pt>
                <c:pt idx="54" formatCode="0">
                  <c:v>1.343438133191928</c:v>
                </c:pt>
                <c:pt idx="55" formatCode="0">
                  <c:v>1.343438133191928</c:v>
                </c:pt>
                <c:pt idx="56" formatCode="0">
                  <c:v>1.343438133191928</c:v>
                </c:pt>
                <c:pt idx="57" formatCode="0">
                  <c:v>1.343438133191928</c:v>
                </c:pt>
                <c:pt idx="58" formatCode="0">
                  <c:v>1.343438133191928</c:v>
                </c:pt>
                <c:pt idx="59" formatCode="0">
                  <c:v>1.343438133191928</c:v>
                </c:pt>
                <c:pt idx="60" formatCode="0">
                  <c:v>1.343438133191928</c:v>
                </c:pt>
                <c:pt idx="61" formatCode="0">
                  <c:v>1.343438133191928</c:v>
                </c:pt>
                <c:pt idx="62" formatCode="0">
                  <c:v>1.343438133191928</c:v>
                </c:pt>
                <c:pt idx="63" formatCode="0">
                  <c:v>1.343438133191928</c:v>
                </c:pt>
                <c:pt idx="64" formatCode="0">
                  <c:v>1.343438133191928</c:v>
                </c:pt>
                <c:pt idx="65" formatCode="0">
                  <c:v>1.343438133191928</c:v>
                </c:pt>
                <c:pt idx="66" formatCode="0">
                  <c:v>1.343438133191928</c:v>
                </c:pt>
                <c:pt idx="67" formatCode="0">
                  <c:v>1.343438133191928</c:v>
                </c:pt>
                <c:pt idx="68" formatCode="0">
                  <c:v>1.343438133191928</c:v>
                </c:pt>
                <c:pt idx="69" formatCode="0">
                  <c:v>1.343438133191928</c:v>
                </c:pt>
                <c:pt idx="70" formatCode="0">
                  <c:v>1.343438133191928</c:v>
                </c:pt>
                <c:pt idx="71" formatCode="0">
                  <c:v>1.343438133191928</c:v>
                </c:pt>
                <c:pt idx="72" formatCode="0">
                  <c:v>1.343438133191928</c:v>
                </c:pt>
                <c:pt idx="73" formatCode="0">
                  <c:v>1.343438133191928</c:v>
                </c:pt>
                <c:pt idx="74" formatCode="0">
                  <c:v>1.343438133191928</c:v>
                </c:pt>
                <c:pt idx="75" formatCode="0">
                  <c:v>1.343438133191928</c:v>
                </c:pt>
                <c:pt idx="76" formatCode="0">
                  <c:v>1.343438133191928</c:v>
                </c:pt>
                <c:pt idx="77" formatCode="0">
                  <c:v>1.343438133191928</c:v>
                </c:pt>
                <c:pt idx="78" formatCode="0">
                  <c:v>1.343438133191928</c:v>
                </c:pt>
                <c:pt idx="79" formatCode="0">
                  <c:v>1.343438133191928</c:v>
                </c:pt>
                <c:pt idx="80" formatCode="0">
                  <c:v>10.18331779102163</c:v>
                </c:pt>
                <c:pt idx="81" formatCode="0">
                  <c:v>10.0481980464218</c:v>
                </c:pt>
                <c:pt idx="82" formatCode="0">
                  <c:v>9.915143640501627</c:v>
                </c:pt>
                <c:pt idx="83" formatCode="0">
                  <c:v>9.784123004049102</c:v>
                </c:pt>
                <c:pt idx="84" formatCode="0">
                  <c:v>9.655105050395443</c:v>
                </c:pt>
                <c:pt idx="85" formatCode="0">
                  <c:v>9.528059168039272</c:v>
                </c:pt>
                <c:pt idx="86" formatCode="0">
                  <c:v>9.40295521338358</c:v>
                </c:pt>
                <c:pt idx="87" formatCode="0">
                  <c:v>9.279763503583678</c:v>
                </c:pt>
                <c:pt idx="88" formatCode="0">
                  <c:v>9.1584548095045</c:v>
                </c:pt>
                <c:pt idx="89" formatCode="0">
                  <c:v>9.039000348785521</c:v>
                </c:pt>
                <c:pt idx="90" formatCode="0">
                  <c:v>8.921371779011718</c:v>
                </c:pt>
                <c:pt idx="91" formatCode="0">
                  <c:v>8.805541190988876</c:v>
                </c:pt>
                <c:pt idx="92" formatCode="0">
                  <c:v>8.691481102121713</c:v>
                </c:pt>
                <c:pt idx="93" formatCode="0">
                  <c:v>8.579164449893205</c:v>
                </c:pt>
                <c:pt idx="94" formatCode="0">
                  <c:v>8.46856458544359</c:v>
                </c:pt>
                <c:pt idx="95" formatCode="0">
                  <c:v>8.359655267247504</c:v>
                </c:pt>
                <c:pt idx="96" formatCode="0">
                  <c:v>8.25241065488779</c:v>
                </c:pt>
                <c:pt idx="97" formatCode="0">
                  <c:v>8.146805302924441</c:v>
                </c:pt>
                <c:pt idx="98" formatCode="0">
                  <c:v>8.0428141548573</c:v>
                </c:pt>
                <c:pt idx="99" formatCode="0">
                  <c:v>7.940412537180999</c:v>
                </c:pt>
                <c:pt idx="100" formatCode="0">
                  <c:v>16.6794558113605</c:v>
                </c:pt>
                <c:pt idx="101" formatCode="0">
                  <c:v>16.44504099214775</c:v>
                </c:pt>
                <c:pt idx="102" formatCode="0">
                  <c:v>16.21420926136252</c:v>
                </c:pt>
                <c:pt idx="103" formatCode="0">
                  <c:v>15.9869058506129</c:v>
                </c:pt>
                <c:pt idx="104" formatCode="0">
                  <c:v>15.76307682865544</c:v>
                </c:pt>
                <c:pt idx="105" formatCode="0">
                  <c:v>15.54266908859904</c:v>
                </c:pt>
                <c:pt idx="106" formatCode="0">
                  <c:v>15.32563033530458</c:v>
                </c:pt>
                <c:pt idx="107" formatCode="0">
                  <c:v>15.11190907297702</c:v>
                </c:pt>
                <c:pt idx="108" formatCode="0">
                  <c:v>14.9014545929473</c:v>
                </c:pt>
                <c:pt idx="109" formatCode="0">
                  <c:v>14.69421696164089</c:v>
                </c:pt>
                <c:pt idx="110" formatCode="0">
                  <c:v>14.49014700873028</c:v>
                </c:pt>
                <c:pt idx="111" formatCode="0">
                  <c:v>14.28919631546857</c:v>
                </c:pt>
                <c:pt idx="112" formatCode="0">
                  <c:v>14.09131720320137</c:v>
                </c:pt>
                <c:pt idx="113" formatCode="0">
                  <c:v>13.89646272205428</c:v>
                </c:pt>
                <c:pt idx="114" formatCode="0">
                  <c:v>13.70458663979336</c:v>
                </c:pt>
                <c:pt idx="115" formatCode="0">
                  <c:v>13.51564343085577</c:v>
                </c:pt>
                <c:pt idx="116" formatCode="0">
                  <c:v>13.32958826554815</c:v>
                </c:pt>
                <c:pt idx="117" formatCode="0">
                  <c:v>13.14637699941009</c:v>
                </c:pt>
                <c:pt idx="118" formatCode="0">
                  <c:v>12.96596616274014</c:v>
                </c:pt>
                <c:pt idx="119" formatCode="0">
                  <c:v>12.788312950282</c:v>
                </c:pt>
                <c:pt idx="120" formatCode="0">
                  <c:v>21.45325486889797</c:v>
                </c:pt>
                <c:pt idx="121" formatCode="0">
                  <c:v>21.1458713516494</c:v>
                </c:pt>
                <c:pt idx="122" formatCode="0">
                  <c:v>20.84318626740585</c:v>
                </c:pt>
                <c:pt idx="123" formatCode="0">
                  <c:v>20.54512779945802</c:v>
                </c:pt>
                <c:pt idx="124" formatCode="0">
                  <c:v>20.25162522883276</c:v>
                </c:pt>
                <c:pt idx="125" formatCode="0">
                  <c:v>19.9626089175139</c:v>
                </c:pt>
                <c:pt idx="126" formatCode="0">
                  <c:v>19.67801029191952</c:v>
                </c:pt>
                <c:pt idx="127" formatCode="0">
                  <c:v>19.39776182663186</c:v>
                </c:pt>
                <c:pt idx="128" formatCode="0">
                  <c:v>19.12179702837589</c:v>
                </c:pt>
                <c:pt idx="129" formatCode="0">
                  <c:v>18.85005042024264</c:v>
                </c:pt>
                <c:pt idx="130" formatCode="0">
                  <c:v>18.58245752615395</c:v>
                </c:pt>
                <c:pt idx="131" formatCode="0">
                  <c:v>18.3189548555644</c:v>
                </c:pt>
                <c:pt idx="132" formatCode="0">
                  <c:v>18.05947988839724</c:v>
                </c:pt>
                <c:pt idx="133" formatCode="0">
                  <c:v>17.80397106021056</c:v>
                </c:pt>
                <c:pt idx="134" formatCode="0">
                  <c:v>17.55236774759016</c:v>
                </c:pt>
                <c:pt idx="135" formatCode="0">
                  <c:v>17.30461025376566</c:v>
                </c:pt>
                <c:pt idx="136" formatCode="0">
                  <c:v>17.06063979444663</c:v>
                </c:pt>
                <c:pt idx="137" formatCode="0">
                  <c:v>16.82039848387498</c:v>
                </c:pt>
                <c:pt idx="138" formatCode="0">
                  <c:v>16.58382932109078</c:v>
                </c:pt>
                <c:pt idx="139" formatCode="0">
                  <c:v>16.35087617640783</c:v>
                </c:pt>
                <c:pt idx="140" formatCode="0">
                  <c:v>24.96136343592575</c:v>
                </c:pt>
                <c:pt idx="141" formatCode="0">
                  <c:v>24.60035761249733</c:v>
                </c:pt>
                <c:pt idx="142" formatCode="0">
                  <c:v>24.2448698522721</c:v>
                </c:pt>
                <c:pt idx="143" formatCode="0">
                  <c:v>23.89481581029071</c:v>
                </c:pt>
                <c:pt idx="144" formatCode="0">
                  <c:v>23.5501124308273</c:v>
                </c:pt>
                <c:pt idx="145" formatCode="0">
                  <c:v>23.21067792768333</c:v>
                </c:pt>
                <c:pt idx="146" formatCode="0">
                  <c:v>22.8764317647825</c:v>
                </c:pt>
                <c:pt idx="147" formatCode="0">
                  <c:v>22.54729463706231</c:v>
                </c:pt>
                <c:pt idx="148" formatCode="0">
                  <c:v>22.22318845165778</c:v>
                </c:pt>
                <c:pt idx="149" formatCode="0">
                  <c:v>21.90403630937264</c:v>
                </c:pt>
                <c:pt idx="150" formatCode="0">
                  <c:v>21.58976248643384</c:v>
                </c:pt>
                <c:pt idx="151" formatCode="0">
                  <c:v>21.2802924165249</c:v>
                </c:pt>
                <c:pt idx="152" formatCode="0">
                  <c:v>20.97555267309391</c:v>
                </c:pt>
                <c:pt idx="153" formatCode="0">
                  <c:v>20.67547095193196</c:v>
                </c:pt>
                <c:pt idx="154" formatCode="0">
                  <c:v>20.37997605401784</c:v>
                </c:pt>
                <c:pt idx="155" formatCode="0">
                  <c:v>20.08899786862495</c:v>
                </c:pt>
                <c:pt idx="156" formatCode="0">
                  <c:v>19.80246735668648</c:v>
                </c:pt>
                <c:pt idx="157" formatCode="0">
                  <c:v>19.52031653441481</c:v>
                </c:pt>
                <c:pt idx="158" formatCode="0">
                  <c:v>19.24247845717131</c:v>
                </c:pt>
                <c:pt idx="159" formatCode="0">
                  <c:v>18.96888720358271</c:v>
                </c:pt>
                <c:pt idx="160" formatCode="0">
                  <c:v>27.53935751772989</c:v>
                </c:pt>
                <c:pt idx="161" formatCode="0">
                  <c:v>27.1389464178275</c:v>
                </c:pt>
                <c:pt idx="162" formatCode="0">
                  <c:v>26.74465570051493</c:v>
                </c:pt>
                <c:pt idx="163" formatCode="0">
                  <c:v>26.35639181423213</c:v>
                </c:pt>
                <c:pt idx="164" formatCode="0">
                  <c:v>25.9740626373778</c:v>
                </c:pt>
                <c:pt idx="165" formatCode="0">
                  <c:v>25.59757745645206</c:v>
                </c:pt>
                <c:pt idx="166" formatCode="0">
                  <c:v>25.22684694453331</c:v>
                </c:pt>
                <c:pt idx="167" formatCode="0">
                  <c:v>24.86178314008397</c:v>
                </c:pt>
                <c:pt idx="168" formatCode="0">
                  <c:v>24.50229942608035</c:v>
                </c:pt>
                <c:pt idx="169" formatCode="0">
                  <c:v>24.14831050946131</c:v>
                </c:pt>
                <c:pt idx="170" formatCode="0">
                  <c:v>23.79973240089127</c:v>
                </c:pt>
                <c:pt idx="171" formatCode="0">
                  <c:v>23.45648239483237</c:v>
                </c:pt>
                <c:pt idx="172" formatCode="0">
                  <c:v>23.11847904992134</c:v>
                </c:pt>
                <c:pt idx="173" formatCode="0">
                  <c:v>22.78564216964626</c:v>
                </c:pt>
                <c:pt idx="174" formatCode="0">
                  <c:v>22.45789278331872</c:v>
                </c:pt>
                <c:pt idx="175" formatCode="0">
                  <c:v>22.13515312733678</c:v>
                </c:pt>
                <c:pt idx="176" formatCode="0">
                  <c:v>21.81734662673439</c:v>
                </c:pt>
                <c:pt idx="177" formatCode="0">
                  <c:v>21.50439787701275</c:v>
                </c:pt>
                <c:pt idx="178" formatCode="0">
                  <c:v>21.19623262624946</c:v>
                </c:pt>
                <c:pt idx="179" formatCode="0">
                  <c:v>20.89277775748111</c:v>
                </c:pt>
                <c:pt idx="180" formatCode="0">
                  <c:v>29.43384092918484</c:v>
                </c:pt>
                <c:pt idx="181" formatCode="0">
                  <c:v>29.00447218227674</c:v>
                </c:pt>
                <c:pt idx="182" formatCode="0">
                  <c:v>28.58166644274737</c:v>
                </c:pt>
                <c:pt idx="183" formatCode="0">
                  <c:v>28.16532339340745</c:v>
                </c:pt>
                <c:pt idx="184" formatCode="0">
                  <c:v>27.75534425044071</c:v>
                </c:pt>
                <c:pt idx="185" formatCode="0">
                  <c:v>27.35163173996596</c:v>
                </c:pt>
                <c:pt idx="186" formatCode="0">
                  <c:v>26.95409007495728</c:v>
                </c:pt>
                <c:pt idx="187" formatCode="0">
                  <c:v>26.5626249325171</c:v>
                </c:pt>
                <c:pt idx="188" formatCode="0">
                  <c:v>26.17714343149669</c:v>
                </c:pt>
                <c:pt idx="189" formatCode="0">
                  <c:v>25.79755411045857</c:v>
                </c:pt>
                <c:pt idx="190" formatCode="0">
                  <c:v>25.42376690597598</c:v>
                </c:pt>
                <c:pt idx="191" formatCode="0">
                  <c:v>25.05569313126385</c:v>
                </c:pt>
                <c:pt idx="192" formatCode="0">
                  <c:v>24.69324545513656</c:v>
                </c:pt>
                <c:pt idx="193" formatCode="0">
                  <c:v>24.3363378812872</c:v>
                </c:pt>
                <c:pt idx="194" formatCode="0">
                  <c:v>23.98488572788372</c:v>
                </c:pt>
                <c:pt idx="195" formatCode="0">
                  <c:v>23.63880560747672</c:v>
                </c:pt>
                <c:pt idx="196" formatCode="0">
                  <c:v>23.29801540721464</c:v>
                </c:pt>
                <c:pt idx="197" formatCode="0">
                  <c:v>22.96243426936108</c:v>
                </c:pt>
                <c:pt idx="198" formatCode="0">
                  <c:v>22.63198257211016</c:v>
                </c:pt>
                <c:pt idx="199" formatCode="0">
                  <c:v>22.30658191069495</c:v>
                </c:pt>
                <c:pt idx="200" formatCode="0">
                  <c:v>30.82603473661448</c:v>
                </c:pt>
                <c:pt idx="201" formatCode="0">
                  <c:v>30.37538596339667</c:v>
                </c:pt>
                <c:pt idx="202" formatCode="0">
                  <c:v>29.93162546801729</c:v>
                </c:pt>
                <c:pt idx="203" formatCode="0">
                  <c:v>29.49464796144771</c:v>
                </c:pt>
                <c:pt idx="204" formatCode="0">
                  <c:v>29.06434976402816</c:v>
                </c:pt>
                <c:pt idx="205" formatCode="0">
                  <c:v>28.64062878086803</c:v>
                </c:pt>
                <c:pt idx="206" formatCode="0">
                  <c:v>28.22338447762237</c:v>
                </c:pt>
                <c:pt idx="207" formatCode="0">
                  <c:v>27.81251785663851</c:v>
                </c:pt>
                <c:pt idx="208" formatCode="0">
                  <c:v>27.4079314334674</c:v>
                </c:pt>
                <c:pt idx="209" formatCode="0">
                  <c:v>27.00952921373382</c:v>
                </c:pt>
                <c:pt idx="210" formatCode="0">
                  <c:v>26.61721667036035</c:v>
                </c:pt>
                <c:pt idx="211" formatCode="0">
                  <c:v>26.23090072113926</c:v>
                </c:pt>
                <c:pt idx="212" formatCode="0">
                  <c:v>25.85048970664739</c:v>
                </c:pt>
                <c:pt idx="213" formatCode="0">
                  <c:v>25.47589336849848</c:v>
                </c:pt>
                <c:pt idx="214" formatCode="0">
                  <c:v>25.10702282792805</c:v>
                </c:pt>
                <c:pt idx="215" formatCode="0">
                  <c:v>24.74379056470544</c:v>
                </c:pt>
                <c:pt idx="216" formatCode="0">
                  <c:v>24.38611039636837</c:v>
                </c:pt>
                <c:pt idx="217" formatCode="0">
                  <c:v>24.0338974577748</c:v>
                </c:pt>
                <c:pt idx="218" formatCode="0">
                  <c:v>23.6870681809673</c:v>
                </c:pt>
                <c:pt idx="219" formatCode="0">
                  <c:v>23.34554027534539</c:v>
                </c:pt>
                <c:pt idx="220" formatCode="0">
                  <c:v>31.8491123659704</c:v>
                </c:pt>
                <c:pt idx="221" formatCode="0">
                  <c:v>31.38282559842062</c:v>
                </c:pt>
                <c:pt idx="222" formatCode="0">
                  <c:v>30.92366613931625</c:v>
                </c:pt>
                <c:pt idx="223" formatCode="0">
                  <c:v>30.47152504598679</c:v>
                </c:pt>
                <c:pt idx="224" formatCode="0">
                  <c:v>30.02629504097736</c:v>
                </c:pt>
                <c:pt idx="225" formatCode="0">
                  <c:v>29.5878704865955</c:v>
                </c:pt>
                <c:pt idx="226" formatCode="0">
                  <c:v>29.156147359847</c:v>
                </c:pt>
                <c:pt idx="227" formatCode="0">
                  <c:v>28.73102322775474</c:v>
                </c:pt>
                <c:pt idx="228" formatCode="0">
                  <c:v>28.31239722305506</c:v>
                </c:pt>
                <c:pt idx="229" formatCode="0">
                  <c:v>27.90017002026528</c:v>
                </c:pt>
                <c:pt idx="230" formatCode="0">
                  <c:v>27.4942438121173</c:v>
                </c:pt>
                <c:pt idx="231" formatCode="0">
                  <c:v>27.09452228635125</c:v>
                </c:pt>
                <c:pt idx="232" formatCode="0">
                  <c:v>26.70091060286395</c:v>
                </c:pt>
                <c:pt idx="233" formatCode="0">
                  <c:v>26.31331537120666</c:v>
                </c:pt>
                <c:pt idx="234" formatCode="0">
                  <c:v>25.93164462842669</c:v>
                </c:pt>
                <c:pt idx="235" formatCode="0">
                  <c:v>25.5558078172478</c:v>
                </c:pt>
                <c:pt idx="236" formatCode="0">
                  <c:v>25.18571576458412</c:v>
                </c:pt>
                <c:pt idx="237" formatCode="0">
                  <c:v>24.8212806603824</c:v>
                </c:pt>
                <c:pt idx="238" formatCode="0">
                  <c:v>24.46241603678778</c:v>
                </c:pt>
                <c:pt idx="239" formatCode="0">
                  <c:v>24.10903674762789</c:v>
                </c:pt>
                <c:pt idx="240" formatCode="0">
                  <c:v>23.76105894821067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26266536"/>
        <c:axId val="-2126321800"/>
      </c:lineChart>
      <c:catAx>
        <c:axId val="-2126266536"/>
        <c:scaling>
          <c:orientation val="minMax"/>
        </c:scaling>
        <c:delete val="0"/>
        <c:axPos val="b"/>
        <c:majorTickMark val="out"/>
        <c:minorTickMark val="none"/>
        <c:tickLblPos val="nextTo"/>
        <c:crossAx val="-2126321800"/>
        <c:crosses val="autoZero"/>
        <c:auto val="1"/>
        <c:lblAlgn val="ctr"/>
        <c:lblOffset val="100"/>
        <c:noMultiLvlLbl val="0"/>
      </c:catAx>
      <c:valAx>
        <c:axId val="-2126321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262665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'Uneven Mixed Conifer'!$CL$77</c:f>
              <c:strCache>
                <c:ptCount val="1"/>
                <c:pt idx="0">
                  <c:v>Energy from logging residues</c:v>
                </c:pt>
              </c:strCache>
            </c:strRef>
          </c:tx>
          <c:marker>
            <c:symbol val="none"/>
          </c:marker>
          <c:val>
            <c:numRef>
              <c:f>'Uneven Mixed Conifer'!$CL$78:$CL$318</c:f>
              <c:numCache>
                <c:formatCode>General</c:formatCode>
                <c:ptCount val="241"/>
                <c:pt idx="40" formatCode="0">
                  <c:v>6.060623157256816</c:v>
                </c:pt>
                <c:pt idx="41" formatCode="0">
                  <c:v>6.060623157256816</c:v>
                </c:pt>
                <c:pt idx="42" formatCode="0">
                  <c:v>6.060623157256816</c:v>
                </c:pt>
                <c:pt idx="43" formatCode="0">
                  <c:v>6.060623157256816</c:v>
                </c:pt>
                <c:pt idx="44" formatCode="0">
                  <c:v>6.060623157256816</c:v>
                </c:pt>
                <c:pt idx="45" formatCode="0">
                  <c:v>6.060623157256816</c:v>
                </c:pt>
                <c:pt idx="46" formatCode="0">
                  <c:v>6.060623157256816</c:v>
                </c:pt>
                <c:pt idx="47" formatCode="0">
                  <c:v>6.060623157256816</c:v>
                </c:pt>
                <c:pt idx="48" formatCode="0">
                  <c:v>6.060623157256816</c:v>
                </c:pt>
                <c:pt idx="49" formatCode="0">
                  <c:v>6.060623157256816</c:v>
                </c:pt>
                <c:pt idx="50" formatCode="0">
                  <c:v>6.060623157256816</c:v>
                </c:pt>
                <c:pt idx="51" formatCode="0">
                  <c:v>6.060623157256816</c:v>
                </c:pt>
                <c:pt idx="52" formatCode="0">
                  <c:v>6.060623157256816</c:v>
                </c:pt>
                <c:pt idx="53" formatCode="0">
                  <c:v>6.060623157256816</c:v>
                </c:pt>
                <c:pt idx="54" formatCode="0">
                  <c:v>6.060623157256816</c:v>
                </c:pt>
                <c:pt idx="55" formatCode="0">
                  <c:v>6.060623157256816</c:v>
                </c:pt>
                <c:pt idx="56" formatCode="0">
                  <c:v>6.060623157256816</c:v>
                </c:pt>
                <c:pt idx="57" formatCode="0">
                  <c:v>6.060623157256816</c:v>
                </c:pt>
                <c:pt idx="58" formatCode="0">
                  <c:v>6.060623157256816</c:v>
                </c:pt>
                <c:pt idx="59" formatCode="0">
                  <c:v>6.060623157256816</c:v>
                </c:pt>
                <c:pt idx="60" formatCode="0">
                  <c:v>6.060623157256816</c:v>
                </c:pt>
                <c:pt idx="61" formatCode="0">
                  <c:v>6.060623157256816</c:v>
                </c:pt>
                <c:pt idx="62" formatCode="0">
                  <c:v>6.060623157256816</c:v>
                </c:pt>
                <c:pt idx="63" formatCode="0">
                  <c:v>6.060623157256816</c:v>
                </c:pt>
                <c:pt idx="64" formatCode="0">
                  <c:v>6.060623157256816</c:v>
                </c:pt>
                <c:pt idx="65" formatCode="0">
                  <c:v>6.060623157256816</c:v>
                </c:pt>
                <c:pt idx="66" formatCode="0">
                  <c:v>6.060623157256816</c:v>
                </c:pt>
                <c:pt idx="67" formatCode="0">
                  <c:v>6.060623157256816</c:v>
                </c:pt>
                <c:pt idx="68" formatCode="0">
                  <c:v>6.060623157256816</c:v>
                </c:pt>
                <c:pt idx="69" formatCode="0">
                  <c:v>6.060623157256816</c:v>
                </c:pt>
                <c:pt idx="70" formatCode="0">
                  <c:v>6.060623157256816</c:v>
                </c:pt>
                <c:pt idx="71" formatCode="0">
                  <c:v>6.060623157256816</c:v>
                </c:pt>
                <c:pt idx="72" formatCode="0">
                  <c:v>6.060623157256816</c:v>
                </c:pt>
                <c:pt idx="73" formatCode="0">
                  <c:v>6.060623157256816</c:v>
                </c:pt>
                <c:pt idx="74" formatCode="0">
                  <c:v>6.060623157256816</c:v>
                </c:pt>
                <c:pt idx="75" formatCode="0">
                  <c:v>6.060623157256816</c:v>
                </c:pt>
                <c:pt idx="76" formatCode="0">
                  <c:v>6.060623157256816</c:v>
                </c:pt>
                <c:pt idx="77" formatCode="0">
                  <c:v>6.060623157256816</c:v>
                </c:pt>
                <c:pt idx="78" formatCode="0">
                  <c:v>6.060623157256816</c:v>
                </c:pt>
                <c:pt idx="79" formatCode="0">
                  <c:v>6.060623157256816</c:v>
                </c:pt>
                <c:pt idx="80" formatCode="0">
                  <c:v>13.8370349152037</c:v>
                </c:pt>
                <c:pt idx="81" formatCode="0">
                  <c:v>13.8370349152037</c:v>
                </c:pt>
                <c:pt idx="82" formatCode="0">
                  <c:v>13.8370349152037</c:v>
                </c:pt>
                <c:pt idx="83" formatCode="0">
                  <c:v>13.8370349152037</c:v>
                </c:pt>
                <c:pt idx="84" formatCode="0">
                  <c:v>13.8370349152037</c:v>
                </c:pt>
                <c:pt idx="85" formatCode="0">
                  <c:v>13.8370349152037</c:v>
                </c:pt>
                <c:pt idx="86" formatCode="0">
                  <c:v>13.8370349152037</c:v>
                </c:pt>
                <c:pt idx="87" formatCode="0">
                  <c:v>13.8370349152037</c:v>
                </c:pt>
                <c:pt idx="88" formatCode="0">
                  <c:v>13.8370349152037</c:v>
                </c:pt>
                <c:pt idx="89" formatCode="0">
                  <c:v>13.8370349152037</c:v>
                </c:pt>
                <c:pt idx="90" formatCode="0">
                  <c:v>13.8370349152037</c:v>
                </c:pt>
                <c:pt idx="91" formatCode="0">
                  <c:v>13.8370349152037</c:v>
                </c:pt>
                <c:pt idx="92" formatCode="0">
                  <c:v>13.8370349152037</c:v>
                </c:pt>
                <c:pt idx="93" formatCode="0">
                  <c:v>13.8370349152037</c:v>
                </c:pt>
                <c:pt idx="94" formatCode="0">
                  <c:v>13.8370349152037</c:v>
                </c:pt>
                <c:pt idx="95" formatCode="0">
                  <c:v>13.8370349152037</c:v>
                </c:pt>
                <c:pt idx="96" formatCode="0">
                  <c:v>13.8370349152037</c:v>
                </c:pt>
                <c:pt idx="97" formatCode="0">
                  <c:v>13.8370349152037</c:v>
                </c:pt>
                <c:pt idx="98" formatCode="0">
                  <c:v>13.8370349152037</c:v>
                </c:pt>
                <c:pt idx="99" formatCode="0">
                  <c:v>13.8370349152037</c:v>
                </c:pt>
                <c:pt idx="100" formatCode="0">
                  <c:v>21.61344667315057</c:v>
                </c:pt>
                <c:pt idx="101" formatCode="0">
                  <c:v>21.61344667315057</c:v>
                </c:pt>
                <c:pt idx="102" formatCode="0">
                  <c:v>21.61344667315057</c:v>
                </c:pt>
                <c:pt idx="103" formatCode="0">
                  <c:v>21.61344667315057</c:v>
                </c:pt>
                <c:pt idx="104" formatCode="0">
                  <c:v>21.61344667315057</c:v>
                </c:pt>
                <c:pt idx="105" formatCode="0">
                  <c:v>21.61344667315057</c:v>
                </c:pt>
                <c:pt idx="106" formatCode="0">
                  <c:v>21.61344667315057</c:v>
                </c:pt>
                <c:pt idx="107" formatCode="0">
                  <c:v>21.61344667315057</c:v>
                </c:pt>
                <c:pt idx="108" formatCode="0">
                  <c:v>21.61344667315057</c:v>
                </c:pt>
                <c:pt idx="109" formatCode="0">
                  <c:v>21.61344667315057</c:v>
                </c:pt>
                <c:pt idx="110" formatCode="0">
                  <c:v>21.61344667315057</c:v>
                </c:pt>
                <c:pt idx="111" formatCode="0">
                  <c:v>21.61344667315057</c:v>
                </c:pt>
                <c:pt idx="112" formatCode="0">
                  <c:v>21.61344667315057</c:v>
                </c:pt>
                <c:pt idx="113" formatCode="0">
                  <c:v>21.61344667315057</c:v>
                </c:pt>
                <c:pt idx="114" formatCode="0">
                  <c:v>21.61344667315057</c:v>
                </c:pt>
                <c:pt idx="115" formatCode="0">
                  <c:v>21.61344667315057</c:v>
                </c:pt>
                <c:pt idx="116" formatCode="0">
                  <c:v>21.61344667315057</c:v>
                </c:pt>
                <c:pt idx="117" formatCode="0">
                  <c:v>21.61344667315057</c:v>
                </c:pt>
                <c:pt idx="118" formatCode="0">
                  <c:v>21.61344667315057</c:v>
                </c:pt>
                <c:pt idx="119" formatCode="0">
                  <c:v>21.61344667315057</c:v>
                </c:pt>
                <c:pt idx="120" formatCode="0">
                  <c:v>29.38985843109744</c:v>
                </c:pt>
                <c:pt idx="121" formatCode="0">
                  <c:v>29.38985843109744</c:v>
                </c:pt>
                <c:pt idx="122" formatCode="0">
                  <c:v>29.38985843109744</c:v>
                </c:pt>
                <c:pt idx="123" formatCode="0">
                  <c:v>29.38985843109744</c:v>
                </c:pt>
                <c:pt idx="124" formatCode="0">
                  <c:v>29.38985843109744</c:v>
                </c:pt>
                <c:pt idx="125" formatCode="0">
                  <c:v>29.38985843109744</c:v>
                </c:pt>
                <c:pt idx="126" formatCode="0">
                  <c:v>29.38985843109744</c:v>
                </c:pt>
                <c:pt idx="127" formatCode="0">
                  <c:v>29.38985843109744</c:v>
                </c:pt>
                <c:pt idx="128" formatCode="0">
                  <c:v>29.38985843109744</c:v>
                </c:pt>
                <c:pt idx="129" formatCode="0">
                  <c:v>29.38985843109744</c:v>
                </c:pt>
                <c:pt idx="130" formatCode="0">
                  <c:v>29.38985843109744</c:v>
                </c:pt>
                <c:pt idx="131" formatCode="0">
                  <c:v>29.38985843109744</c:v>
                </c:pt>
                <c:pt idx="132" formatCode="0">
                  <c:v>29.38985843109744</c:v>
                </c:pt>
                <c:pt idx="133" formatCode="0">
                  <c:v>29.38985843109744</c:v>
                </c:pt>
                <c:pt idx="134" formatCode="0">
                  <c:v>29.38985843109744</c:v>
                </c:pt>
                <c:pt idx="135" formatCode="0">
                  <c:v>29.38985843109744</c:v>
                </c:pt>
                <c:pt idx="136" formatCode="0">
                  <c:v>29.38985843109744</c:v>
                </c:pt>
                <c:pt idx="137" formatCode="0">
                  <c:v>29.38985843109744</c:v>
                </c:pt>
                <c:pt idx="138" formatCode="0">
                  <c:v>29.38985843109744</c:v>
                </c:pt>
                <c:pt idx="139" formatCode="0">
                  <c:v>29.38985843109744</c:v>
                </c:pt>
                <c:pt idx="140" formatCode="0">
                  <c:v>37.16627018904432</c:v>
                </c:pt>
                <c:pt idx="141" formatCode="0">
                  <c:v>37.16627018904432</c:v>
                </c:pt>
                <c:pt idx="142" formatCode="0">
                  <c:v>37.16627018904432</c:v>
                </c:pt>
                <c:pt idx="143" formatCode="0">
                  <c:v>37.16627018904432</c:v>
                </c:pt>
                <c:pt idx="144" formatCode="0">
                  <c:v>37.16627018904432</c:v>
                </c:pt>
                <c:pt idx="145" formatCode="0">
                  <c:v>37.16627018904432</c:v>
                </c:pt>
                <c:pt idx="146" formatCode="0">
                  <c:v>37.16627018904432</c:v>
                </c:pt>
                <c:pt idx="147" formatCode="0">
                  <c:v>37.16627018904432</c:v>
                </c:pt>
                <c:pt idx="148" formatCode="0">
                  <c:v>37.16627018904432</c:v>
                </c:pt>
                <c:pt idx="149" formatCode="0">
                  <c:v>37.16627018904432</c:v>
                </c:pt>
                <c:pt idx="150" formatCode="0">
                  <c:v>37.16627018904432</c:v>
                </c:pt>
                <c:pt idx="151" formatCode="0">
                  <c:v>37.16627018904432</c:v>
                </c:pt>
                <c:pt idx="152" formatCode="0">
                  <c:v>37.16627018904432</c:v>
                </c:pt>
                <c:pt idx="153" formatCode="0">
                  <c:v>37.16627018904432</c:v>
                </c:pt>
                <c:pt idx="154" formatCode="0">
                  <c:v>37.16627018904432</c:v>
                </c:pt>
                <c:pt idx="155" formatCode="0">
                  <c:v>37.16627018904432</c:v>
                </c:pt>
                <c:pt idx="156" formatCode="0">
                  <c:v>37.16627018904432</c:v>
                </c:pt>
                <c:pt idx="157" formatCode="0">
                  <c:v>37.16627018904432</c:v>
                </c:pt>
                <c:pt idx="158" formatCode="0">
                  <c:v>37.16627018904432</c:v>
                </c:pt>
                <c:pt idx="159" formatCode="0">
                  <c:v>37.16627018904432</c:v>
                </c:pt>
                <c:pt idx="160" formatCode="0">
                  <c:v>44.9426819469912</c:v>
                </c:pt>
                <c:pt idx="161" formatCode="0">
                  <c:v>44.9426819469912</c:v>
                </c:pt>
                <c:pt idx="162" formatCode="0">
                  <c:v>44.9426819469912</c:v>
                </c:pt>
                <c:pt idx="163" formatCode="0">
                  <c:v>44.9426819469912</c:v>
                </c:pt>
                <c:pt idx="164" formatCode="0">
                  <c:v>44.9426819469912</c:v>
                </c:pt>
                <c:pt idx="165" formatCode="0">
                  <c:v>44.9426819469912</c:v>
                </c:pt>
                <c:pt idx="166" formatCode="0">
                  <c:v>44.9426819469912</c:v>
                </c:pt>
                <c:pt idx="167" formatCode="0">
                  <c:v>44.9426819469912</c:v>
                </c:pt>
                <c:pt idx="168" formatCode="0">
                  <c:v>44.9426819469912</c:v>
                </c:pt>
                <c:pt idx="169" formatCode="0">
                  <c:v>44.9426819469912</c:v>
                </c:pt>
                <c:pt idx="170" formatCode="0">
                  <c:v>44.9426819469912</c:v>
                </c:pt>
                <c:pt idx="171" formatCode="0">
                  <c:v>44.9426819469912</c:v>
                </c:pt>
                <c:pt idx="172" formatCode="0">
                  <c:v>44.9426819469912</c:v>
                </c:pt>
                <c:pt idx="173" formatCode="0">
                  <c:v>44.9426819469912</c:v>
                </c:pt>
                <c:pt idx="174" formatCode="0">
                  <c:v>44.9426819469912</c:v>
                </c:pt>
                <c:pt idx="175" formatCode="0">
                  <c:v>44.9426819469912</c:v>
                </c:pt>
                <c:pt idx="176" formatCode="0">
                  <c:v>44.9426819469912</c:v>
                </c:pt>
                <c:pt idx="177" formatCode="0">
                  <c:v>44.9426819469912</c:v>
                </c:pt>
                <c:pt idx="178" formatCode="0">
                  <c:v>44.9426819469912</c:v>
                </c:pt>
                <c:pt idx="179" formatCode="0">
                  <c:v>44.9426819469912</c:v>
                </c:pt>
                <c:pt idx="180" formatCode="0">
                  <c:v>52.71909370493807</c:v>
                </c:pt>
                <c:pt idx="181" formatCode="0">
                  <c:v>52.71909370493807</c:v>
                </c:pt>
                <c:pt idx="182" formatCode="0">
                  <c:v>52.71909370493807</c:v>
                </c:pt>
                <c:pt idx="183" formatCode="0">
                  <c:v>52.71909370493807</c:v>
                </c:pt>
                <c:pt idx="184" formatCode="0">
                  <c:v>52.71909370493807</c:v>
                </c:pt>
                <c:pt idx="185" formatCode="0">
                  <c:v>52.71909370493807</c:v>
                </c:pt>
                <c:pt idx="186" formatCode="0">
                  <c:v>52.71909370493807</c:v>
                </c:pt>
                <c:pt idx="187" formatCode="0">
                  <c:v>52.71909370493807</c:v>
                </c:pt>
                <c:pt idx="188" formatCode="0">
                  <c:v>52.71909370493807</c:v>
                </c:pt>
                <c:pt idx="189" formatCode="0">
                  <c:v>52.71909370493807</c:v>
                </c:pt>
                <c:pt idx="190" formatCode="0">
                  <c:v>52.71909370493807</c:v>
                </c:pt>
                <c:pt idx="191" formatCode="0">
                  <c:v>52.71909370493807</c:v>
                </c:pt>
                <c:pt idx="192" formatCode="0">
                  <c:v>52.71909370493807</c:v>
                </c:pt>
                <c:pt idx="193" formatCode="0">
                  <c:v>52.71909370493807</c:v>
                </c:pt>
                <c:pt idx="194" formatCode="0">
                  <c:v>52.71909370493807</c:v>
                </c:pt>
                <c:pt idx="195" formatCode="0">
                  <c:v>52.71909370493807</c:v>
                </c:pt>
                <c:pt idx="196" formatCode="0">
                  <c:v>52.71909370493807</c:v>
                </c:pt>
                <c:pt idx="197" formatCode="0">
                  <c:v>52.71909370493807</c:v>
                </c:pt>
                <c:pt idx="198" formatCode="0">
                  <c:v>52.71909370493807</c:v>
                </c:pt>
                <c:pt idx="199" formatCode="0">
                  <c:v>52.71909370493807</c:v>
                </c:pt>
                <c:pt idx="200" formatCode="0">
                  <c:v>60.49550546288494</c:v>
                </c:pt>
                <c:pt idx="201" formatCode="0">
                  <c:v>60.49550546288494</c:v>
                </c:pt>
                <c:pt idx="202" formatCode="0">
                  <c:v>60.49550546288494</c:v>
                </c:pt>
                <c:pt idx="203" formatCode="0">
                  <c:v>60.49550546288494</c:v>
                </c:pt>
                <c:pt idx="204" formatCode="0">
                  <c:v>60.49550546288494</c:v>
                </c:pt>
                <c:pt idx="205" formatCode="0">
                  <c:v>60.49550546288494</c:v>
                </c:pt>
                <c:pt idx="206" formatCode="0">
                  <c:v>60.49550546288494</c:v>
                </c:pt>
                <c:pt idx="207" formatCode="0">
                  <c:v>60.49550546288494</c:v>
                </c:pt>
                <c:pt idx="208" formatCode="0">
                  <c:v>60.49550546288494</c:v>
                </c:pt>
                <c:pt idx="209" formatCode="0">
                  <c:v>60.49550546288494</c:v>
                </c:pt>
                <c:pt idx="210" formatCode="0">
                  <c:v>60.49550546288494</c:v>
                </c:pt>
                <c:pt idx="211" formatCode="0">
                  <c:v>60.49550546288494</c:v>
                </c:pt>
                <c:pt idx="212" formatCode="0">
                  <c:v>60.49550546288494</c:v>
                </c:pt>
                <c:pt idx="213" formatCode="0">
                  <c:v>60.49550546288494</c:v>
                </c:pt>
                <c:pt idx="214" formatCode="0">
                  <c:v>60.49550546288494</c:v>
                </c:pt>
                <c:pt idx="215" formatCode="0">
                  <c:v>60.49550546288494</c:v>
                </c:pt>
                <c:pt idx="216" formatCode="0">
                  <c:v>60.49550546288494</c:v>
                </c:pt>
                <c:pt idx="217" formatCode="0">
                  <c:v>60.49550546288494</c:v>
                </c:pt>
                <c:pt idx="218" formatCode="0">
                  <c:v>60.49550546288494</c:v>
                </c:pt>
                <c:pt idx="219" formatCode="0">
                  <c:v>60.49550546288494</c:v>
                </c:pt>
                <c:pt idx="220" formatCode="0">
                  <c:v>68.27191722083182</c:v>
                </c:pt>
                <c:pt idx="221" formatCode="0">
                  <c:v>68.27191722083182</c:v>
                </c:pt>
                <c:pt idx="222" formatCode="0">
                  <c:v>68.27191722083182</c:v>
                </c:pt>
                <c:pt idx="223" formatCode="0">
                  <c:v>68.27191722083182</c:v>
                </c:pt>
                <c:pt idx="224" formatCode="0">
                  <c:v>68.27191722083182</c:v>
                </c:pt>
                <c:pt idx="225" formatCode="0">
                  <c:v>68.27191722083182</c:v>
                </c:pt>
                <c:pt idx="226" formatCode="0">
                  <c:v>68.27191722083182</c:v>
                </c:pt>
                <c:pt idx="227" formatCode="0">
                  <c:v>68.27191722083182</c:v>
                </c:pt>
                <c:pt idx="228" formatCode="0">
                  <c:v>68.27191722083182</c:v>
                </c:pt>
                <c:pt idx="229" formatCode="0">
                  <c:v>68.27191722083182</c:v>
                </c:pt>
                <c:pt idx="230" formatCode="0">
                  <c:v>68.27191722083182</c:v>
                </c:pt>
                <c:pt idx="231" formatCode="0">
                  <c:v>68.27191722083182</c:v>
                </c:pt>
                <c:pt idx="232" formatCode="0">
                  <c:v>68.27191722083182</c:v>
                </c:pt>
                <c:pt idx="233" formatCode="0">
                  <c:v>68.27191722083182</c:v>
                </c:pt>
                <c:pt idx="234" formatCode="0">
                  <c:v>68.27191722083182</c:v>
                </c:pt>
                <c:pt idx="235" formatCode="0">
                  <c:v>68.27191722083182</c:v>
                </c:pt>
                <c:pt idx="236" formatCode="0">
                  <c:v>68.27191722083182</c:v>
                </c:pt>
                <c:pt idx="237" formatCode="0">
                  <c:v>68.27191722083182</c:v>
                </c:pt>
                <c:pt idx="238" formatCode="0">
                  <c:v>68.27191722083182</c:v>
                </c:pt>
                <c:pt idx="239" formatCode="0">
                  <c:v>68.27191722083182</c:v>
                </c:pt>
                <c:pt idx="240" formatCode="0">
                  <c:v>68.27191722083182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'Uneven Mixed Conifer'!$CQ$77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marker>
            <c:symbol val="none"/>
          </c:marker>
          <c:val>
            <c:numRef>
              <c:f>'Uneven Mixed Conifer'!$CQ$78:$CQ$318</c:f>
              <c:numCache>
                <c:formatCode>General</c:formatCode>
                <c:ptCount val="241"/>
                <c:pt idx="40" formatCode="0">
                  <c:v>1.343438133191928</c:v>
                </c:pt>
                <c:pt idx="41" formatCode="0">
                  <c:v>1.343438133191928</c:v>
                </c:pt>
                <c:pt idx="42" formatCode="0">
                  <c:v>1.343438133191928</c:v>
                </c:pt>
                <c:pt idx="43" formatCode="0">
                  <c:v>1.343438133191928</c:v>
                </c:pt>
                <c:pt idx="44" formatCode="0">
                  <c:v>1.343438133191928</c:v>
                </c:pt>
                <c:pt idx="45" formatCode="0">
                  <c:v>1.343438133191928</c:v>
                </c:pt>
                <c:pt idx="46" formatCode="0">
                  <c:v>1.343438133191928</c:v>
                </c:pt>
                <c:pt idx="47" formatCode="0">
                  <c:v>1.343438133191928</c:v>
                </c:pt>
                <c:pt idx="48" formatCode="0">
                  <c:v>1.343438133191928</c:v>
                </c:pt>
                <c:pt idx="49" formatCode="0">
                  <c:v>1.343438133191928</c:v>
                </c:pt>
                <c:pt idx="50" formatCode="0">
                  <c:v>1.343438133191928</c:v>
                </c:pt>
                <c:pt idx="51" formatCode="0">
                  <c:v>1.343438133191928</c:v>
                </c:pt>
                <c:pt idx="52" formatCode="0">
                  <c:v>1.343438133191928</c:v>
                </c:pt>
                <c:pt idx="53" formatCode="0">
                  <c:v>1.343438133191928</c:v>
                </c:pt>
                <c:pt idx="54" formatCode="0">
                  <c:v>1.343438133191928</c:v>
                </c:pt>
                <c:pt idx="55" formatCode="0">
                  <c:v>1.343438133191928</c:v>
                </c:pt>
                <c:pt idx="56" formatCode="0">
                  <c:v>1.343438133191928</c:v>
                </c:pt>
                <c:pt idx="57" formatCode="0">
                  <c:v>1.343438133191928</c:v>
                </c:pt>
                <c:pt idx="58" formatCode="0">
                  <c:v>1.343438133191928</c:v>
                </c:pt>
                <c:pt idx="59" formatCode="0">
                  <c:v>1.343438133191928</c:v>
                </c:pt>
                <c:pt idx="60" formatCode="0">
                  <c:v>1.343438133191928</c:v>
                </c:pt>
                <c:pt idx="61" formatCode="0">
                  <c:v>1.343438133191928</c:v>
                </c:pt>
                <c:pt idx="62" formatCode="0">
                  <c:v>1.343438133191928</c:v>
                </c:pt>
                <c:pt idx="63" formatCode="0">
                  <c:v>1.343438133191928</c:v>
                </c:pt>
                <c:pt idx="64" formatCode="0">
                  <c:v>1.343438133191928</c:v>
                </c:pt>
                <c:pt idx="65" formatCode="0">
                  <c:v>1.343438133191928</c:v>
                </c:pt>
                <c:pt idx="66" formatCode="0">
                  <c:v>1.343438133191928</c:v>
                </c:pt>
                <c:pt idx="67" formatCode="0">
                  <c:v>1.343438133191928</c:v>
                </c:pt>
                <c:pt idx="68" formatCode="0">
                  <c:v>1.343438133191928</c:v>
                </c:pt>
                <c:pt idx="69" formatCode="0">
                  <c:v>1.343438133191928</c:v>
                </c:pt>
                <c:pt idx="70" formatCode="0">
                  <c:v>1.343438133191928</c:v>
                </c:pt>
                <c:pt idx="71" formatCode="0">
                  <c:v>1.343438133191928</c:v>
                </c:pt>
                <c:pt idx="72" formatCode="0">
                  <c:v>1.343438133191928</c:v>
                </c:pt>
                <c:pt idx="73" formatCode="0">
                  <c:v>1.343438133191928</c:v>
                </c:pt>
                <c:pt idx="74" formatCode="0">
                  <c:v>1.343438133191928</c:v>
                </c:pt>
                <c:pt idx="75" formatCode="0">
                  <c:v>1.343438133191928</c:v>
                </c:pt>
                <c:pt idx="76" formatCode="0">
                  <c:v>1.343438133191928</c:v>
                </c:pt>
                <c:pt idx="77" formatCode="0">
                  <c:v>1.343438133191928</c:v>
                </c:pt>
                <c:pt idx="78" formatCode="0">
                  <c:v>1.343438133191928</c:v>
                </c:pt>
                <c:pt idx="79" formatCode="0">
                  <c:v>1.343438133191928</c:v>
                </c:pt>
                <c:pt idx="80" formatCode="0">
                  <c:v>10.18331779102163</c:v>
                </c:pt>
                <c:pt idx="81" formatCode="0">
                  <c:v>10.0481980464218</c:v>
                </c:pt>
                <c:pt idx="82" formatCode="0">
                  <c:v>9.915143640501627</c:v>
                </c:pt>
                <c:pt idx="83" formatCode="0">
                  <c:v>9.784123004049102</c:v>
                </c:pt>
                <c:pt idx="84" formatCode="0">
                  <c:v>9.655105050395443</c:v>
                </c:pt>
                <c:pt idx="85" formatCode="0">
                  <c:v>9.528059168039272</c:v>
                </c:pt>
                <c:pt idx="86" formatCode="0">
                  <c:v>9.40295521338358</c:v>
                </c:pt>
                <c:pt idx="87" formatCode="0">
                  <c:v>9.279763503583678</c:v>
                </c:pt>
                <c:pt idx="88" formatCode="0">
                  <c:v>9.1584548095045</c:v>
                </c:pt>
                <c:pt idx="89" formatCode="0">
                  <c:v>9.039000348785521</c:v>
                </c:pt>
                <c:pt idx="90" formatCode="0">
                  <c:v>8.921371779011718</c:v>
                </c:pt>
                <c:pt idx="91" formatCode="0">
                  <c:v>8.805541190988876</c:v>
                </c:pt>
                <c:pt idx="92" formatCode="0">
                  <c:v>8.691481102121713</c:v>
                </c:pt>
                <c:pt idx="93" formatCode="0">
                  <c:v>8.579164449893205</c:v>
                </c:pt>
                <c:pt idx="94" formatCode="0">
                  <c:v>8.46856458544359</c:v>
                </c:pt>
                <c:pt idx="95" formatCode="0">
                  <c:v>8.359655267247504</c:v>
                </c:pt>
                <c:pt idx="96" formatCode="0">
                  <c:v>8.25241065488779</c:v>
                </c:pt>
                <c:pt idx="97" formatCode="0">
                  <c:v>8.146805302924441</c:v>
                </c:pt>
                <c:pt idx="98" formatCode="0">
                  <c:v>8.0428141548573</c:v>
                </c:pt>
                <c:pt idx="99" formatCode="0">
                  <c:v>7.940412537180999</c:v>
                </c:pt>
                <c:pt idx="100" formatCode="0">
                  <c:v>16.6794558113605</c:v>
                </c:pt>
                <c:pt idx="101" formatCode="0">
                  <c:v>16.44504099214775</c:v>
                </c:pt>
                <c:pt idx="102" formatCode="0">
                  <c:v>16.21420926136252</c:v>
                </c:pt>
                <c:pt idx="103" formatCode="0">
                  <c:v>15.9869058506129</c:v>
                </c:pt>
                <c:pt idx="104" formatCode="0">
                  <c:v>15.76307682865544</c:v>
                </c:pt>
                <c:pt idx="105" formatCode="0">
                  <c:v>15.54266908859904</c:v>
                </c:pt>
                <c:pt idx="106" formatCode="0">
                  <c:v>15.32563033530458</c:v>
                </c:pt>
                <c:pt idx="107" formatCode="0">
                  <c:v>15.11190907297702</c:v>
                </c:pt>
                <c:pt idx="108" formatCode="0">
                  <c:v>14.9014545929473</c:v>
                </c:pt>
                <c:pt idx="109" formatCode="0">
                  <c:v>14.69421696164089</c:v>
                </c:pt>
                <c:pt idx="110" formatCode="0">
                  <c:v>14.49014700873028</c:v>
                </c:pt>
                <c:pt idx="111" formatCode="0">
                  <c:v>14.28919631546857</c:v>
                </c:pt>
                <c:pt idx="112" formatCode="0">
                  <c:v>14.09131720320137</c:v>
                </c:pt>
                <c:pt idx="113" formatCode="0">
                  <c:v>13.89646272205428</c:v>
                </c:pt>
                <c:pt idx="114" formatCode="0">
                  <c:v>13.70458663979336</c:v>
                </c:pt>
                <c:pt idx="115" formatCode="0">
                  <c:v>13.51564343085577</c:v>
                </c:pt>
                <c:pt idx="116" formatCode="0">
                  <c:v>13.32958826554815</c:v>
                </c:pt>
                <c:pt idx="117" formatCode="0">
                  <c:v>13.14637699941009</c:v>
                </c:pt>
                <c:pt idx="118" formatCode="0">
                  <c:v>12.96596616274014</c:v>
                </c:pt>
                <c:pt idx="119" formatCode="0">
                  <c:v>12.788312950282</c:v>
                </c:pt>
                <c:pt idx="120" formatCode="0">
                  <c:v>21.45325486889797</c:v>
                </c:pt>
                <c:pt idx="121" formatCode="0">
                  <c:v>21.1458713516494</c:v>
                </c:pt>
                <c:pt idx="122" formatCode="0">
                  <c:v>20.84318626740585</c:v>
                </c:pt>
                <c:pt idx="123" formatCode="0">
                  <c:v>20.54512779945802</c:v>
                </c:pt>
                <c:pt idx="124" formatCode="0">
                  <c:v>20.25162522883276</c:v>
                </c:pt>
                <c:pt idx="125" formatCode="0">
                  <c:v>19.9626089175139</c:v>
                </c:pt>
                <c:pt idx="126" formatCode="0">
                  <c:v>19.67801029191952</c:v>
                </c:pt>
                <c:pt idx="127" formatCode="0">
                  <c:v>19.39776182663186</c:v>
                </c:pt>
                <c:pt idx="128" formatCode="0">
                  <c:v>19.12179702837589</c:v>
                </c:pt>
                <c:pt idx="129" formatCode="0">
                  <c:v>18.85005042024264</c:v>
                </c:pt>
                <c:pt idx="130" formatCode="0">
                  <c:v>18.58245752615395</c:v>
                </c:pt>
                <c:pt idx="131" formatCode="0">
                  <c:v>18.3189548555644</c:v>
                </c:pt>
                <c:pt idx="132" formatCode="0">
                  <c:v>18.05947988839724</c:v>
                </c:pt>
                <c:pt idx="133" formatCode="0">
                  <c:v>17.80397106021056</c:v>
                </c:pt>
                <c:pt idx="134" formatCode="0">
                  <c:v>17.55236774759016</c:v>
                </c:pt>
                <c:pt idx="135" formatCode="0">
                  <c:v>17.30461025376566</c:v>
                </c:pt>
                <c:pt idx="136" formatCode="0">
                  <c:v>17.06063979444663</c:v>
                </c:pt>
                <c:pt idx="137" formatCode="0">
                  <c:v>16.82039848387498</c:v>
                </c:pt>
                <c:pt idx="138" formatCode="0">
                  <c:v>16.58382932109078</c:v>
                </c:pt>
                <c:pt idx="139" formatCode="0">
                  <c:v>16.35087617640783</c:v>
                </c:pt>
                <c:pt idx="140" formatCode="0">
                  <c:v>24.96136343592575</c:v>
                </c:pt>
                <c:pt idx="141" formatCode="0">
                  <c:v>24.60035761249733</c:v>
                </c:pt>
                <c:pt idx="142" formatCode="0">
                  <c:v>24.2448698522721</c:v>
                </c:pt>
                <c:pt idx="143" formatCode="0">
                  <c:v>23.89481581029071</c:v>
                </c:pt>
                <c:pt idx="144" formatCode="0">
                  <c:v>23.5501124308273</c:v>
                </c:pt>
                <c:pt idx="145" formatCode="0">
                  <c:v>23.21067792768333</c:v>
                </c:pt>
                <c:pt idx="146" formatCode="0">
                  <c:v>22.8764317647825</c:v>
                </c:pt>
                <c:pt idx="147" formatCode="0">
                  <c:v>22.54729463706231</c:v>
                </c:pt>
                <c:pt idx="148" formatCode="0">
                  <c:v>22.22318845165778</c:v>
                </c:pt>
                <c:pt idx="149" formatCode="0">
                  <c:v>21.90403630937264</c:v>
                </c:pt>
                <c:pt idx="150" formatCode="0">
                  <c:v>21.58976248643384</c:v>
                </c:pt>
                <c:pt idx="151" formatCode="0">
                  <c:v>21.2802924165249</c:v>
                </c:pt>
                <c:pt idx="152" formatCode="0">
                  <c:v>20.97555267309391</c:v>
                </c:pt>
                <c:pt idx="153" formatCode="0">
                  <c:v>20.67547095193196</c:v>
                </c:pt>
                <c:pt idx="154" formatCode="0">
                  <c:v>20.37997605401784</c:v>
                </c:pt>
                <c:pt idx="155" formatCode="0">
                  <c:v>20.08899786862495</c:v>
                </c:pt>
                <c:pt idx="156" formatCode="0">
                  <c:v>19.80246735668648</c:v>
                </c:pt>
                <c:pt idx="157" formatCode="0">
                  <c:v>19.52031653441481</c:v>
                </c:pt>
                <c:pt idx="158" formatCode="0">
                  <c:v>19.24247845717131</c:v>
                </c:pt>
                <c:pt idx="159" formatCode="0">
                  <c:v>18.96888720358271</c:v>
                </c:pt>
                <c:pt idx="160" formatCode="0">
                  <c:v>27.53935751772989</c:v>
                </c:pt>
                <c:pt idx="161" formatCode="0">
                  <c:v>27.1389464178275</c:v>
                </c:pt>
                <c:pt idx="162" formatCode="0">
                  <c:v>26.74465570051493</c:v>
                </c:pt>
                <c:pt idx="163" formatCode="0">
                  <c:v>26.35639181423213</c:v>
                </c:pt>
                <c:pt idx="164" formatCode="0">
                  <c:v>25.9740626373778</c:v>
                </c:pt>
                <c:pt idx="165" formatCode="0">
                  <c:v>25.59757745645206</c:v>
                </c:pt>
                <c:pt idx="166" formatCode="0">
                  <c:v>25.22684694453331</c:v>
                </c:pt>
                <c:pt idx="167" formatCode="0">
                  <c:v>24.86178314008397</c:v>
                </c:pt>
                <c:pt idx="168" formatCode="0">
                  <c:v>24.50229942608035</c:v>
                </c:pt>
                <c:pt idx="169" formatCode="0">
                  <c:v>24.14831050946131</c:v>
                </c:pt>
                <c:pt idx="170" formatCode="0">
                  <c:v>23.79973240089127</c:v>
                </c:pt>
                <c:pt idx="171" formatCode="0">
                  <c:v>23.45648239483237</c:v>
                </c:pt>
                <c:pt idx="172" formatCode="0">
                  <c:v>23.11847904992134</c:v>
                </c:pt>
                <c:pt idx="173" formatCode="0">
                  <c:v>22.78564216964626</c:v>
                </c:pt>
                <c:pt idx="174" formatCode="0">
                  <c:v>22.45789278331872</c:v>
                </c:pt>
                <c:pt idx="175" formatCode="0">
                  <c:v>22.13515312733678</c:v>
                </c:pt>
                <c:pt idx="176" formatCode="0">
                  <c:v>21.81734662673439</c:v>
                </c:pt>
                <c:pt idx="177" formatCode="0">
                  <c:v>21.50439787701275</c:v>
                </c:pt>
                <c:pt idx="178" formatCode="0">
                  <c:v>21.19623262624946</c:v>
                </c:pt>
                <c:pt idx="179" formatCode="0">
                  <c:v>20.89277775748111</c:v>
                </c:pt>
                <c:pt idx="180" formatCode="0">
                  <c:v>29.43384092918484</c:v>
                </c:pt>
                <c:pt idx="181" formatCode="0">
                  <c:v>29.00447218227674</c:v>
                </c:pt>
                <c:pt idx="182" formatCode="0">
                  <c:v>28.58166644274737</c:v>
                </c:pt>
                <c:pt idx="183" formatCode="0">
                  <c:v>28.16532339340745</c:v>
                </c:pt>
                <c:pt idx="184" formatCode="0">
                  <c:v>27.75534425044071</c:v>
                </c:pt>
                <c:pt idx="185" formatCode="0">
                  <c:v>27.35163173996596</c:v>
                </c:pt>
                <c:pt idx="186" formatCode="0">
                  <c:v>26.95409007495728</c:v>
                </c:pt>
                <c:pt idx="187" formatCode="0">
                  <c:v>26.5626249325171</c:v>
                </c:pt>
                <c:pt idx="188" formatCode="0">
                  <c:v>26.17714343149669</c:v>
                </c:pt>
                <c:pt idx="189" formatCode="0">
                  <c:v>25.79755411045857</c:v>
                </c:pt>
                <c:pt idx="190" formatCode="0">
                  <c:v>25.42376690597598</c:v>
                </c:pt>
                <c:pt idx="191" formatCode="0">
                  <c:v>25.05569313126385</c:v>
                </c:pt>
                <c:pt idx="192" formatCode="0">
                  <c:v>24.69324545513656</c:v>
                </c:pt>
                <c:pt idx="193" formatCode="0">
                  <c:v>24.3363378812872</c:v>
                </c:pt>
                <c:pt idx="194" formatCode="0">
                  <c:v>23.98488572788372</c:v>
                </c:pt>
                <c:pt idx="195" formatCode="0">
                  <c:v>23.63880560747672</c:v>
                </c:pt>
                <c:pt idx="196" formatCode="0">
                  <c:v>23.29801540721464</c:v>
                </c:pt>
                <c:pt idx="197" formatCode="0">
                  <c:v>22.96243426936108</c:v>
                </c:pt>
                <c:pt idx="198" formatCode="0">
                  <c:v>22.63198257211016</c:v>
                </c:pt>
                <c:pt idx="199" formatCode="0">
                  <c:v>22.30658191069495</c:v>
                </c:pt>
                <c:pt idx="200" formatCode="0">
                  <c:v>30.82603473661448</c:v>
                </c:pt>
                <c:pt idx="201" formatCode="0">
                  <c:v>30.37538596339667</c:v>
                </c:pt>
                <c:pt idx="202" formatCode="0">
                  <c:v>29.93162546801729</c:v>
                </c:pt>
                <c:pt idx="203" formatCode="0">
                  <c:v>29.49464796144771</c:v>
                </c:pt>
                <c:pt idx="204" formatCode="0">
                  <c:v>29.06434976402816</c:v>
                </c:pt>
                <c:pt idx="205" formatCode="0">
                  <c:v>28.64062878086803</c:v>
                </c:pt>
                <c:pt idx="206" formatCode="0">
                  <c:v>28.22338447762237</c:v>
                </c:pt>
                <c:pt idx="207" formatCode="0">
                  <c:v>27.81251785663851</c:v>
                </c:pt>
                <c:pt idx="208" formatCode="0">
                  <c:v>27.4079314334674</c:v>
                </c:pt>
                <c:pt idx="209" formatCode="0">
                  <c:v>27.00952921373382</c:v>
                </c:pt>
                <c:pt idx="210" formatCode="0">
                  <c:v>26.61721667036035</c:v>
                </c:pt>
                <c:pt idx="211" formatCode="0">
                  <c:v>26.23090072113926</c:v>
                </c:pt>
                <c:pt idx="212" formatCode="0">
                  <c:v>25.85048970664739</c:v>
                </c:pt>
                <c:pt idx="213" formatCode="0">
                  <c:v>25.47589336849848</c:v>
                </c:pt>
                <c:pt idx="214" formatCode="0">
                  <c:v>25.10702282792805</c:v>
                </c:pt>
                <c:pt idx="215" formatCode="0">
                  <c:v>24.74379056470544</c:v>
                </c:pt>
                <c:pt idx="216" formatCode="0">
                  <c:v>24.38611039636837</c:v>
                </c:pt>
                <c:pt idx="217" formatCode="0">
                  <c:v>24.0338974577748</c:v>
                </c:pt>
                <c:pt idx="218" formatCode="0">
                  <c:v>23.6870681809673</c:v>
                </c:pt>
                <c:pt idx="219" formatCode="0">
                  <c:v>23.34554027534539</c:v>
                </c:pt>
                <c:pt idx="220" formatCode="0">
                  <c:v>31.8491123659704</c:v>
                </c:pt>
                <c:pt idx="221" formatCode="0">
                  <c:v>31.38282559842062</c:v>
                </c:pt>
                <c:pt idx="222" formatCode="0">
                  <c:v>30.92366613931625</c:v>
                </c:pt>
                <c:pt idx="223" formatCode="0">
                  <c:v>30.47152504598679</c:v>
                </c:pt>
                <c:pt idx="224" formatCode="0">
                  <c:v>30.02629504097736</c:v>
                </c:pt>
                <c:pt idx="225" formatCode="0">
                  <c:v>29.5878704865955</c:v>
                </c:pt>
                <c:pt idx="226" formatCode="0">
                  <c:v>29.156147359847</c:v>
                </c:pt>
                <c:pt idx="227" formatCode="0">
                  <c:v>28.73102322775474</c:v>
                </c:pt>
                <c:pt idx="228" formatCode="0">
                  <c:v>28.31239722305506</c:v>
                </c:pt>
                <c:pt idx="229" formatCode="0">
                  <c:v>27.90017002026528</c:v>
                </c:pt>
                <c:pt idx="230" formatCode="0">
                  <c:v>27.4942438121173</c:v>
                </c:pt>
                <c:pt idx="231" formatCode="0">
                  <c:v>27.09452228635125</c:v>
                </c:pt>
                <c:pt idx="232" formatCode="0">
                  <c:v>26.70091060286395</c:v>
                </c:pt>
                <c:pt idx="233" formatCode="0">
                  <c:v>26.31331537120666</c:v>
                </c:pt>
                <c:pt idx="234" formatCode="0">
                  <c:v>25.93164462842669</c:v>
                </c:pt>
                <c:pt idx="235" formatCode="0">
                  <c:v>25.5558078172478</c:v>
                </c:pt>
                <c:pt idx="236" formatCode="0">
                  <c:v>25.18571576458412</c:v>
                </c:pt>
                <c:pt idx="237" formatCode="0">
                  <c:v>24.8212806603824</c:v>
                </c:pt>
                <c:pt idx="238" formatCode="0">
                  <c:v>24.46241603678778</c:v>
                </c:pt>
                <c:pt idx="239" formatCode="0">
                  <c:v>24.10903674762789</c:v>
                </c:pt>
                <c:pt idx="240" formatCode="0">
                  <c:v>23.76105894821067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26314616"/>
        <c:axId val="-2126311672"/>
      </c:lineChart>
      <c:catAx>
        <c:axId val="-2126314616"/>
        <c:scaling>
          <c:orientation val="minMax"/>
        </c:scaling>
        <c:delete val="0"/>
        <c:axPos val="b"/>
        <c:majorTickMark val="out"/>
        <c:minorTickMark val="none"/>
        <c:tickLblPos val="nextTo"/>
        <c:crossAx val="-2126311672"/>
        <c:crosses val="autoZero"/>
        <c:auto val="1"/>
        <c:lblAlgn val="ctr"/>
        <c:lblOffset val="100"/>
        <c:noMultiLvlLbl val="0"/>
      </c:catAx>
      <c:valAx>
        <c:axId val="-2126311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26314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200" b="1" i="0" baseline="0">
                <a:effectLst/>
              </a:rPr>
              <a:t>Climate Benefits of California Uneven Age Mixed Conifer Forest: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Forest&amp;Products v Let-Grow Forest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With Year 40 thin, 20 reentry cycle after Year 80 and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 75% logging residue utilization 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0368852459016393"/>
          <c:y val="0.0231884057971014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'Uneven Mixed Conifer'!$CJ$77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cat>
            <c:numRef>
              <c:f>'Uneven Mixed Conifer'!$CH$78:$CH$318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Mixed Conifer'!$CJ$78:$CJ$318</c:f>
              <c:numCache>
                <c:formatCode>General</c:formatCode>
                <c:ptCount val="241"/>
                <c:pt idx="40" formatCode="0">
                  <c:v>2.020207719085605</c:v>
                </c:pt>
                <c:pt idx="41" formatCode="0">
                  <c:v>1.951392027839185</c:v>
                </c:pt>
                <c:pt idx="42" formatCode="0">
                  <c:v>1.884920451664193</c:v>
                </c:pt>
                <c:pt idx="43" formatCode="0">
                  <c:v>1.820713141395872</c:v>
                </c:pt>
                <c:pt idx="44" formatCode="0">
                  <c:v>1.758692967825152</c:v>
                </c:pt>
                <c:pt idx="45" formatCode="0">
                  <c:v>1.698785429046968</c:v>
                </c:pt>
                <c:pt idx="46" formatCode="0">
                  <c:v>1.640918560964647</c:v>
                </c:pt>
                <c:pt idx="47" formatCode="0">
                  <c:v>1.585022850842832</c:v>
                </c:pt>
                <c:pt idx="48" formatCode="0">
                  <c:v>1.531031153805118</c:v>
                </c:pt>
                <c:pt idx="49" formatCode="0">
                  <c:v>1.478878612176087</c:v>
                </c:pt>
                <c:pt idx="50" formatCode="0">
                  <c:v>1.42850257757084</c:v>
                </c:pt>
                <c:pt idx="51" formatCode="0">
                  <c:v>1.379842535638456</c:v>
                </c:pt>
                <c:pt idx="52" formatCode="0">
                  <c:v>1.33284003336896</c:v>
                </c:pt>
                <c:pt idx="53" formatCode="0">
                  <c:v>1.287438608876482</c:v>
                </c:pt>
                <c:pt idx="54" formatCode="0">
                  <c:v>1.243583723574259</c:v>
                </c:pt>
                <c:pt idx="55" formatCode="0">
                  <c:v>1.20122269666001</c:v>
                </c:pt>
                <c:pt idx="56" formatCode="0">
                  <c:v>1.160304641832974</c:v>
                </c:pt>
                <c:pt idx="57" formatCode="0">
                  <c:v>1.1207804061666</c:v>
                </c:pt>
                <c:pt idx="58" formatCode="0">
                  <c:v>1.082602511063463</c:v>
                </c:pt>
                <c:pt idx="59" formatCode="0">
                  <c:v>1.045725095221461</c:v>
                </c:pt>
                <c:pt idx="60" formatCode="0">
                  <c:v>1.010103859542803</c:v>
                </c:pt>
                <c:pt idx="61" formatCode="0">
                  <c:v>0.975696013919593</c:v>
                </c:pt>
                <c:pt idx="62" formatCode="0">
                  <c:v>0.942460225832096</c:v>
                </c:pt>
                <c:pt idx="63" formatCode="0">
                  <c:v>0.910356570697936</c:v>
                </c:pt>
                <c:pt idx="64" formatCode="0">
                  <c:v>0.879346483912576</c:v>
                </c:pt>
                <c:pt idx="65" formatCode="0">
                  <c:v>0.849392714523484</c:v>
                </c:pt>
                <c:pt idx="66" formatCode="0">
                  <c:v>0.820459280482324</c:v>
                </c:pt>
                <c:pt idx="67" formatCode="0">
                  <c:v>0.792511425421416</c:v>
                </c:pt>
                <c:pt idx="68" formatCode="0">
                  <c:v>0.765515576902559</c:v>
                </c:pt>
                <c:pt idx="69" formatCode="0">
                  <c:v>0.739439306088043</c:v>
                </c:pt>
                <c:pt idx="70" formatCode="0">
                  <c:v>0.71425128878542</c:v>
                </c:pt>
                <c:pt idx="71" formatCode="0">
                  <c:v>0.689921267819228</c:v>
                </c:pt>
                <c:pt idx="72" formatCode="0">
                  <c:v>0.66642001668448</c:v>
                </c:pt>
                <c:pt idx="73" formatCode="0">
                  <c:v>0.643719304438241</c:v>
                </c:pt>
                <c:pt idx="74" formatCode="0">
                  <c:v>0.62179186178713</c:v>
                </c:pt>
                <c:pt idx="75" formatCode="0">
                  <c:v>0.600611348330005</c:v>
                </c:pt>
                <c:pt idx="76" formatCode="0">
                  <c:v>0.580152320916487</c:v>
                </c:pt>
                <c:pt idx="77" formatCode="0">
                  <c:v>0.5603902030833</c:v>
                </c:pt>
                <c:pt idx="78" formatCode="0">
                  <c:v>0.541301255531732</c:v>
                </c:pt>
                <c:pt idx="79" formatCode="0">
                  <c:v>0.522862547610731</c:v>
                </c:pt>
                <c:pt idx="80" formatCode="0">
                  <c:v>3.95139877492918</c:v>
                </c:pt>
                <c:pt idx="81" formatCode="0">
                  <c:v>3.816799626773224</c:v>
                </c:pt>
                <c:pt idx="82" formatCode="0">
                  <c:v>3.686785419727049</c:v>
                </c:pt>
                <c:pt idx="83" formatCode="0">
                  <c:v>3.561199973864791</c:v>
                </c:pt>
                <c:pt idx="84" formatCode="0">
                  <c:v>3.439892429322212</c:v>
                </c:pt>
                <c:pt idx="85" formatCode="0">
                  <c:v>3.322717065075867</c:v>
                </c:pt>
                <c:pt idx="86" formatCode="0">
                  <c:v>3.20953312389532</c:v>
                </c:pt>
                <c:pt idx="87" formatCode="0">
                  <c:v>3.100204643258136</c:v>
                </c:pt>
                <c:pt idx="88" formatCode="0">
                  <c:v>2.994600292024525</c:v>
                </c:pt>
                <c:pt idx="89" formatCode="0">
                  <c:v>2.89259321267544</c:v>
                </c:pt>
                <c:pt idx="90" formatCode="0">
                  <c:v>2.79406086892464</c:v>
                </c:pt>
                <c:pt idx="91" formatCode="0">
                  <c:v>2.69888489852163</c:v>
                </c:pt>
                <c:pt idx="92" formatCode="0">
                  <c:v>2.606950971068687</c:v>
                </c:pt>
                <c:pt idx="93" formatCode="0">
                  <c:v>2.51814865068115</c:v>
                </c:pt>
                <c:pt idx="94" formatCode="0">
                  <c:v>2.432371263326003</c:v>
                </c:pt>
                <c:pt idx="95" formatCode="0">
                  <c:v>2.349515768679408</c:v>
                </c:pt>
                <c:pt idx="96" formatCode="0">
                  <c:v>2.269482636349224</c:v>
                </c:pt>
                <c:pt idx="97" formatCode="0">
                  <c:v>2.19217572631385</c:v>
                </c:pt>
                <c:pt idx="98" formatCode="0">
                  <c:v>2.117502173433757</c:v>
                </c:pt>
                <c:pt idx="99" formatCode="0">
                  <c:v>2.045372275896985</c:v>
                </c:pt>
                <c:pt idx="100" formatCode="0">
                  <c:v>5.422046232622368</c:v>
                </c:pt>
                <c:pt idx="101" formatCode="0">
                  <c:v>5.23735143320004</c:v>
                </c:pt>
                <c:pt idx="102" formatCode="0">
                  <c:v>5.058948016674524</c:v>
                </c:pt>
                <c:pt idx="103" formatCode="0">
                  <c:v>4.886621675448219</c:v>
                </c:pt>
                <c:pt idx="104" formatCode="0">
                  <c:v>4.720165402027031</c:v>
                </c:pt>
                <c:pt idx="105" formatCode="0">
                  <c:v>4.559379240352058</c:v>
                </c:pt>
                <c:pt idx="106" formatCode="0">
                  <c:v>4.404070045601817</c:v>
                </c:pt>
                <c:pt idx="107" formatCode="0">
                  <c:v>4.254051252176497</c:v>
                </c:pt>
                <c:pt idx="108" formatCode="0">
                  <c:v>4.109142649585508</c:v>
                </c:pt>
                <c:pt idx="109" formatCode="0">
                  <c:v>3.969170165969139</c:v>
                </c:pt>
                <c:pt idx="110" formatCode="0">
                  <c:v>3.83396565899425</c:v>
                </c:pt>
                <c:pt idx="111" formatCode="0">
                  <c:v>3.703366713872832</c:v>
                </c:pt>
                <c:pt idx="112" formatCode="0">
                  <c:v>3.577216448260792</c:v>
                </c:pt>
                <c:pt idx="113" formatCode="0">
                  <c:v>3.455363323802604</c:v>
                </c:pt>
                <c:pt idx="114" formatCode="0">
                  <c:v>3.33766096409544</c:v>
                </c:pt>
                <c:pt idx="115" formatCode="0">
                  <c:v>3.22396797885411</c:v>
                </c:pt>
                <c:pt idx="116" formatCode="0">
                  <c:v>3.114147794065593</c:v>
                </c:pt>
                <c:pt idx="117" formatCode="0">
                  <c:v>3.008068487929124</c:v>
                </c:pt>
                <c:pt idx="118" formatCode="0">
                  <c:v>2.905602632384769</c:v>
                </c:pt>
                <c:pt idx="119" formatCode="0">
                  <c:v>2.806627140040113</c:v>
                </c:pt>
                <c:pt idx="120" formatCode="0">
                  <c:v>6.157369961468962</c:v>
                </c:pt>
                <c:pt idx="121" formatCode="0">
                  <c:v>5.947627336413449</c:v>
                </c:pt>
                <c:pt idx="122" formatCode="0">
                  <c:v>5.745029315148262</c:v>
                </c:pt>
                <c:pt idx="123" formatCode="0">
                  <c:v>5.549332526239933</c:v>
                </c:pt>
                <c:pt idx="124" formatCode="0">
                  <c:v>5.36030188837944</c:v>
                </c:pt>
                <c:pt idx="125" formatCode="0">
                  <c:v>5.177710327990154</c:v>
                </c:pt>
                <c:pt idx="126" formatCode="0">
                  <c:v>5.001338506455067</c:v>
                </c:pt>
                <c:pt idx="127" formatCode="0">
                  <c:v>4.830974556635677</c:v>
                </c:pt>
                <c:pt idx="128" formatCode="0">
                  <c:v>4.666413828365999</c:v>
                </c:pt>
                <c:pt idx="129" formatCode="0">
                  <c:v>4.507458642615988</c:v>
                </c:pt>
                <c:pt idx="130" formatCode="0">
                  <c:v>4.353918054029055</c:v>
                </c:pt>
                <c:pt idx="131" formatCode="0">
                  <c:v>4.205607621548433</c:v>
                </c:pt>
                <c:pt idx="132" formatCode="0">
                  <c:v>4.062349186856844</c:v>
                </c:pt>
                <c:pt idx="133" formatCode="0">
                  <c:v>3.923970660363331</c:v>
                </c:pt>
                <c:pt idx="134" formatCode="0">
                  <c:v>3.790305814480158</c:v>
                </c:pt>
                <c:pt idx="135" formatCode="0">
                  <c:v>3.661194083941461</c:v>
                </c:pt>
                <c:pt idx="136" formatCode="0">
                  <c:v>3.536480372923777</c:v>
                </c:pt>
                <c:pt idx="137" formatCode="0">
                  <c:v>3.416014868736762</c:v>
                </c:pt>
                <c:pt idx="138" formatCode="0">
                  <c:v>3.299652861860276</c:v>
                </c:pt>
                <c:pt idx="139" formatCode="0">
                  <c:v>3.187254572111675</c:v>
                </c:pt>
                <c:pt idx="140" formatCode="0">
                  <c:v>6.52503182589226</c:v>
                </c:pt>
                <c:pt idx="141" formatCode="0">
                  <c:v>6.302765288020153</c:v>
                </c:pt>
                <c:pt idx="142" formatCode="0">
                  <c:v>6.088069964385131</c:v>
                </c:pt>
                <c:pt idx="143" formatCode="0">
                  <c:v>5.88068795163579</c:v>
                </c:pt>
                <c:pt idx="144" formatCode="0">
                  <c:v>5.680370131555644</c:v>
                </c:pt>
                <c:pt idx="145" formatCode="0">
                  <c:v>5.486875871809201</c:v>
                </c:pt>
                <c:pt idx="146" formatCode="0">
                  <c:v>5.299972736881691</c:v>
                </c:pt>
                <c:pt idx="147" formatCode="0">
                  <c:v>5.119436208865267</c:v>
                </c:pt>
                <c:pt idx="148" formatCode="0">
                  <c:v>4.945049417756244</c:v>
                </c:pt>
                <c:pt idx="149" formatCode="0">
                  <c:v>4.776602880939412</c:v>
                </c:pt>
                <c:pt idx="150" formatCode="0">
                  <c:v>4.613894251546458</c:v>
                </c:pt>
                <c:pt idx="151" formatCode="0">
                  <c:v>4.456728075386232</c:v>
                </c:pt>
                <c:pt idx="152" formatCode="0">
                  <c:v>4.304915556154869</c:v>
                </c:pt>
                <c:pt idx="153" formatCode="0">
                  <c:v>4.158274328643695</c:v>
                </c:pt>
                <c:pt idx="154" formatCode="0">
                  <c:v>4.016628239672517</c:v>
                </c:pt>
                <c:pt idx="155" formatCode="0">
                  <c:v>3.879807136485136</c:v>
                </c:pt>
                <c:pt idx="156" formatCode="0">
                  <c:v>3.74764666235287</c:v>
                </c:pt>
                <c:pt idx="157" formatCode="0">
                  <c:v>3.619988059140581</c:v>
                </c:pt>
                <c:pt idx="158" formatCode="0">
                  <c:v>3.496677976598029</c:v>
                </c:pt>
                <c:pt idx="159" formatCode="0">
                  <c:v>3.377568288147457</c:v>
                </c:pt>
                <c:pt idx="160" formatCode="0">
                  <c:v>6.708862758103908</c:v>
                </c:pt>
                <c:pt idx="161" formatCode="0">
                  <c:v>6.449843763388517</c:v>
                </c:pt>
                <c:pt idx="162" formatCode="0">
                  <c:v>6.230138406946313</c:v>
                </c:pt>
                <c:pt idx="163" formatCode="0">
                  <c:v>6.017917021499407</c:v>
                </c:pt>
                <c:pt idx="164" formatCode="0">
                  <c:v>5.812924675521479</c:v>
                </c:pt>
                <c:pt idx="165" formatCode="0">
                  <c:v>5.614915121389866</c:v>
                </c:pt>
                <c:pt idx="166" formatCode="0">
                  <c:v>5.42365049957993</c:v>
                </c:pt>
                <c:pt idx="167" formatCode="0">
                  <c:v>5.238901052935643</c:v>
                </c:pt>
                <c:pt idx="168" formatCode="0">
                  <c:v>5.060444850673163</c:v>
                </c:pt>
                <c:pt idx="169" formatCode="0">
                  <c:v>4.888067521785873</c:v>
                </c:pt>
                <c:pt idx="170" formatCode="0">
                  <c:v>4.721561997530614</c:v>
                </c:pt>
                <c:pt idx="171" formatCode="0">
                  <c:v>4.560728262685782</c:v>
                </c:pt>
                <c:pt idx="172" formatCode="0">
                  <c:v>4.405373115282491</c:v>
                </c:pt>
                <c:pt idx="173" formatCode="0">
                  <c:v>4.25530993452018</c:v>
                </c:pt>
                <c:pt idx="174" formatCode="0">
                  <c:v>4.110358456587849</c:v>
                </c:pt>
                <c:pt idx="175" formatCode="0">
                  <c:v>3.970344558121661</c:v>
                </c:pt>
                <c:pt idx="176" formatCode="0">
                  <c:v>3.835100047038775</c:v>
                </c:pt>
                <c:pt idx="177" formatCode="0">
                  <c:v>3.704462460496137</c:v>
                </c:pt>
                <c:pt idx="178" formatCode="0">
                  <c:v>3.57827486973154</c:v>
                </c:pt>
                <c:pt idx="179" formatCode="0">
                  <c:v>3.456385691552513</c:v>
                </c:pt>
                <c:pt idx="180" formatCode="0">
                  <c:v>6.784995351404376</c:v>
                </c:pt>
                <c:pt idx="181" formatCode="0">
                  <c:v>6.553873501507686</c:v>
                </c:pt>
                <c:pt idx="182" formatCode="0">
                  <c:v>6.330624510284156</c:v>
                </c:pt>
                <c:pt idx="183" formatCode="0">
                  <c:v>6.114980199265527</c:v>
                </c:pt>
                <c:pt idx="184" formatCode="0">
                  <c:v>5.906681525126664</c:v>
                </c:pt>
                <c:pt idx="185" formatCode="0">
                  <c:v>5.705478268509058</c:v>
                </c:pt>
                <c:pt idx="186" formatCode="0">
                  <c:v>5.511128733444123</c:v>
                </c:pt>
                <c:pt idx="187" formatCode="0">
                  <c:v>5.323399457015251</c:v>
                </c:pt>
                <c:pt idx="188" formatCode="0">
                  <c:v>5.142064928909827</c:v>
                </c:pt>
                <c:pt idx="189" formatCode="0">
                  <c:v>4.966907320524355</c:v>
                </c:pt>
                <c:pt idx="190" formatCode="0">
                  <c:v>4.797716223297237</c:v>
                </c:pt>
                <c:pt idx="191" formatCode="0">
                  <c:v>4.634288395954907</c:v>
                </c:pt>
                <c:pt idx="192" formatCode="0">
                  <c:v>4.476427520367694</c:v>
                </c:pt>
                <c:pt idx="193" formatCode="0">
                  <c:v>4.32394396572212</c:v>
                </c:pt>
                <c:pt idx="194" formatCode="0">
                  <c:v>4.176654560726362</c:v>
                </c:pt>
                <c:pt idx="195" formatCode="0">
                  <c:v>4.034382373575236</c:v>
                </c:pt>
                <c:pt idx="196" formatCode="0">
                  <c:v>3.896956499410368</c:v>
                </c:pt>
                <c:pt idx="197" formatCode="0">
                  <c:v>3.764211855020268</c:v>
                </c:pt>
                <c:pt idx="198" formatCode="0">
                  <c:v>3.635988980533661</c:v>
                </c:pt>
                <c:pt idx="199" formatCode="0">
                  <c:v>3.512133847867876</c:v>
                </c:pt>
                <c:pt idx="200" formatCode="0">
                  <c:v>6.838844520859967</c:v>
                </c:pt>
                <c:pt idx="201" formatCode="0">
                  <c:v>6.605888370567271</c:v>
                </c:pt>
                <c:pt idx="202" formatCode="0">
                  <c:v>6.380867561953079</c:v>
                </c:pt>
                <c:pt idx="203" formatCode="0">
                  <c:v>6.163511788148587</c:v>
                </c:pt>
                <c:pt idx="204" formatCode="0">
                  <c:v>5.953559949929257</c:v>
                </c:pt>
                <c:pt idx="205" formatCode="0">
                  <c:v>5.750759842068653</c:v>
                </c:pt>
                <c:pt idx="206" formatCode="0">
                  <c:v>5.55486785037622</c:v>
                </c:pt>
                <c:pt idx="207" formatCode="0">
                  <c:v>5.365648659055054</c:v>
                </c:pt>
                <c:pt idx="208" formatCode="0">
                  <c:v>5.182874968028159</c:v>
                </c:pt>
                <c:pt idx="209" formatCode="0">
                  <c:v>5.006327219893596</c:v>
                </c:pt>
                <c:pt idx="210" formatCode="0">
                  <c:v>4.835793336180549</c:v>
                </c:pt>
                <c:pt idx="211" formatCode="0">
                  <c:v>4.67106846258947</c:v>
                </c:pt>
                <c:pt idx="212" formatCode="0">
                  <c:v>4.511954722910295</c:v>
                </c:pt>
                <c:pt idx="213" formatCode="0">
                  <c:v>4.358260981323088</c:v>
                </c:pt>
                <c:pt idx="214" formatCode="0">
                  <c:v>4.20980261279562</c:v>
                </c:pt>
                <c:pt idx="215" formatCode="0">
                  <c:v>4.066401281302024</c:v>
                </c:pt>
                <c:pt idx="216" formatCode="0">
                  <c:v>3.927884725596165</c:v>
                </c:pt>
                <c:pt idx="217" formatCode="0">
                  <c:v>3.794086552282333</c:v>
                </c:pt>
                <c:pt idx="218" formatCode="0">
                  <c:v>3.664846035934722</c:v>
                </c:pt>
                <c:pt idx="219" formatCode="0">
                  <c:v>3.540007926025558</c:v>
                </c:pt>
                <c:pt idx="220" formatCode="0">
                  <c:v>6.865769105587761</c:v>
                </c:pt>
                <c:pt idx="221" formatCode="0">
                  <c:v>6.631895805097064</c:v>
                </c:pt>
                <c:pt idx="222" formatCode="0">
                  <c:v>6.405989087787541</c:v>
                </c:pt>
                <c:pt idx="223" formatCode="0">
                  <c:v>6.187777582590117</c:v>
                </c:pt>
                <c:pt idx="224" formatCode="0">
                  <c:v>5.976999162330553</c:v>
                </c:pt>
                <c:pt idx="225" formatCode="0">
                  <c:v>5.773400628848451</c:v>
                </c:pt>
                <c:pt idx="226" formatCode="0">
                  <c:v>5.576737408842268</c:v>
                </c:pt>
                <c:pt idx="227" formatCode="0">
                  <c:v>5.386773260074955</c:v>
                </c:pt>
                <c:pt idx="228" formatCode="0">
                  <c:v>5.203279987587325</c:v>
                </c:pt>
                <c:pt idx="229" formatCode="0">
                  <c:v>5.026037169578217</c:v>
                </c:pt>
                <c:pt idx="230" formatCode="0">
                  <c:v>4.854831892622204</c:v>
                </c:pt>
                <c:pt idx="231" formatCode="0">
                  <c:v>4.689458495906752</c:v>
                </c:pt>
                <c:pt idx="232" formatCode="0">
                  <c:v>4.529718324181595</c:v>
                </c:pt>
                <c:pt idx="233" formatCode="0">
                  <c:v>4.375419489123573</c:v>
                </c:pt>
                <c:pt idx="234" formatCode="0">
                  <c:v>4.226376638830248</c:v>
                </c:pt>
                <c:pt idx="235" formatCode="0">
                  <c:v>4.082410735165418</c:v>
                </c:pt>
                <c:pt idx="236" formatCode="0">
                  <c:v>3.943348838689063</c:v>
                </c:pt>
                <c:pt idx="237" formatCode="0">
                  <c:v>3.809023900913367</c:v>
                </c:pt>
                <c:pt idx="238" formatCode="0">
                  <c:v>3.679274563635252</c:v>
                </c:pt>
                <c:pt idx="239" formatCode="0">
                  <c:v>3.553944965104399</c:v>
                </c:pt>
                <c:pt idx="240" formatCode="0">
                  <c:v>3.432884552793881</c:v>
                </c:pt>
              </c:numCache>
            </c:numRef>
          </c:val>
        </c:ser>
        <c:ser>
          <c:idx val="2"/>
          <c:order val="2"/>
          <c:tx>
            <c:strRef>
              <c:f>'Uneven Mixed Conifer'!$CK$77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cat>
            <c:numRef>
              <c:f>'Uneven Mixed Conifer'!$CH$78:$CH$318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Mixed Conifer'!$CK$78:$CK$318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50.95749079930418</c:v>
                </c:pt>
                <c:pt idx="81" formatCode="0">
                  <c:v>52.68066422188307</c:v>
                </c:pt>
                <c:pt idx="82" formatCode="0">
                  <c:v>54.40383764446196</c:v>
                </c:pt>
                <c:pt idx="83" formatCode="0">
                  <c:v>56.12701106704085</c:v>
                </c:pt>
                <c:pt idx="84" formatCode="0">
                  <c:v>57.85018448961974</c:v>
                </c:pt>
                <c:pt idx="85" formatCode="0">
                  <c:v>59.57335791219862</c:v>
                </c:pt>
                <c:pt idx="86" formatCode="0">
                  <c:v>61.2965313347775</c:v>
                </c:pt>
                <c:pt idx="87" formatCode="0">
                  <c:v>63.0197047573564</c:v>
                </c:pt>
                <c:pt idx="88" formatCode="0">
                  <c:v>64.74287817993529</c:v>
                </c:pt>
                <c:pt idx="89" formatCode="0">
                  <c:v>66.46605160251418</c:v>
                </c:pt>
                <c:pt idx="90" formatCode="0">
                  <c:v>68.18922502509308</c:v>
                </c:pt>
                <c:pt idx="91" formatCode="0">
                  <c:v>69.91239844767198</c:v>
                </c:pt>
                <c:pt idx="92" formatCode="0">
                  <c:v>71.63557187025087</c:v>
                </c:pt>
                <c:pt idx="93" formatCode="0">
                  <c:v>73.35874529282977</c:v>
                </c:pt>
                <c:pt idx="94" formatCode="0">
                  <c:v>75.08191871540866</c:v>
                </c:pt>
                <c:pt idx="95" formatCode="0">
                  <c:v>76.80509213798756</c:v>
                </c:pt>
                <c:pt idx="96" formatCode="0">
                  <c:v>78.52826556056645</c:v>
                </c:pt>
                <c:pt idx="97" formatCode="0">
                  <c:v>80.25143898314534</c:v>
                </c:pt>
                <c:pt idx="98" formatCode="0">
                  <c:v>81.97461240572424</c:v>
                </c:pt>
                <c:pt idx="99" formatCode="0">
                  <c:v>83.69778582830314</c:v>
                </c:pt>
                <c:pt idx="100" formatCode="0">
                  <c:v>50.95749079930418</c:v>
                </c:pt>
                <c:pt idx="101" formatCode="0">
                  <c:v>52.68066422188307</c:v>
                </c:pt>
                <c:pt idx="102" formatCode="0">
                  <c:v>54.40383764446196</c:v>
                </c:pt>
                <c:pt idx="103" formatCode="0">
                  <c:v>56.12701106704085</c:v>
                </c:pt>
                <c:pt idx="104" formatCode="0">
                  <c:v>57.85018448961974</c:v>
                </c:pt>
                <c:pt idx="105" formatCode="0">
                  <c:v>59.57335791219862</c:v>
                </c:pt>
                <c:pt idx="106" formatCode="0">
                  <c:v>61.2965313347775</c:v>
                </c:pt>
                <c:pt idx="107" formatCode="0">
                  <c:v>63.0197047573564</c:v>
                </c:pt>
                <c:pt idx="108" formatCode="0">
                  <c:v>64.74287817993529</c:v>
                </c:pt>
                <c:pt idx="109" formatCode="0">
                  <c:v>66.46605160251418</c:v>
                </c:pt>
                <c:pt idx="110" formatCode="0">
                  <c:v>68.18922502509308</c:v>
                </c:pt>
                <c:pt idx="111" formatCode="0">
                  <c:v>69.91239844767198</c:v>
                </c:pt>
                <c:pt idx="112" formatCode="0">
                  <c:v>71.63557187025087</c:v>
                </c:pt>
                <c:pt idx="113" formatCode="0">
                  <c:v>73.35874529282977</c:v>
                </c:pt>
                <c:pt idx="114" formatCode="0">
                  <c:v>75.08191871540866</c:v>
                </c:pt>
                <c:pt idx="115" formatCode="0">
                  <c:v>76.80509213798756</c:v>
                </c:pt>
                <c:pt idx="116" formatCode="0">
                  <c:v>78.52826556056645</c:v>
                </c:pt>
                <c:pt idx="117" formatCode="0">
                  <c:v>80.25143898314534</c:v>
                </c:pt>
                <c:pt idx="118" formatCode="0">
                  <c:v>81.97461240572424</c:v>
                </c:pt>
                <c:pt idx="119" formatCode="0">
                  <c:v>83.69778582830314</c:v>
                </c:pt>
                <c:pt idx="120" formatCode="0">
                  <c:v>50.95749079930418</c:v>
                </c:pt>
                <c:pt idx="121" formatCode="0">
                  <c:v>52.68066422188307</c:v>
                </c:pt>
                <c:pt idx="122" formatCode="0">
                  <c:v>54.40383764446196</c:v>
                </c:pt>
                <c:pt idx="123" formatCode="0">
                  <c:v>56.12701106704085</c:v>
                </c:pt>
                <c:pt idx="124" formatCode="0">
                  <c:v>57.85018448961974</c:v>
                </c:pt>
                <c:pt idx="125" formatCode="0">
                  <c:v>59.57335791219862</c:v>
                </c:pt>
                <c:pt idx="126" formatCode="0">
                  <c:v>61.2965313347775</c:v>
                </c:pt>
                <c:pt idx="127" formatCode="0">
                  <c:v>63.0197047573564</c:v>
                </c:pt>
                <c:pt idx="128" formatCode="0">
                  <c:v>64.74287817993529</c:v>
                </c:pt>
                <c:pt idx="129" formatCode="0">
                  <c:v>66.46605160251418</c:v>
                </c:pt>
                <c:pt idx="130" formatCode="0">
                  <c:v>68.18922502509308</c:v>
                </c:pt>
                <c:pt idx="131" formatCode="0">
                  <c:v>69.91239844767198</c:v>
                </c:pt>
                <c:pt idx="132" formatCode="0">
                  <c:v>71.63557187025087</c:v>
                </c:pt>
                <c:pt idx="133" formatCode="0">
                  <c:v>73.35874529282977</c:v>
                </c:pt>
                <c:pt idx="134" formatCode="0">
                  <c:v>75.08191871540866</c:v>
                </c:pt>
                <c:pt idx="135" formatCode="0">
                  <c:v>76.80509213798756</c:v>
                </c:pt>
                <c:pt idx="136" formatCode="0">
                  <c:v>78.52826556056645</c:v>
                </c:pt>
                <c:pt idx="137" formatCode="0">
                  <c:v>80.25143898314534</c:v>
                </c:pt>
                <c:pt idx="138" formatCode="0">
                  <c:v>81.97461240572424</c:v>
                </c:pt>
                <c:pt idx="139" formatCode="0">
                  <c:v>83.69778582830314</c:v>
                </c:pt>
                <c:pt idx="140" formatCode="0">
                  <c:v>50.95749079930418</c:v>
                </c:pt>
                <c:pt idx="141" formatCode="0">
                  <c:v>52.68066422188307</c:v>
                </c:pt>
                <c:pt idx="142" formatCode="0">
                  <c:v>54.40383764446196</c:v>
                </c:pt>
                <c:pt idx="143" formatCode="0">
                  <c:v>56.12701106704085</c:v>
                </c:pt>
                <c:pt idx="144" formatCode="0">
                  <c:v>57.85018448961974</c:v>
                </c:pt>
                <c:pt idx="145" formatCode="0">
                  <c:v>59.57335791219862</c:v>
                </c:pt>
                <c:pt idx="146" formatCode="0">
                  <c:v>61.2965313347775</c:v>
                </c:pt>
                <c:pt idx="147" formatCode="0">
                  <c:v>63.0197047573564</c:v>
                </c:pt>
                <c:pt idx="148" formatCode="0">
                  <c:v>64.74287817993529</c:v>
                </c:pt>
                <c:pt idx="149" formatCode="0">
                  <c:v>66.46605160251418</c:v>
                </c:pt>
                <c:pt idx="150" formatCode="0">
                  <c:v>68.18922502509308</c:v>
                </c:pt>
                <c:pt idx="151" formatCode="0">
                  <c:v>69.91239844767198</c:v>
                </c:pt>
                <c:pt idx="152" formatCode="0">
                  <c:v>71.63557187025087</c:v>
                </c:pt>
                <c:pt idx="153" formatCode="0">
                  <c:v>73.35874529282977</c:v>
                </c:pt>
                <c:pt idx="154" formatCode="0">
                  <c:v>75.08191871540866</c:v>
                </c:pt>
                <c:pt idx="155" formatCode="0">
                  <c:v>76.80509213798756</c:v>
                </c:pt>
                <c:pt idx="156" formatCode="0">
                  <c:v>78.52826556056645</c:v>
                </c:pt>
                <c:pt idx="157" formatCode="0">
                  <c:v>80.25143898314534</c:v>
                </c:pt>
                <c:pt idx="158" formatCode="0">
                  <c:v>81.97461240572424</c:v>
                </c:pt>
                <c:pt idx="159" formatCode="0">
                  <c:v>83.69778582830314</c:v>
                </c:pt>
                <c:pt idx="160" formatCode="0">
                  <c:v>50.95749079930418</c:v>
                </c:pt>
                <c:pt idx="161" formatCode="0">
                  <c:v>52.68066422188307</c:v>
                </c:pt>
                <c:pt idx="162" formatCode="0">
                  <c:v>54.40383764446196</c:v>
                </c:pt>
                <c:pt idx="163" formatCode="0">
                  <c:v>56.12701106704085</c:v>
                </c:pt>
                <c:pt idx="164" formatCode="0">
                  <c:v>57.85018448961974</c:v>
                </c:pt>
                <c:pt idx="165" formatCode="0">
                  <c:v>59.57335791219862</c:v>
                </c:pt>
                <c:pt idx="166" formatCode="0">
                  <c:v>61.2965313347775</c:v>
                </c:pt>
                <c:pt idx="167" formatCode="0">
                  <c:v>63.0197047573564</c:v>
                </c:pt>
                <c:pt idx="168" formatCode="0">
                  <c:v>64.74287817993529</c:v>
                </c:pt>
                <c:pt idx="169" formatCode="0">
                  <c:v>66.46605160251418</c:v>
                </c:pt>
                <c:pt idx="170" formatCode="0">
                  <c:v>68.18922502509308</c:v>
                </c:pt>
                <c:pt idx="171" formatCode="0">
                  <c:v>69.91239844767198</c:v>
                </c:pt>
                <c:pt idx="172" formatCode="0">
                  <c:v>71.63557187025087</c:v>
                </c:pt>
                <c:pt idx="173" formatCode="0">
                  <c:v>73.35874529282977</c:v>
                </c:pt>
                <c:pt idx="174" formatCode="0">
                  <c:v>75.08191871540866</c:v>
                </c:pt>
                <c:pt idx="175" formatCode="0">
                  <c:v>76.80509213798756</c:v>
                </c:pt>
                <c:pt idx="176" formatCode="0">
                  <c:v>78.52826556056645</c:v>
                </c:pt>
                <c:pt idx="177" formatCode="0">
                  <c:v>80.25143898314534</c:v>
                </c:pt>
                <c:pt idx="178" formatCode="0">
                  <c:v>81.97461240572424</c:v>
                </c:pt>
                <c:pt idx="179" formatCode="0">
                  <c:v>83.69778582830314</c:v>
                </c:pt>
                <c:pt idx="180" formatCode="0">
                  <c:v>50.95749079930418</c:v>
                </c:pt>
                <c:pt idx="181" formatCode="0">
                  <c:v>52.68066422188307</c:v>
                </c:pt>
                <c:pt idx="182" formatCode="0">
                  <c:v>54.40383764446196</c:v>
                </c:pt>
                <c:pt idx="183" formatCode="0">
                  <c:v>56.12701106704085</c:v>
                </c:pt>
                <c:pt idx="184" formatCode="0">
                  <c:v>57.85018448961974</c:v>
                </c:pt>
                <c:pt idx="185" formatCode="0">
                  <c:v>59.57335791219862</c:v>
                </c:pt>
                <c:pt idx="186" formatCode="0">
                  <c:v>61.2965313347775</c:v>
                </c:pt>
                <c:pt idx="187" formatCode="0">
                  <c:v>63.0197047573564</c:v>
                </c:pt>
                <c:pt idx="188" formatCode="0">
                  <c:v>64.74287817993529</c:v>
                </c:pt>
                <c:pt idx="189" formatCode="0">
                  <c:v>66.46605160251418</c:v>
                </c:pt>
                <c:pt idx="190" formatCode="0">
                  <c:v>68.18922502509308</c:v>
                </c:pt>
                <c:pt idx="191" formatCode="0">
                  <c:v>69.91239844767198</c:v>
                </c:pt>
                <c:pt idx="192" formatCode="0">
                  <c:v>71.63557187025087</c:v>
                </c:pt>
                <c:pt idx="193" formatCode="0">
                  <c:v>73.35874529282977</c:v>
                </c:pt>
                <c:pt idx="194" formatCode="0">
                  <c:v>75.08191871540866</c:v>
                </c:pt>
                <c:pt idx="195" formatCode="0">
                  <c:v>76.80509213798756</c:v>
                </c:pt>
                <c:pt idx="196" formatCode="0">
                  <c:v>78.52826556056645</c:v>
                </c:pt>
                <c:pt idx="197" formatCode="0">
                  <c:v>80.25143898314534</c:v>
                </c:pt>
                <c:pt idx="198" formatCode="0">
                  <c:v>81.97461240572424</c:v>
                </c:pt>
                <c:pt idx="199" formatCode="0">
                  <c:v>83.69778582830314</c:v>
                </c:pt>
                <c:pt idx="200" formatCode="0">
                  <c:v>50.95749079930418</c:v>
                </c:pt>
                <c:pt idx="201" formatCode="0">
                  <c:v>52.68066422188307</c:v>
                </c:pt>
                <c:pt idx="202" formatCode="0">
                  <c:v>54.40383764446196</c:v>
                </c:pt>
                <c:pt idx="203" formatCode="0">
                  <c:v>56.12701106704085</c:v>
                </c:pt>
                <c:pt idx="204" formatCode="0">
                  <c:v>57.85018448961974</c:v>
                </c:pt>
                <c:pt idx="205" formatCode="0">
                  <c:v>59.57335791219862</c:v>
                </c:pt>
                <c:pt idx="206" formatCode="0">
                  <c:v>61.2965313347775</c:v>
                </c:pt>
                <c:pt idx="207" formatCode="0">
                  <c:v>63.0197047573564</c:v>
                </c:pt>
                <c:pt idx="208" formatCode="0">
                  <c:v>64.74287817993529</c:v>
                </c:pt>
                <c:pt idx="209" formatCode="0">
                  <c:v>66.46605160251418</c:v>
                </c:pt>
                <c:pt idx="210" formatCode="0">
                  <c:v>68.18922502509308</c:v>
                </c:pt>
                <c:pt idx="211" formatCode="0">
                  <c:v>69.91239844767198</c:v>
                </c:pt>
                <c:pt idx="212" formatCode="0">
                  <c:v>71.63557187025087</c:v>
                </c:pt>
                <c:pt idx="213" formatCode="0">
                  <c:v>73.35874529282977</c:v>
                </c:pt>
                <c:pt idx="214" formatCode="0">
                  <c:v>75.08191871540866</c:v>
                </c:pt>
                <c:pt idx="215" formatCode="0">
                  <c:v>76.80509213798756</c:v>
                </c:pt>
                <c:pt idx="216" formatCode="0">
                  <c:v>78.52826556056645</c:v>
                </c:pt>
                <c:pt idx="217" formatCode="0">
                  <c:v>80.25143898314534</c:v>
                </c:pt>
                <c:pt idx="218" formatCode="0">
                  <c:v>81.97461240572424</c:v>
                </c:pt>
                <c:pt idx="219" formatCode="0">
                  <c:v>83.69778582830314</c:v>
                </c:pt>
                <c:pt idx="220" formatCode="0">
                  <c:v>50.95749079930418</c:v>
                </c:pt>
                <c:pt idx="221" formatCode="0">
                  <c:v>52.68066422188307</c:v>
                </c:pt>
                <c:pt idx="222" formatCode="0">
                  <c:v>54.40383764446196</c:v>
                </c:pt>
                <c:pt idx="223" formatCode="0">
                  <c:v>56.12701106704085</c:v>
                </c:pt>
                <c:pt idx="224" formatCode="0">
                  <c:v>57.85018448961974</c:v>
                </c:pt>
                <c:pt idx="225" formatCode="0">
                  <c:v>59.57335791219862</c:v>
                </c:pt>
                <c:pt idx="226" formatCode="0">
                  <c:v>61.2965313347775</c:v>
                </c:pt>
                <c:pt idx="227" formatCode="0">
                  <c:v>63.0197047573564</c:v>
                </c:pt>
                <c:pt idx="228" formatCode="0">
                  <c:v>64.74287817993529</c:v>
                </c:pt>
                <c:pt idx="229" formatCode="0">
                  <c:v>66.46605160251418</c:v>
                </c:pt>
                <c:pt idx="230" formatCode="0">
                  <c:v>68.18922502509308</c:v>
                </c:pt>
                <c:pt idx="231" formatCode="0">
                  <c:v>69.91239844767198</c:v>
                </c:pt>
                <c:pt idx="232" formatCode="0">
                  <c:v>71.63557187025087</c:v>
                </c:pt>
                <c:pt idx="233" formatCode="0">
                  <c:v>73.35874529282977</c:v>
                </c:pt>
                <c:pt idx="234" formatCode="0">
                  <c:v>75.08191871540866</c:v>
                </c:pt>
                <c:pt idx="235" formatCode="0">
                  <c:v>76.80509213798756</c:v>
                </c:pt>
                <c:pt idx="236" formatCode="0">
                  <c:v>78.52826556056645</c:v>
                </c:pt>
                <c:pt idx="237" formatCode="0">
                  <c:v>80.25143898314534</c:v>
                </c:pt>
                <c:pt idx="238" formatCode="0">
                  <c:v>81.97461240572424</c:v>
                </c:pt>
                <c:pt idx="239" formatCode="0">
                  <c:v>83.69778582830314</c:v>
                </c:pt>
                <c:pt idx="240" formatCode="0">
                  <c:v>85.0</c:v>
                </c:pt>
              </c:numCache>
            </c:numRef>
          </c:val>
        </c:ser>
        <c:ser>
          <c:idx val="3"/>
          <c:order val="3"/>
          <c:tx>
            <c:strRef>
              <c:f>'Uneven Mixed Conifer'!$CL$77</c:f>
              <c:strCache>
                <c:ptCount val="1"/>
                <c:pt idx="0">
                  <c:v>Energy from logging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75000"/>
                </a:schemeClr>
              </a:bgClr>
            </a:pattFill>
          </c:spPr>
          <c:invertIfNegative val="0"/>
          <c:cat>
            <c:numRef>
              <c:f>'Uneven Mixed Conifer'!$CH$78:$CH$318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Mixed Conifer'!$CL$78:$CL$318</c:f>
              <c:numCache>
                <c:formatCode>General</c:formatCode>
                <c:ptCount val="241"/>
                <c:pt idx="40" formatCode="0">
                  <c:v>6.060623157256816</c:v>
                </c:pt>
                <c:pt idx="41" formatCode="0">
                  <c:v>6.060623157256816</c:v>
                </c:pt>
                <c:pt idx="42" formatCode="0">
                  <c:v>6.060623157256816</c:v>
                </c:pt>
                <c:pt idx="43" formatCode="0">
                  <c:v>6.060623157256816</c:v>
                </c:pt>
                <c:pt idx="44" formatCode="0">
                  <c:v>6.060623157256816</c:v>
                </c:pt>
                <c:pt idx="45" formatCode="0">
                  <c:v>6.060623157256816</c:v>
                </c:pt>
                <c:pt idx="46" formatCode="0">
                  <c:v>6.060623157256816</c:v>
                </c:pt>
                <c:pt idx="47" formatCode="0">
                  <c:v>6.060623157256816</c:v>
                </c:pt>
                <c:pt idx="48" formatCode="0">
                  <c:v>6.060623157256816</c:v>
                </c:pt>
                <c:pt idx="49" formatCode="0">
                  <c:v>6.060623157256816</c:v>
                </c:pt>
                <c:pt idx="50" formatCode="0">
                  <c:v>6.060623157256816</c:v>
                </c:pt>
                <c:pt idx="51" formatCode="0">
                  <c:v>6.060623157256816</c:v>
                </c:pt>
                <c:pt idx="52" formatCode="0">
                  <c:v>6.060623157256816</c:v>
                </c:pt>
                <c:pt idx="53" formatCode="0">
                  <c:v>6.060623157256816</c:v>
                </c:pt>
                <c:pt idx="54" formatCode="0">
                  <c:v>6.060623157256816</c:v>
                </c:pt>
                <c:pt idx="55" formatCode="0">
                  <c:v>6.060623157256816</c:v>
                </c:pt>
                <c:pt idx="56" formatCode="0">
                  <c:v>6.060623157256816</c:v>
                </c:pt>
                <c:pt idx="57" formatCode="0">
                  <c:v>6.060623157256816</c:v>
                </c:pt>
                <c:pt idx="58" formatCode="0">
                  <c:v>6.060623157256816</c:v>
                </c:pt>
                <c:pt idx="59" formatCode="0">
                  <c:v>6.060623157256816</c:v>
                </c:pt>
                <c:pt idx="60" formatCode="0">
                  <c:v>6.060623157256816</c:v>
                </c:pt>
                <c:pt idx="61" formatCode="0">
                  <c:v>6.060623157256816</c:v>
                </c:pt>
                <c:pt idx="62" formatCode="0">
                  <c:v>6.060623157256816</c:v>
                </c:pt>
                <c:pt idx="63" formatCode="0">
                  <c:v>6.060623157256816</c:v>
                </c:pt>
                <c:pt idx="64" formatCode="0">
                  <c:v>6.060623157256816</c:v>
                </c:pt>
                <c:pt idx="65" formatCode="0">
                  <c:v>6.060623157256816</c:v>
                </c:pt>
                <c:pt idx="66" formatCode="0">
                  <c:v>6.060623157256816</c:v>
                </c:pt>
                <c:pt idx="67" formatCode="0">
                  <c:v>6.060623157256816</c:v>
                </c:pt>
                <c:pt idx="68" formatCode="0">
                  <c:v>6.060623157256816</c:v>
                </c:pt>
                <c:pt idx="69" formatCode="0">
                  <c:v>6.060623157256816</c:v>
                </c:pt>
                <c:pt idx="70" formatCode="0">
                  <c:v>6.060623157256816</c:v>
                </c:pt>
                <c:pt idx="71" formatCode="0">
                  <c:v>6.060623157256816</c:v>
                </c:pt>
                <c:pt idx="72" formatCode="0">
                  <c:v>6.060623157256816</c:v>
                </c:pt>
                <c:pt idx="73" formatCode="0">
                  <c:v>6.060623157256816</c:v>
                </c:pt>
                <c:pt idx="74" formatCode="0">
                  <c:v>6.060623157256816</c:v>
                </c:pt>
                <c:pt idx="75" formatCode="0">
                  <c:v>6.060623157256816</c:v>
                </c:pt>
                <c:pt idx="76" formatCode="0">
                  <c:v>6.060623157256816</c:v>
                </c:pt>
                <c:pt idx="77" formatCode="0">
                  <c:v>6.060623157256816</c:v>
                </c:pt>
                <c:pt idx="78" formatCode="0">
                  <c:v>6.060623157256816</c:v>
                </c:pt>
                <c:pt idx="79" formatCode="0">
                  <c:v>6.060623157256816</c:v>
                </c:pt>
                <c:pt idx="80" formatCode="0">
                  <c:v>13.8370349152037</c:v>
                </c:pt>
                <c:pt idx="81" formatCode="0">
                  <c:v>13.8370349152037</c:v>
                </c:pt>
                <c:pt idx="82" formatCode="0">
                  <c:v>13.8370349152037</c:v>
                </c:pt>
                <c:pt idx="83" formatCode="0">
                  <c:v>13.8370349152037</c:v>
                </c:pt>
                <c:pt idx="84" formatCode="0">
                  <c:v>13.8370349152037</c:v>
                </c:pt>
                <c:pt idx="85" formatCode="0">
                  <c:v>13.8370349152037</c:v>
                </c:pt>
                <c:pt idx="86" formatCode="0">
                  <c:v>13.8370349152037</c:v>
                </c:pt>
                <c:pt idx="87" formatCode="0">
                  <c:v>13.8370349152037</c:v>
                </c:pt>
                <c:pt idx="88" formatCode="0">
                  <c:v>13.8370349152037</c:v>
                </c:pt>
                <c:pt idx="89" formatCode="0">
                  <c:v>13.8370349152037</c:v>
                </c:pt>
                <c:pt idx="90" formatCode="0">
                  <c:v>13.8370349152037</c:v>
                </c:pt>
                <c:pt idx="91" formatCode="0">
                  <c:v>13.8370349152037</c:v>
                </c:pt>
                <c:pt idx="92" formatCode="0">
                  <c:v>13.8370349152037</c:v>
                </c:pt>
                <c:pt idx="93" formatCode="0">
                  <c:v>13.8370349152037</c:v>
                </c:pt>
                <c:pt idx="94" formatCode="0">
                  <c:v>13.8370349152037</c:v>
                </c:pt>
                <c:pt idx="95" formatCode="0">
                  <c:v>13.8370349152037</c:v>
                </c:pt>
                <c:pt idx="96" formatCode="0">
                  <c:v>13.8370349152037</c:v>
                </c:pt>
                <c:pt idx="97" formatCode="0">
                  <c:v>13.8370349152037</c:v>
                </c:pt>
                <c:pt idx="98" formatCode="0">
                  <c:v>13.8370349152037</c:v>
                </c:pt>
                <c:pt idx="99" formatCode="0">
                  <c:v>13.8370349152037</c:v>
                </c:pt>
                <c:pt idx="100" formatCode="0">
                  <c:v>21.61344667315057</c:v>
                </c:pt>
                <c:pt idx="101" formatCode="0">
                  <c:v>21.61344667315057</c:v>
                </c:pt>
                <c:pt idx="102" formatCode="0">
                  <c:v>21.61344667315057</c:v>
                </c:pt>
                <c:pt idx="103" formatCode="0">
                  <c:v>21.61344667315057</c:v>
                </c:pt>
                <c:pt idx="104" formatCode="0">
                  <c:v>21.61344667315057</c:v>
                </c:pt>
                <c:pt idx="105" formatCode="0">
                  <c:v>21.61344667315057</c:v>
                </c:pt>
                <c:pt idx="106" formatCode="0">
                  <c:v>21.61344667315057</c:v>
                </c:pt>
                <c:pt idx="107" formatCode="0">
                  <c:v>21.61344667315057</c:v>
                </c:pt>
                <c:pt idx="108" formatCode="0">
                  <c:v>21.61344667315057</c:v>
                </c:pt>
                <c:pt idx="109" formatCode="0">
                  <c:v>21.61344667315057</c:v>
                </c:pt>
                <c:pt idx="110" formatCode="0">
                  <c:v>21.61344667315057</c:v>
                </c:pt>
                <c:pt idx="111" formatCode="0">
                  <c:v>21.61344667315057</c:v>
                </c:pt>
                <c:pt idx="112" formatCode="0">
                  <c:v>21.61344667315057</c:v>
                </c:pt>
                <c:pt idx="113" formatCode="0">
                  <c:v>21.61344667315057</c:v>
                </c:pt>
                <c:pt idx="114" formatCode="0">
                  <c:v>21.61344667315057</c:v>
                </c:pt>
                <c:pt idx="115" formatCode="0">
                  <c:v>21.61344667315057</c:v>
                </c:pt>
                <c:pt idx="116" formatCode="0">
                  <c:v>21.61344667315057</c:v>
                </c:pt>
                <c:pt idx="117" formatCode="0">
                  <c:v>21.61344667315057</c:v>
                </c:pt>
                <c:pt idx="118" formatCode="0">
                  <c:v>21.61344667315057</c:v>
                </c:pt>
                <c:pt idx="119" formatCode="0">
                  <c:v>21.61344667315057</c:v>
                </c:pt>
                <c:pt idx="120" formatCode="0">
                  <c:v>29.38985843109744</c:v>
                </c:pt>
                <c:pt idx="121" formatCode="0">
                  <c:v>29.38985843109744</c:v>
                </c:pt>
                <c:pt idx="122" formatCode="0">
                  <c:v>29.38985843109744</c:v>
                </c:pt>
                <c:pt idx="123" formatCode="0">
                  <c:v>29.38985843109744</c:v>
                </c:pt>
                <c:pt idx="124" formatCode="0">
                  <c:v>29.38985843109744</c:v>
                </c:pt>
                <c:pt idx="125" formatCode="0">
                  <c:v>29.38985843109744</c:v>
                </c:pt>
                <c:pt idx="126" formatCode="0">
                  <c:v>29.38985843109744</c:v>
                </c:pt>
                <c:pt idx="127" formatCode="0">
                  <c:v>29.38985843109744</c:v>
                </c:pt>
                <c:pt idx="128" formatCode="0">
                  <c:v>29.38985843109744</c:v>
                </c:pt>
                <c:pt idx="129" formatCode="0">
                  <c:v>29.38985843109744</c:v>
                </c:pt>
                <c:pt idx="130" formatCode="0">
                  <c:v>29.38985843109744</c:v>
                </c:pt>
                <c:pt idx="131" formatCode="0">
                  <c:v>29.38985843109744</c:v>
                </c:pt>
                <c:pt idx="132" formatCode="0">
                  <c:v>29.38985843109744</c:v>
                </c:pt>
                <c:pt idx="133" formatCode="0">
                  <c:v>29.38985843109744</c:v>
                </c:pt>
                <c:pt idx="134" formatCode="0">
                  <c:v>29.38985843109744</c:v>
                </c:pt>
                <c:pt idx="135" formatCode="0">
                  <c:v>29.38985843109744</c:v>
                </c:pt>
                <c:pt idx="136" formatCode="0">
                  <c:v>29.38985843109744</c:v>
                </c:pt>
                <c:pt idx="137" formatCode="0">
                  <c:v>29.38985843109744</c:v>
                </c:pt>
                <c:pt idx="138" formatCode="0">
                  <c:v>29.38985843109744</c:v>
                </c:pt>
                <c:pt idx="139" formatCode="0">
                  <c:v>29.38985843109744</c:v>
                </c:pt>
                <c:pt idx="140" formatCode="0">
                  <c:v>37.16627018904432</c:v>
                </c:pt>
                <c:pt idx="141" formatCode="0">
                  <c:v>37.16627018904432</c:v>
                </c:pt>
                <c:pt idx="142" formatCode="0">
                  <c:v>37.16627018904432</c:v>
                </c:pt>
                <c:pt idx="143" formatCode="0">
                  <c:v>37.16627018904432</c:v>
                </c:pt>
                <c:pt idx="144" formatCode="0">
                  <c:v>37.16627018904432</c:v>
                </c:pt>
                <c:pt idx="145" formatCode="0">
                  <c:v>37.16627018904432</c:v>
                </c:pt>
                <c:pt idx="146" formatCode="0">
                  <c:v>37.16627018904432</c:v>
                </c:pt>
                <c:pt idx="147" formatCode="0">
                  <c:v>37.16627018904432</c:v>
                </c:pt>
                <c:pt idx="148" formatCode="0">
                  <c:v>37.16627018904432</c:v>
                </c:pt>
                <c:pt idx="149" formatCode="0">
                  <c:v>37.16627018904432</c:v>
                </c:pt>
                <c:pt idx="150" formatCode="0">
                  <c:v>37.16627018904432</c:v>
                </c:pt>
                <c:pt idx="151" formatCode="0">
                  <c:v>37.16627018904432</c:v>
                </c:pt>
                <c:pt idx="152" formatCode="0">
                  <c:v>37.16627018904432</c:v>
                </c:pt>
                <c:pt idx="153" formatCode="0">
                  <c:v>37.16627018904432</c:v>
                </c:pt>
                <c:pt idx="154" formatCode="0">
                  <c:v>37.16627018904432</c:v>
                </c:pt>
                <c:pt idx="155" formatCode="0">
                  <c:v>37.16627018904432</c:v>
                </c:pt>
                <c:pt idx="156" formatCode="0">
                  <c:v>37.16627018904432</c:v>
                </c:pt>
                <c:pt idx="157" formatCode="0">
                  <c:v>37.16627018904432</c:v>
                </c:pt>
                <c:pt idx="158" formatCode="0">
                  <c:v>37.16627018904432</c:v>
                </c:pt>
                <c:pt idx="159" formatCode="0">
                  <c:v>37.16627018904432</c:v>
                </c:pt>
                <c:pt idx="160" formatCode="0">
                  <c:v>44.9426819469912</c:v>
                </c:pt>
                <c:pt idx="161" formatCode="0">
                  <c:v>44.9426819469912</c:v>
                </c:pt>
                <c:pt idx="162" formatCode="0">
                  <c:v>44.9426819469912</c:v>
                </c:pt>
                <c:pt idx="163" formatCode="0">
                  <c:v>44.9426819469912</c:v>
                </c:pt>
                <c:pt idx="164" formatCode="0">
                  <c:v>44.9426819469912</c:v>
                </c:pt>
                <c:pt idx="165" formatCode="0">
                  <c:v>44.9426819469912</c:v>
                </c:pt>
                <c:pt idx="166" formatCode="0">
                  <c:v>44.9426819469912</c:v>
                </c:pt>
                <c:pt idx="167" formatCode="0">
                  <c:v>44.9426819469912</c:v>
                </c:pt>
                <c:pt idx="168" formatCode="0">
                  <c:v>44.9426819469912</c:v>
                </c:pt>
                <c:pt idx="169" formatCode="0">
                  <c:v>44.9426819469912</c:v>
                </c:pt>
                <c:pt idx="170" formatCode="0">
                  <c:v>44.9426819469912</c:v>
                </c:pt>
                <c:pt idx="171" formatCode="0">
                  <c:v>44.9426819469912</c:v>
                </c:pt>
                <c:pt idx="172" formatCode="0">
                  <c:v>44.9426819469912</c:v>
                </c:pt>
                <c:pt idx="173" formatCode="0">
                  <c:v>44.9426819469912</c:v>
                </c:pt>
                <c:pt idx="174" formatCode="0">
                  <c:v>44.9426819469912</c:v>
                </c:pt>
                <c:pt idx="175" formatCode="0">
                  <c:v>44.9426819469912</c:v>
                </c:pt>
                <c:pt idx="176" formatCode="0">
                  <c:v>44.9426819469912</c:v>
                </c:pt>
                <c:pt idx="177" formatCode="0">
                  <c:v>44.9426819469912</c:v>
                </c:pt>
                <c:pt idx="178" formatCode="0">
                  <c:v>44.9426819469912</c:v>
                </c:pt>
                <c:pt idx="179" formatCode="0">
                  <c:v>44.9426819469912</c:v>
                </c:pt>
                <c:pt idx="180" formatCode="0">
                  <c:v>52.71909370493807</c:v>
                </c:pt>
                <c:pt idx="181" formatCode="0">
                  <c:v>52.71909370493807</c:v>
                </c:pt>
                <c:pt idx="182" formatCode="0">
                  <c:v>52.71909370493807</c:v>
                </c:pt>
                <c:pt idx="183" formatCode="0">
                  <c:v>52.71909370493807</c:v>
                </c:pt>
                <c:pt idx="184" formatCode="0">
                  <c:v>52.71909370493807</c:v>
                </c:pt>
                <c:pt idx="185" formatCode="0">
                  <c:v>52.71909370493807</c:v>
                </c:pt>
                <c:pt idx="186" formatCode="0">
                  <c:v>52.71909370493807</c:v>
                </c:pt>
                <c:pt idx="187" formatCode="0">
                  <c:v>52.71909370493807</c:v>
                </c:pt>
                <c:pt idx="188" formatCode="0">
                  <c:v>52.71909370493807</c:v>
                </c:pt>
                <c:pt idx="189" formatCode="0">
                  <c:v>52.71909370493807</c:v>
                </c:pt>
                <c:pt idx="190" formatCode="0">
                  <c:v>52.71909370493807</c:v>
                </c:pt>
                <c:pt idx="191" formatCode="0">
                  <c:v>52.71909370493807</c:v>
                </c:pt>
                <c:pt idx="192" formatCode="0">
                  <c:v>52.71909370493807</c:v>
                </c:pt>
                <c:pt idx="193" formatCode="0">
                  <c:v>52.71909370493807</c:v>
                </c:pt>
                <c:pt idx="194" formatCode="0">
                  <c:v>52.71909370493807</c:v>
                </c:pt>
                <c:pt idx="195" formatCode="0">
                  <c:v>52.71909370493807</c:v>
                </c:pt>
                <c:pt idx="196" formatCode="0">
                  <c:v>52.71909370493807</c:v>
                </c:pt>
                <c:pt idx="197" formatCode="0">
                  <c:v>52.71909370493807</c:v>
                </c:pt>
                <c:pt idx="198" formatCode="0">
                  <c:v>52.71909370493807</c:v>
                </c:pt>
                <c:pt idx="199" formatCode="0">
                  <c:v>52.71909370493807</c:v>
                </c:pt>
                <c:pt idx="200" formatCode="0">
                  <c:v>60.49550546288494</c:v>
                </c:pt>
                <c:pt idx="201" formatCode="0">
                  <c:v>60.49550546288494</c:v>
                </c:pt>
                <c:pt idx="202" formatCode="0">
                  <c:v>60.49550546288494</c:v>
                </c:pt>
                <c:pt idx="203" formatCode="0">
                  <c:v>60.49550546288494</c:v>
                </c:pt>
                <c:pt idx="204" formatCode="0">
                  <c:v>60.49550546288494</c:v>
                </c:pt>
                <c:pt idx="205" formatCode="0">
                  <c:v>60.49550546288494</c:v>
                </c:pt>
                <c:pt idx="206" formatCode="0">
                  <c:v>60.49550546288494</c:v>
                </c:pt>
                <c:pt idx="207" formatCode="0">
                  <c:v>60.49550546288494</c:v>
                </c:pt>
                <c:pt idx="208" formatCode="0">
                  <c:v>60.49550546288494</c:v>
                </c:pt>
                <c:pt idx="209" formatCode="0">
                  <c:v>60.49550546288494</c:v>
                </c:pt>
                <c:pt idx="210" formatCode="0">
                  <c:v>60.49550546288494</c:v>
                </c:pt>
                <c:pt idx="211" formatCode="0">
                  <c:v>60.49550546288494</c:v>
                </c:pt>
                <c:pt idx="212" formatCode="0">
                  <c:v>60.49550546288494</c:v>
                </c:pt>
                <c:pt idx="213" formatCode="0">
                  <c:v>60.49550546288494</c:v>
                </c:pt>
                <c:pt idx="214" formatCode="0">
                  <c:v>60.49550546288494</c:v>
                </c:pt>
                <c:pt idx="215" formatCode="0">
                  <c:v>60.49550546288494</c:v>
                </c:pt>
                <c:pt idx="216" formatCode="0">
                  <c:v>60.49550546288494</c:v>
                </c:pt>
                <c:pt idx="217" formatCode="0">
                  <c:v>60.49550546288494</c:v>
                </c:pt>
                <c:pt idx="218" formatCode="0">
                  <c:v>60.49550546288494</c:v>
                </c:pt>
                <c:pt idx="219" formatCode="0">
                  <c:v>60.49550546288494</c:v>
                </c:pt>
                <c:pt idx="220" formatCode="0">
                  <c:v>68.27191722083182</c:v>
                </c:pt>
                <c:pt idx="221" formatCode="0">
                  <c:v>68.27191722083182</c:v>
                </c:pt>
                <c:pt idx="222" formatCode="0">
                  <c:v>68.27191722083182</c:v>
                </c:pt>
                <c:pt idx="223" formatCode="0">
                  <c:v>68.27191722083182</c:v>
                </c:pt>
                <c:pt idx="224" formatCode="0">
                  <c:v>68.27191722083182</c:v>
                </c:pt>
                <c:pt idx="225" formatCode="0">
                  <c:v>68.27191722083182</c:v>
                </c:pt>
                <c:pt idx="226" formatCode="0">
                  <c:v>68.27191722083182</c:v>
                </c:pt>
                <c:pt idx="227" formatCode="0">
                  <c:v>68.27191722083182</c:v>
                </c:pt>
                <c:pt idx="228" formatCode="0">
                  <c:v>68.27191722083182</c:v>
                </c:pt>
                <c:pt idx="229" formatCode="0">
                  <c:v>68.27191722083182</c:v>
                </c:pt>
                <c:pt idx="230" formatCode="0">
                  <c:v>68.27191722083182</c:v>
                </c:pt>
                <c:pt idx="231" formatCode="0">
                  <c:v>68.27191722083182</c:v>
                </c:pt>
                <c:pt idx="232" formatCode="0">
                  <c:v>68.27191722083182</c:v>
                </c:pt>
                <c:pt idx="233" formatCode="0">
                  <c:v>68.27191722083182</c:v>
                </c:pt>
                <c:pt idx="234" formatCode="0">
                  <c:v>68.27191722083182</c:v>
                </c:pt>
                <c:pt idx="235" formatCode="0">
                  <c:v>68.27191722083182</c:v>
                </c:pt>
                <c:pt idx="236" formatCode="0">
                  <c:v>68.27191722083182</c:v>
                </c:pt>
                <c:pt idx="237" formatCode="0">
                  <c:v>68.27191722083182</c:v>
                </c:pt>
                <c:pt idx="238" formatCode="0">
                  <c:v>68.27191722083182</c:v>
                </c:pt>
                <c:pt idx="239" formatCode="0">
                  <c:v>68.27191722083182</c:v>
                </c:pt>
                <c:pt idx="240" formatCode="0">
                  <c:v>68.27191722083182</c:v>
                </c:pt>
              </c:numCache>
            </c:numRef>
          </c:val>
        </c:ser>
        <c:ser>
          <c:idx val="4"/>
          <c:order val="4"/>
          <c:tx>
            <c:strRef>
              <c:f>'Uneven Mixed Conifer'!$CM$77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60000"/>
                  <a:lumOff val="40000"/>
                </a:schemeClr>
              </a:bgClr>
            </a:pattFill>
          </c:spPr>
          <c:invertIfNegative val="0"/>
          <c:cat>
            <c:numRef>
              <c:f>'Uneven Mixed Conifer'!$CH$78:$CH$318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Mixed Conifer'!$CM$78:$CM$318</c:f>
              <c:numCache>
                <c:formatCode>General</c:formatCode>
                <c:ptCount val="241"/>
                <c:pt idx="40" formatCode="0">
                  <c:v>0.754210881791959</c:v>
                </c:pt>
                <c:pt idx="41" formatCode="0">
                  <c:v>0.754210881791959</c:v>
                </c:pt>
                <c:pt idx="42" formatCode="0">
                  <c:v>0.754210881791959</c:v>
                </c:pt>
                <c:pt idx="43" formatCode="0">
                  <c:v>0.754210881791959</c:v>
                </c:pt>
                <c:pt idx="44" formatCode="0">
                  <c:v>0.754210881791959</c:v>
                </c:pt>
                <c:pt idx="45" formatCode="0">
                  <c:v>0.754210881791959</c:v>
                </c:pt>
                <c:pt idx="46" formatCode="0">
                  <c:v>0.754210881791959</c:v>
                </c:pt>
                <c:pt idx="47" formatCode="0">
                  <c:v>0.754210881791959</c:v>
                </c:pt>
                <c:pt idx="48" formatCode="0">
                  <c:v>0.754210881791959</c:v>
                </c:pt>
                <c:pt idx="49" formatCode="0">
                  <c:v>0.754210881791959</c:v>
                </c:pt>
                <c:pt idx="50" formatCode="0">
                  <c:v>0.754210881791959</c:v>
                </c:pt>
                <c:pt idx="51" formatCode="0">
                  <c:v>0.754210881791959</c:v>
                </c:pt>
                <c:pt idx="52" formatCode="0">
                  <c:v>0.754210881791959</c:v>
                </c:pt>
                <c:pt idx="53" formatCode="0">
                  <c:v>0.754210881791959</c:v>
                </c:pt>
                <c:pt idx="54" formatCode="0">
                  <c:v>0.754210881791959</c:v>
                </c:pt>
                <c:pt idx="55" formatCode="0">
                  <c:v>0.754210881791959</c:v>
                </c:pt>
                <c:pt idx="56" formatCode="0">
                  <c:v>0.754210881791959</c:v>
                </c:pt>
                <c:pt idx="57" formatCode="0">
                  <c:v>0.754210881791959</c:v>
                </c:pt>
                <c:pt idx="58" formatCode="0">
                  <c:v>0.754210881791959</c:v>
                </c:pt>
                <c:pt idx="59" formatCode="0">
                  <c:v>0.754210881791959</c:v>
                </c:pt>
                <c:pt idx="60" formatCode="0">
                  <c:v>0.754210881791959</c:v>
                </c:pt>
                <c:pt idx="61" formatCode="0">
                  <c:v>0.754210881791959</c:v>
                </c:pt>
                <c:pt idx="62" formatCode="0">
                  <c:v>0.754210881791959</c:v>
                </c:pt>
                <c:pt idx="63" formatCode="0">
                  <c:v>0.754210881791959</c:v>
                </c:pt>
                <c:pt idx="64" formatCode="0">
                  <c:v>0.754210881791959</c:v>
                </c:pt>
                <c:pt idx="65" formatCode="0">
                  <c:v>0.754210881791959</c:v>
                </c:pt>
                <c:pt idx="66" formatCode="0">
                  <c:v>0.754210881791959</c:v>
                </c:pt>
                <c:pt idx="67" formatCode="0">
                  <c:v>0.754210881791959</c:v>
                </c:pt>
                <c:pt idx="68" formatCode="0">
                  <c:v>0.754210881791959</c:v>
                </c:pt>
                <c:pt idx="69" formatCode="0">
                  <c:v>0.754210881791959</c:v>
                </c:pt>
                <c:pt idx="70" formatCode="0">
                  <c:v>0.754210881791959</c:v>
                </c:pt>
                <c:pt idx="71" formatCode="0">
                  <c:v>0.754210881791959</c:v>
                </c:pt>
                <c:pt idx="72" formatCode="0">
                  <c:v>0.754210881791959</c:v>
                </c:pt>
                <c:pt idx="73" formatCode="0">
                  <c:v>0.754210881791959</c:v>
                </c:pt>
                <c:pt idx="74" formatCode="0">
                  <c:v>0.754210881791959</c:v>
                </c:pt>
                <c:pt idx="75" formatCode="0">
                  <c:v>0.754210881791959</c:v>
                </c:pt>
                <c:pt idx="76" formatCode="0">
                  <c:v>0.754210881791959</c:v>
                </c:pt>
                <c:pt idx="77" formatCode="0">
                  <c:v>0.754210881791959</c:v>
                </c:pt>
                <c:pt idx="78" formatCode="0">
                  <c:v>0.754210881791959</c:v>
                </c:pt>
                <c:pt idx="79" formatCode="0">
                  <c:v>0.754210881791959</c:v>
                </c:pt>
                <c:pt idx="80" formatCode="0">
                  <c:v>5.71695033881916</c:v>
                </c:pt>
                <c:pt idx="81" formatCode="0">
                  <c:v>5.71695033881916</c:v>
                </c:pt>
                <c:pt idx="82" formatCode="0">
                  <c:v>5.71695033881916</c:v>
                </c:pt>
                <c:pt idx="83" formatCode="0">
                  <c:v>5.71695033881916</c:v>
                </c:pt>
                <c:pt idx="84" formatCode="0">
                  <c:v>5.71695033881916</c:v>
                </c:pt>
                <c:pt idx="85" formatCode="0">
                  <c:v>5.71695033881916</c:v>
                </c:pt>
                <c:pt idx="86" formatCode="0">
                  <c:v>5.71695033881916</c:v>
                </c:pt>
                <c:pt idx="87" formatCode="0">
                  <c:v>5.71695033881916</c:v>
                </c:pt>
                <c:pt idx="88" formatCode="0">
                  <c:v>5.71695033881916</c:v>
                </c:pt>
                <c:pt idx="89" formatCode="0">
                  <c:v>5.71695033881916</c:v>
                </c:pt>
                <c:pt idx="90" formatCode="0">
                  <c:v>5.71695033881916</c:v>
                </c:pt>
                <c:pt idx="91" formatCode="0">
                  <c:v>5.71695033881916</c:v>
                </c:pt>
                <c:pt idx="92" formatCode="0">
                  <c:v>5.71695033881916</c:v>
                </c:pt>
                <c:pt idx="93" formatCode="0">
                  <c:v>5.71695033881916</c:v>
                </c:pt>
                <c:pt idx="94" formatCode="0">
                  <c:v>5.71695033881916</c:v>
                </c:pt>
                <c:pt idx="95" formatCode="0">
                  <c:v>5.71695033881916</c:v>
                </c:pt>
                <c:pt idx="96" formatCode="0">
                  <c:v>5.71695033881916</c:v>
                </c:pt>
                <c:pt idx="97" formatCode="0">
                  <c:v>5.71695033881916</c:v>
                </c:pt>
                <c:pt idx="98" formatCode="0">
                  <c:v>5.71695033881916</c:v>
                </c:pt>
                <c:pt idx="99" formatCode="0">
                  <c:v>5.71695033881916</c:v>
                </c:pt>
                <c:pt idx="100" formatCode="0">
                  <c:v>10.67968979584636</c:v>
                </c:pt>
                <c:pt idx="101" formatCode="0">
                  <c:v>10.67968979584636</c:v>
                </c:pt>
                <c:pt idx="102" formatCode="0">
                  <c:v>10.67968979584636</c:v>
                </c:pt>
                <c:pt idx="103" formatCode="0">
                  <c:v>10.67968979584636</c:v>
                </c:pt>
                <c:pt idx="104" formatCode="0">
                  <c:v>10.67968979584636</c:v>
                </c:pt>
                <c:pt idx="105" formatCode="0">
                  <c:v>10.67968979584636</c:v>
                </c:pt>
                <c:pt idx="106" formatCode="0">
                  <c:v>10.67968979584636</c:v>
                </c:pt>
                <c:pt idx="107" formatCode="0">
                  <c:v>10.67968979584636</c:v>
                </c:pt>
                <c:pt idx="108" formatCode="0">
                  <c:v>10.67968979584636</c:v>
                </c:pt>
                <c:pt idx="109" formatCode="0">
                  <c:v>10.67968979584636</c:v>
                </c:pt>
                <c:pt idx="110" formatCode="0">
                  <c:v>10.67968979584636</c:v>
                </c:pt>
                <c:pt idx="111" formatCode="0">
                  <c:v>10.67968979584636</c:v>
                </c:pt>
                <c:pt idx="112" formatCode="0">
                  <c:v>10.67968979584636</c:v>
                </c:pt>
                <c:pt idx="113" formatCode="0">
                  <c:v>10.67968979584636</c:v>
                </c:pt>
                <c:pt idx="114" formatCode="0">
                  <c:v>10.67968979584636</c:v>
                </c:pt>
                <c:pt idx="115" formatCode="0">
                  <c:v>10.67968979584636</c:v>
                </c:pt>
                <c:pt idx="116" formatCode="0">
                  <c:v>10.67968979584636</c:v>
                </c:pt>
                <c:pt idx="117" formatCode="0">
                  <c:v>10.67968979584636</c:v>
                </c:pt>
                <c:pt idx="118" formatCode="0">
                  <c:v>10.67968979584636</c:v>
                </c:pt>
                <c:pt idx="119" formatCode="0">
                  <c:v>10.67968979584636</c:v>
                </c:pt>
                <c:pt idx="120" formatCode="0">
                  <c:v>15.64242925287356</c:v>
                </c:pt>
                <c:pt idx="121" formatCode="0">
                  <c:v>15.64242925287356</c:v>
                </c:pt>
                <c:pt idx="122" formatCode="0">
                  <c:v>15.64242925287356</c:v>
                </c:pt>
                <c:pt idx="123" formatCode="0">
                  <c:v>15.64242925287356</c:v>
                </c:pt>
                <c:pt idx="124" formatCode="0">
                  <c:v>15.64242925287356</c:v>
                </c:pt>
                <c:pt idx="125" formatCode="0">
                  <c:v>15.64242925287356</c:v>
                </c:pt>
                <c:pt idx="126" formatCode="0">
                  <c:v>15.64242925287356</c:v>
                </c:pt>
                <c:pt idx="127" formatCode="0">
                  <c:v>15.64242925287356</c:v>
                </c:pt>
                <c:pt idx="128" formatCode="0">
                  <c:v>15.64242925287356</c:v>
                </c:pt>
                <c:pt idx="129" formatCode="0">
                  <c:v>15.64242925287356</c:v>
                </c:pt>
                <c:pt idx="130" formatCode="0">
                  <c:v>15.64242925287356</c:v>
                </c:pt>
                <c:pt idx="131" formatCode="0">
                  <c:v>15.64242925287356</c:v>
                </c:pt>
                <c:pt idx="132" formatCode="0">
                  <c:v>15.64242925287356</c:v>
                </c:pt>
                <c:pt idx="133" formatCode="0">
                  <c:v>15.64242925287356</c:v>
                </c:pt>
                <c:pt idx="134" formatCode="0">
                  <c:v>15.64242925287356</c:v>
                </c:pt>
                <c:pt idx="135" formatCode="0">
                  <c:v>15.64242925287356</c:v>
                </c:pt>
                <c:pt idx="136" formatCode="0">
                  <c:v>15.64242925287356</c:v>
                </c:pt>
                <c:pt idx="137" formatCode="0">
                  <c:v>15.64242925287356</c:v>
                </c:pt>
                <c:pt idx="138" formatCode="0">
                  <c:v>15.64242925287356</c:v>
                </c:pt>
                <c:pt idx="139" formatCode="0">
                  <c:v>15.64242925287356</c:v>
                </c:pt>
                <c:pt idx="140" formatCode="0">
                  <c:v>20.60516870990076</c:v>
                </c:pt>
                <c:pt idx="141" formatCode="0">
                  <c:v>20.60516870990076</c:v>
                </c:pt>
                <c:pt idx="142" formatCode="0">
                  <c:v>20.60516870990076</c:v>
                </c:pt>
                <c:pt idx="143" formatCode="0">
                  <c:v>20.60516870990076</c:v>
                </c:pt>
                <c:pt idx="144" formatCode="0">
                  <c:v>20.60516870990076</c:v>
                </c:pt>
                <c:pt idx="145" formatCode="0">
                  <c:v>20.60516870990076</c:v>
                </c:pt>
                <c:pt idx="146" formatCode="0">
                  <c:v>20.60516870990076</c:v>
                </c:pt>
                <c:pt idx="147" formatCode="0">
                  <c:v>20.60516870990076</c:v>
                </c:pt>
                <c:pt idx="148" formatCode="0">
                  <c:v>20.60516870990076</c:v>
                </c:pt>
                <c:pt idx="149" formatCode="0">
                  <c:v>20.60516870990076</c:v>
                </c:pt>
                <c:pt idx="150" formatCode="0">
                  <c:v>20.60516870990076</c:v>
                </c:pt>
                <c:pt idx="151" formatCode="0">
                  <c:v>20.60516870990076</c:v>
                </c:pt>
                <c:pt idx="152" formatCode="0">
                  <c:v>20.60516870990076</c:v>
                </c:pt>
                <c:pt idx="153" formatCode="0">
                  <c:v>20.60516870990076</c:v>
                </c:pt>
                <c:pt idx="154" formatCode="0">
                  <c:v>20.60516870990076</c:v>
                </c:pt>
                <c:pt idx="155" formatCode="0">
                  <c:v>20.60516870990076</c:v>
                </c:pt>
                <c:pt idx="156" formatCode="0">
                  <c:v>20.60516870990076</c:v>
                </c:pt>
                <c:pt idx="157" formatCode="0">
                  <c:v>20.60516870990076</c:v>
                </c:pt>
                <c:pt idx="158" formatCode="0">
                  <c:v>20.60516870990076</c:v>
                </c:pt>
                <c:pt idx="159" formatCode="0">
                  <c:v>20.60516870990076</c:v>
                </c:pt>
                <c:pt idx="160" formatCode="0">
                  <c:v>25.56790816692796</c:v>
                </c:pt>
                <c:pt idx="161" formatCode="0">
                  <c:v>25.56790816692796</c:v>
                </c:pt>
                <c:pt idx="162" formatCode="0">
                  <c:v>25.56790816692796</c:v>
                </c:pt>
                <c:pt idx="163" formatCode="0">
                  <c:v>25.56790816692796</c:v>
                </c:pt>
                <c:pt idx="164" formatCode="0">
                  <c:v>25.56790816692796</c:v>
                </c:pt>
                <c:pt idx="165" formatCode="0">
                  <c:v>25.56790816692796</c:v>
                </c:pt>
                <c:pt idx="166" formatCode="0">
                  <c:v>25.56790816692796</c:v>
                </c:pt>
                <c:pt idx="167" formatCode="0">
                  <c:v>25.56790816692796</c:v>
                </c:pt>
                <c:pt idx="168" formatCode="0">
                  <c:v>25.56790816692796</c:v>
                </c:pt>
                <c:pt idx="169" formatCode="0">
                  <c:v>25.56790816692796</c:v>
                </c:pt>
                <c:pt idx="170" formatCode="0">
                  <c:v>25.56790816692796</c:v>
                </c:pt>
                <c:pt idx="171" formatCode="0">
                  <c:v>25.56790816692796</c:v>
                </c:pt>
                <c:pt idx="172" formatCode="0">
                  <c:v>25.56790816692796</c:v>
                </c:pt>
                <c:pt idx="173" formatCode="0">
                  <c:v>25.56790816692796</c:v>
                </c:pt>
                <c:pt idx="174" formatCode="0">
                  <c:v>25.56790816692796</c:v>
                </c:pt>
                <c:pt idx="175" formatCode="0">
                  <c:v>25.56790816692796</c:v>
                </c:pt>
                <c:pt idx="176" formatCode="0">
                  <c:v>25.56790816692796</c:v>
                </c:pt>
                <c:pt idx="177" formatCode="0">
                  <c:v>25.56790816692796</c:v>
                </c:pt>
                <c:pt idx="178" formatCode="0">
                  <c:v>25.56790816692796</c:v>
                </c:pt>
                <c:pt idx="179" formatCode="0">
                  <c:v>25.56790816692796</c:v>
                </c:pt>
                <c:pt idx="180" formatCode="0">
                  <c:v>30.53064762395516</c:v>
                </c:pt>
                <c:pt idx="181" formatCode="0">
                  <c:v>30.53064762395516</c:v>
                </c:pt>
                <c:pt idx="182" formatCode="0">
                  <c:v>30.53064762395516</c:v>
                </c:pt>
                <c:pt idx="183" formatCode="0">
                  <c:v>30.53064762395516</c:v>
                </c:pt>
                <c:pt idx="184" formatCode="0">
                  <c:v>30.53064762395516</c:v>
                </c:pt>
                <c:pt idx="185" formatCode="0">
                  <c:v>30.53064762395516</c:v>
                </c:pt>
                <c:pt idx="186" formatCode="0">
                  <c:v>30.53064762395516</c:v>
                </c:pt>
                <c:pt idx="187" formatCode="0">
                  <c:v>30.53064762395516</c:v>
                </c:pt>
                <c:pt idx="188" formatCode="0">
                  <c:v>30.53064762395516</c:v>
                </c:pt>
                <c:pt idx="189" formatCode="0">
                  <c:v>30.53064762395516</c:v>
                </c:pt>
                <c:pt idx="190" formatCode="0">
                  <c:v>30.53064762395516</c:v>
                </c:pt>
                <c:pt idx="191" formatCode="0">
                  <c:v>30.53064762395516</c:v>
                </c:pt>
                <c:pt idx="192" formatCode="0">
                  <c:v>30.53064762395516</c:v>
                </c:pt>
                <c:pt idx="193" formatCode="0">
                  <c:v>30.53064762395516</c:v>
                </c:pt>
                <c:pt idx="194" formatCode="0">
                  <c:v>30.53064762395516</c:v>
                </c:pt>
                <c:pt idx="195" formatCode="0">
                  <c:v>30.53064762395516</c:v>
                </c:pt>
                <c:pt idx="196" formatCode="0">
                  <c:v>30.53064762395516</c:v>
                </c:pt>
                <c:pt idx="197" formatCode="0">
                  <c:v>30.53064762395516</c:v>
                </c:pt>
                <c:pt idx="198" formatCode="0">
                  <c:v>30.53064762395516</c:v>
                </c:pt>
                <c:pt idx="199" formatCode="0">
                  <c:v>30.53064762395516</c:v>
                </c:pt>
                <c:pt idx="200" formatCode="0">
                  <c:v>35.49338708098237</c:v>
                </c:pt>
                <c:pt idx="201" formatCode="0">
                  <c:v>35.49338708098237</c:v>
                </c:pt>
                <c:pt idx="202" formatCode="0">
                  <c:v>35.49338708098237</c:v>
                </c:pt>
                <c:pt idx="203" formatCode="0">
                  <c:v>35.49338708098237</c:v>
                </c:pt>
                <c:pt idx="204" formatCode="0">
                  <c:v>35.49338708098237</c:v>
                </c:pt>
                <c:pt idx="205" formatCode="0">
                  <c:v>35.49338708098237</c:v>
                </c:pt>
                <c:pt idx="206" formatCode="0">
                  <c:v>35.49338708098237</c:v>
                </c:pt>
                <c:pt idx="207" formatCode="0">
                  <c:v>35.49338708098237</c:v>
                </c:pt>
                <c:pt idx="208" formatCode="0">
                  <c:v>35.49338708098237</c:v>
                </c:pt>
                <c:pt idx="209" formatCode="0">
                  <c:v>35.49338708098237</c:v>
                </c:pt>
                <c:pt idx="210" formatCode="0">
                  <c:v>35.49338708098237</c:v>
                </c:pt>
                <c:pt idx="211" formatCode="0">
                  <c:v>35.49338708098237</c:v>
                </c:pt>
                <c:pt idx="212" formatCode="0">
                  <c:v>35.49338708098237</c:v>
                </c:pt>
                <c:pt idx="213" formatCode="0">
                  <c:v>35.49338708098237</c:v>
                </c:pt>
                <c:pt idx="214" formatCode="0">
                  <c:v>35.49338708098237</c:v>
                </c:pt>
                <c:pt idx="215" formatCode="0">
                  <c:v>35.49338708098237</c:v>
                </c:pt>
                <c:pt idx="216" formatCode="0">
                  <c:v>35.49338708098237</c:v>
                </c:pt>
                <c:pt idx="217" formatCode="0">
                  <c:v>35.49338708098237</c:v>
                </c:pt>
                <c:pt idx="218" formatCode="0">
                  <c:v>35.49338708098237</c:v>
                </c:pt>
                <c:pt idx="219" formatCode="0">
                  <c:v>35.49338708098237</c:v>
                </c:pt>
                <c:pt idx="220" formatCode="0">
                  <c:v>40.45612653800956</c:v>
                </c:pt>
                <c:pt idx="221" formatCode="0">
                  <c:v>40.45612653800956</c:v>
                </c:pt>
                <c:pt idx="222" formatCode="0">
                  <c:v>40.45612653800956</c:v>
                </c:pt>
                <c:pt idx="223" formatCode="0">
                  <c:v>40.45612653800956</c:v>
                </c:pt>
                <c:pt idx="224" formatCode="0">
                  <c:v>40.45612653800956</c:v>
                </c:pt>
                <c:pt idx="225" formatCode="0">
                  <c:v>40.45612653800956</c:v>
                </c:pt>
                <c:pt idx="226" formatCode="0">
                  <c:v>40.45612653800956</c:v>
                </c:pt>
                <c:pt idx="227" formatCode="0">
                  <c:v>40.45612653800956</c:v>
                </c:pt>
                <c:pt idx="228" formatCode="0">
                  <c:v>40.45612653800956</c:v>
                </c:pt>
                <c:pt idx="229" formatCode="0">
                  <c:v>40.45612653800956</c:v>
                </c:pt>
                <c:pt idx="230" formatCode="0">
                  <c:v>40.45612653800956</c:v>
                </c:pt>
                <c:pt idx="231" formatCode="0">
                  <c:v>40.45612653800956</c:v>
                </c:pt>
                <c:pt idx="232" formatCode="0">
                  <c:v>40.45612653800956</c:v>
                </c:pt>
                <c:pt idx="233" formatCode="0">
                  <c:v>40.45612653800956</c:v>
                </c:pt>
                <c:pt idx="234" formatCode="0">
                  <c:v>40.45612653800956</c:v>
                </c:pt>
                <c:pt idx="235" formatCode="0">
                  <c:v>40.45612653800956</c:v>
                </c:pt>
                <c:pt idx="236" formatCode="0">
                  <c:v>40.45612653800956</c:v>
                </c:pt>
                <c:pt idx="237" formatCode="0">
                  <c:v>40.45612653800956</c:v>
                </c:pt>
                <c:pt idx="238" formatCode="0">
                  <c:v>40.45612653800956</c:v>
                </c:pt>
                <c:pt idx="239" formatCode="0">
                  <c:v>40.45612653800956</c:v>
                </c:pt>
                <c:pt idx="240" formatCode="0">
                  <c:v>40.45612653800956</c:v>
                </c:pt>
              </c:numCache>
            </c:numRef>
          </c:val>
        </c:ser>
        <c:ser>
          <c:idx val="5"/>
          <c:order val="5"/>
          <c:tx>
            <c:strRef>
              <c:f>'Uneven Mixed Conifer'!$CN$77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cat>
            <c:numRef>
              <c:f>'Uneven Mixed Conifer'!$CH$78:$CH$318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Mixed Conifer'!$CN$78:$CN$318</c:f>
              <c:numCache>
                <c:formatCode>General</c:formatCode>
                <c:ptCount val="241"/>
                <c:pt idx="40" formatCode="0">
                  <c:v>2.356909005599873</c:v>
                </c:pt>
                <c:pt idx="41" formatCode="0">
                  <c:v>2.320883069138215</c:v>
                </c:pt>
                <c:pt idx="42" formatCode="0">
                  <c:v>2.285407798016142</c:v>
                </c:pt>
                <c:pt idx="43" formatCode="0">
                  <c:v>2.250474775177888</c:v>
                </c:pt>
                <c:pt idx="44" formatCode="0">
                  <c:v>2.216075712224464</c:v>
                </c:pt>
                <c:pt idx="45" formatCode="0">
                  <c:v>2.182202447447107</c:v>
                </c:pt>
                <c:pt idx="46" formatCode="0">
                  <c:v>2.148846943890789</c:v>
                </c:pt>
                <c:pt idx="47" formatCode="0">
                  <c:v>2.116001287447326</c:v>
                </c:pt>
                <c:pt idx="48" formatCode="0">
                  <c:v>2.083657684977632</c:v>
                </c:pt>
                <c:pt idx="49" formatCode="0">
                  <c:v>2.051808462462677</c:v>
                </c:pt>
                <c:pt idx="50" formatCode="0">
                  <c:v>2.02044606318271</c:v>
                </c:pt>
                <c:pt idx="51" formatCode="0">
                  <c:v>1.989563045924307</c:v>
                </c:pt>
                <c:pt idx="52" formatCode="0">
                  <c:v>1.959152083214829</c:v>
                </c:pt>
                <c:pt idx="53" formatCode="0">
                  <c:v>1.929205959583866</c:v>
                </c:pt>
                <c:pt idx="54" formatCode="0">
                  <c:v>1.89971756985126</c:v>
                </c:pt>
                <c:pt idx="55" formatCode="0">
                  <c:v>1.870679917441281</c:v>
                </c:pt>
                <c:pt idx="56" formatCode="0">
                  <c:v>1.842086112722594</c:v>
                </c:pt>
                <c:pt idx="57" formatCode="0">
                  <c:v>1.813929371373575</c:v>
                </c:pt>
                <c:pt idx="58" formatCode="0">
                  <c:v>1.786203012772638</c:v>
                </c:pt>
                <c:pt idx="59" formatCode="0">
                  <c:v>1.758900458413145</c:v>
                </c:pt>
                <c:pt idx="60" formatCode="0">
                  <c:v>1.732015230342558</c:v>
                </c:pt>
                <c:pt idx="61" formatCode="0">
                  <c:v>1.705540949625444</c:v>
                </c:pt>
                <c:pt idx="62" formatCode="0">
                  <c:v>1.679471334829975</c:v>
                </c:pt>
                <c:pt idx="63" formatCode="0">
                  <c:v>1.653800200537558</c:v>
                </c:pt>
                <c:pt idx="64" formatCode="0">
                  <c:v>1.628521455875254</c:v>
                </c:pt>
                <c:pt idx="65" formatCode="0">
                  <c:v>1.603629103070621</c:v>
                </c:pt>
                <c:pt idx="66" formatCode="0">
                  <c:v>1.579117236028651</c:v>
                </c:pt>
                <c:pt idx="67" formatCode="0">
                  <c:v>1.554980038930454</c:v>
                </c:pt>
                <c:pt idx="68" formatCode="0">
                  <c:v>1.531211784853375</c:v>
                </c:pt>
                <c:pt idx="69" formatCode="0">
                  <c:v>1.50780683441218</c:v>
                </c:pt>
                <c:pt idx="70" formatCode="0">
                  <c:v>1.484759634421037</c:v>
                </c:pt>
                <c:pt idx="71" formatCode="0">
                  <c:v>1.462064716575928</c:v>
                </c:pt>
                <c:pt idx="72" formatCode="0">
                  <c:v>1.439716696157214</c:v>
                </c:pt>
                <c:pt idx="73" formatCode="0">
                  <c:v>1.417710270752027</c:v>
                </c:pt>
                <c:pt idx="74" formatCode="0">
                  <c:v>1.396040218996188</c:v>
                </c:pt>
                <c:pt idx="75" formatCode="0">
                  <c:v>1.37470139933536</c:v>
                </c:pt>
                <c:pt idx="76" formatCode="0">
                  <c:v>1.353688748805136</c:v>
                </c:pt>
                <c:pt idx="77" formatCode="0">
                  <c:v>1.33299728182977</c:v>
                </c:pt>
                <c:pt idx="78" formatCode="0">
                  <c:v>1.312622089039269</c:v>
                </c:pt>
                <c:pt idx="79" formatCode="0">
                  <c:v>1.292558336104581</c:v>
                </c:pt>
                <c:pt idx="80" formatCode="0">
                  <c:v>16.78136206580056</c:v>
                </c:pt>
                <c:pt idx="81" formatCode="0">
                  <c:v>16.52485480052804</c:v>
                </c:pt>
                <c:pt idx="82" formatCode="0">
                  <c:v>16.27226831217932</c:v>
                </c:pt>
                <c:pt idx="83" formatCode="0">
                  <c:v>16.02354267071043</c:v>
                </c:pt>
                <c:pt idx="84" formatCode="0">
                  <c:v>15.77861886212294</c:v>
                </c:pt>
                <c:pt idx="85" formatCode="0">
                  <c:v>15.53743877446195</c:v>
                </c:pt>
                <c:pt idx="86" formatCode="0">
                  <c:v>15.29994518402815</c:v>
                </c:pt>
                <c:pt idx="87" formatCode="0">
                  <c:v>15.06608174180062</c:v>
                </c:pt>
                <c:pt idx="88" formatCode="0">
                  <c:v>14.83579296006714</c:v>
                </c:pt>
                <c:pt idx="89" formatCode="0">
                  <c:v>14.60902419925889</c:v>
                </c:pt>
                <c:pt idx="90" formatCode="0">
                  <c:v>14.38572165498634</c:v>
                </c:pt>
                <c:pt idx="91" formatCode="0">
                  <c:v>14.16583234527338</c:v>
                </c:pt>
                <c:pt idx="92" formatCode="0">
                  <c:v>13.94930409798645</c:v>
                </c:pt>
                <c:pt idx="93" formatCode="0">
                  <c:v>13.73608553845597</c:v>
                </c:pt>
                <c:pt idx="94" formatCode="0">
                  <c:v>13.52612607728689</c:v>
                </c:pt>
                <c:pt idx="95" formatCode="0">
                  <c:v>13.31937589835553</c:v>
                </c:pt>
                <c:pt idx="96" formatCode="0">
                  <c:v>13.11578594698998</c:v>
                </c:pt>
                <c:pt idx="97" formatCode="0">
                  <c:v>12.91530791833112</c:v>
                </c:pt>
                <c:pt idx="98" formatCode="0">
                  <c:v>12.71789424587154</c:v>
                </c:pt>
                <c:pt idx="99" formatCode="0">
                  <c:v>12.52349809016961</c:v>
                </c:pt>
                <c:pt idx="100" formatCode="0">
                  <c:v>27.84063413094619</c:v>
                </c:pt>
                <c:pt idx="101" formatCode="0">
                  <c:v>27.41508315979257</c:v>
                </c:pt>
                <c:pt idx="102" formatCode="0">
                  <c:v>26.99603684037204</c:v>
                </c:pt>
                <c:pt idx="103" formatCode="0">
                  <c:v>26.58339574747575</c:v>
                </c:pt>
                <c:pt idx="104" formatCode="0">
                  <c:v>26.1770619756338</c:v>
                </c:pt>
                <c:pt idx="105" formatCode="0">
                  <c:v>25.77693911588553</c:v>
                </c:pt>
                <c:pt idx="106" formatCode="0">
                  <c:v>25.38293223290509</c:v>
                </c:pt>
                <c:pt idx="107" formatCode="0">
                  <c:v>24.99494784247655</c:v>
                </c:pt>
                <c:pt idx="108" formatCode="0">
                  <c:v>24.61289388931329</c:v>
                </c:pt>
                <c:pt idx="109" formatCode="0">
                  <c:v>24.23667972521651</c:v>
                </c:pt>
                <c:pt idx="110" formatCode="0">
                  <c:v>23.86621608756751</c:v>
                </c:pt>
                <c:pt idx="111" formatCode="0">
                  <c:v>23.50141507814879</c:v>
                </c:pt>
                <c:pt idx="112" formatCode="0">
                  <c:v>23.1421901422888</c:v>
                </c:pt>
                <c:pt idx="113" formatCode="0">
                  <c:v>22.78845604832555</c:v>
                </c:pt>
                <c:pt idx="114" formatCode="0">
                  <c:v>22.44012886738404</c:v>
                </c:pt>
                <c:pt idx="115" formatCode="0">
                  <c:v>22.09712595346287</c:v>
                </c:pt>
                <c:pt idx="116" formatCode="0">
                  <c:v>21.7593659238252</c:v>
                </c:pt>
                <c:pt idx="117" formatCode="0">
                  <c:v>21.42676863968942</c:v>
                </c:pt>
                <c:pt idx="118" formatCode="0">
                  <c:v>21.09925518721498</c:v>
                </c:pt>
                <c:pt idx="119" formatCode="0">
                  <c:v>20.77674785877892</c:v>
                </c:pt>
                <c:pt idx="120" formatCode="0">
                  <c:v>35.96773093774846</c:v>
                </c:pt>
                <c:pt idx="121" formatCode="0">
                  <c:v>35.41795528397707</c:v>
                </c:pt>
                <c:pt idx="122" formatCode="0">
                  <c:v>34.87658308690422</c:v>
                </c:pt>
                <c:pt idx="123" formatCode="0">
                  <c:v>34.34348589761804</c:v>
                </c:pt>
                <c:pt idx="124" formatCode="0">
                  <c:v>33.81853723058007</c:v>
                </c:pt>
                <c:pt idx="125" formatCode="0">
                  <c:v>33.30161253361453</c:v>
                </c:pt>
                <c:pt idx="126" formatCode="0">
                  <c:v>32.7925891583564</c:v>
                </c:pt>
                <c:pt idx="127" formatCode="0">
                  <c:v>32.29134633115121</c:v>
                </c:pt>
                <c:pt idx="128" formatCode="0">
                  <c:v>31.79776512439972</c:v>
                </c:pt>
                <c:pt idx="129" formatCode="0">
                  <c:v>31.31172842834035</c:v>
                </c:pt>
                <c:pt idx="130" formatCode="0">
                  <c:v>30.83312092326317</c:v>
                </c:pt>
                <c:pt idx="131" formatCode="0">
                  <c:v>30.36182905214854</c:v>
                </c:pt>
                <c:pt idx="132" formatCode="0">
                  <c:v>29.89774099372389</c:v>
                </c:pt>
                <c:pt idx="133" formatCode="0">
                  <c:v>29.44074663593243</c:v>
                </c:pt>
                <c:pt idx="134" formatCode="0">
                  <c:v>28.9907375498074</c:v>
                </c:pt>
                <c:pt idx="135" formatCode="0">
                  <c:v>28.54760696374553</c:v>
                </c:pt>
                <c:pt idx="136" formatCode="0">
                  <c:v>28.11124973817393</c:v>
                </c:pt>
                <c:pt idx="137" formatCode="0">
                  <c:v>27.68156234060403</c:v>
                </c:pt>
                <c:pt idx="138" formatCode="0">
                  <c:v>27.25844282106696</c:v>
                </c:pt>
                <c:pt idx="139" formatCode="0">
                  <c:v>26.84179078792427</c:v>
                </c:pt>
                <c:pt idx="140" formatCode="0">
                  <c:v>41.94006818725854</c:v>
                </c:pt>
                <c:pt idx="141" formatCode="0">
                  <c:v>41.2990038830695</c:v>
                </c:pt>
                <c:pt idx="142" formatCode="0">
                  <c:v>40.6677384051549</c:v>
                </c:pt>
                <c:pt idx="143" formatCode="0">
                  <c:v>40.04612197603418</c:v>
                </c:pt>
                <c:pt idx="144" formatCode="0">
                  <c:v>39.43400710761259</c:v>
                </c:pt>
                <c:pt idx="145" formatCode="0">
                  <c:v>38.83124856618734</c:v>
                </c:pt>
                <c:pt idx="146" formatCode="0">
                  <c:v>38.23770333798865</c:v>
                </c:pt>
                <c:pt idx="147" formatCode="0">
                  <c:v>37.65323059524758</c:v>
                </c:pt>
                <c:pt idx="148" formatCode="0">
                  <c:v>37.07769166278239</c:v>
                </c:pt>
                <c:pt idx="149" formatCode="0">
                  <c:v>36.51094998509578</c:v>
                </c:pt>
                <c:pt idx="150" formatCode="0">
                  <c:v>35.95287109397496</c:v>
                </c:pt>
                <c:pt idx="151" formatCode="0">
                  <c:v>35.40332257658702</c:v>
                </c:pt>
                <c:pt idx="152" formatCode="0">
                  <c:v>34.86217404406185</c:v>
                </c:pt>
                <c:pt idx="153" formatCode="0">
                  <c:v>34.32929710055551</c:v>
                </c:pt>
                <c:pt idx="154" formatCode="0">
                  <c:v>33.80456531278621</c:v>
                </c:pt>
                <c:pt idx="155" formatCode="0">
                  <c:v>33.28785418003611</c:v>
                </c:pt>
                <c:pt idx="156" formatCode="0">
                  <c:v>32.77904110461164</c:v>
                </c:pt>
                <c:pt idx="157" formatCode="0">
                  <c:v>32.2780053627552</c:v>
                </c:pt>
                <c:pt idx="158" formatCode="0">
                  <c:v>31.78462807600174</c:v>
                </c:pt>
                <c:pt idx="159" formatCode="0">
                  <c:v>31.29879218297285</c:v>
                </c:pt>
                <c:pt idx="160" formatCode="0">
                  <c:v>46.32894321481221</c:v>
                </c:pt>
                <c:pt idx="161" formatCode="0">
                  <c:v>45.62079387148711</c:v>
                </c:pt>
                <c:pt idx="162" formatCode="0">
                  <c:v>44.92346876583404</c:v>
                </c:pt>
                <c:pt idx="163" formatCode="0">
                  <c:v>44.2368024467059</c:v>
                </c:pt>
                <c:pt idx="164" formatCode="0">
                  <c:v>43.56063199191725</c:v>
                </c:pt>
                <c:pt idx="165" formatCode="0">
                  <c:v>42.89479696958847</c:v>
                </c:pt>
                <c:pt idx="166" formatCode="0">
                  <c:v>42.2391394000809</c:v>
                </c:pt>
                <c:pt idx="167" formatCode="0">
                  <c:v>41.59350371851367</c:v>
                </c:pt>
                <c:pt idx="168" formatCode="0">
                  <c:v>40.95773673785354</c:v>
                </c:pt>
                <c:pt idx="169" formatCode="0">
                  <c:v>40.33168761256892</c:v>
                </c:pt>
                <c:pt idx="170" formatCode="0">
                  <c:v>39.71520780283947</c:v>
                </c:pt>
                <c:pt idx="171" formatCode="0">
                  <c:v>39.10815103931266</c:v>
                </c:pt>
                <c:pt idx="172" formatCode="0">
                  <c:v>38.51037328839919</c:v>
                </c:pt>
                <c:pt idx="173" formatCode="0">
                  <c:v>37.92173271809872</c:v>
                </c:pt>
                <c:pt idx="174" formatCode="0">
                  <c:v>37.34208966434812</c:v>
                </c:pt>
                <c:pt idx="175" formatCode="0">
                  <c:v>36.77130659788394</c:v>
                </c:pt>
                <c:pt idx="176" formatCode="0">
                  <c:v>36.20924809161151</c:v>
                </c:pt>
                <c:pt idx="177" formatCode="0">
                  <c:v>35.65578078847275</c:v>
                </c:pt>
                <c:pt idx="178" formatCode="0">
                  <c:v>35.11077336980519</c:v>
                </c:pt>
                <c:pt idx="179" formatCode="0">
                  <c:v>34.57409652418453</c:v>
                </c:pt>
                <c:pt idx="180" formatCode="0">
                  <c:v>49.55418371995354</c:v>
                </c:pt>
                <c:pt idx="181" formatCode="0">
                  <c:v>48.79673577866147</c:v>
                </c:pt>
                <c:pt idx="182" formatCode="0">
                  <c:v>48.05086561629135</c:v>
                </c:pt>
                <c:pt idx="183" formatCode="0">
                  <c:v>47.31639626363189</c:v>
                </c:pt>
                <c:pt idx="184" formatCode="0">
                  <c:v>46.59315345648991</c:v>
                </c:pt>
                <c:pt idx="185" formatCode="0">
                  <c:v>45.88096559434351</c:v>
                </c:pt>
                <c:pt idx="186" formatCode="0">
                  <c:v>45.17966369962712</c:v>
                </c:pt>
                <c:pt idx="187" formatCode="0">
                  <c:v>44.48908137763901</c:v>
                </c:pt>
                <c:pt idx="188" formatCode="0">
                  <c:v>43.8090547770616</c:v>
                </c:pt>
                <c:pt idx="189" formatCode="0">
                  <c:v>43.13942255108518</c:v>
                </c:pt>
                <c:pt idx="190" formatCode="0">
                  <c:v>42.48002581912587</c:v>
                </c:pt>
                <c:pt idx="191" formatCode="0">
                  <c:v>41.8307081291288</c:v>
                </c:pt>
                <c:pt idx="192" formatCode="0">
                  <c:v>41.19131542044737</c:v>
                </c:pt>
                <c:pt idx="193" formatCode="0">
                  <c:v>40.56169598729005</c:v>
                </c:pt>
                <c:pt idx="194" formatCode="0">
                  <c:v>39.94170044272584</c:v>
                </c:pt>
                <c:pt idx="195" formatCode="0">
                  <c:v>39.33118168323984</c:v>
                </c:pt>
                <c:pt idx="196" formatCode="0">
                  <c:v>38.72999485383074</c:v>
                </c:pt>
                <c:pt idx="197" formatCode="0">
                  <c:v>38.13799731364173</c:v>
                </c:pt>
                <c:pt idx="198" formatCode="0">
                  <c:v>37.55504860211673</c:v>
                </c:pt>
                <c:pt idx="199" formatCode="0">
                  <c:v>36.98101040567393</c:v>
                </c:pt>
                <c:pt idx="200" formatCode="0">
                  <c:v>51.92430732809883</c:v>
                </c:pt>
                <c:pt idx="201" formatCode="0">
                  <c:v>50.93324180737675</c:v>
                </c:pt>
                <c:pt idx="202" formatCode="0">
                  <c:v>50.15471462250063</c:v>
                </c:pt>
                <c:pt idx="203" formatCode="0">
                  <c:v>49.38808741799262</c:v>
                </c:pt>
                <c:pt idx="204" formatCode="0">
                  <c:v>48.63317829971268</c:v>
                </c:pt>
                <c:pt idx="205" formatCode="0">
                  <c:v>47.88980815381773</c:v>
                </c:pt>
                <c:pt idx="206" formatCode="0">
                  <c:v>47.15780060426393</c:v>
                </c:pt>
                <c:pt idx="207" formatCode="0">
                  <c:v>46.43698197095892</c:v>
                </c:pt>
                <c:pt idx="208" formatCode="0">
                  <c:v>45.72718122855346</c:v>
                </c:pt>
                <c:pt idx="209" formatCode="0">
                  <c:v>45.02822996586298</c:v>
                </c:pt>
                <c:pt idx="210" formatCode="0">
                  <c:v>44.33996234590951</c:v>
                </c:pt>
                <c:pt idx="211" formatCode="0">
                  <c:v>43.66221506657427</c:v>
                </c:pt>
                <c:pt idx="212" formatCode="0">
                  <c:v>42.99482732185169</c:v>
                </c:pt>
                <c:pt idx="213" formatCode="0">
                  <c:v>42.33764076369572</c:v>
                </c:pt>
                <c:pt idx="214" formatCode="0">
                  <c:v>41.69049946444934</c:v>
                </c:pt>
                <c:pt idx="215" formatCode="0">
                  <c:v>41.05324987984827</c:v>
                </c:pt>
                <c:pt idx="216" formatCode="0">
                  <c:v>40.42574081259026</c:v>
                </c:pt>
                <c:pt idx="217" formatCode="0">
                  <c:v>39.80782337646117</c:v>
                </c:pt>
                <c:pt idx="218" formatCode="0">
                  <c:v>39.19935096100943</c:v>
                </c:pt>
                <c:pt idx="219" formatCode="0">
                  <c:v>38.60017919676046</c:v>
                </c:pt>
                <c:pt idx="220" formatCode="0">
                  <c:v>53.51872672417275</c:v>
                </c:pt>
                <c:pt idx="221" formatCode="0">
                  <c:v>52.70067976355912</c:v>
                </c:pt>
                <c:pt idx="222" formatCode="0">
                  <c:v>51.8951368528497</c:v>
                </c:pt>
                <c:pt idx="223" formatCode="0">
                  <c:v>51.1019068645524</c:v>
                </c:pt>
                <c:pt idx="224" formatCode="0">
                  <c:v>50.32080159260602</c:v>
                </c:pt>
                <c:pt idx="225" formatCode="0">
                  <c:v>49.55163570772557</c:v>
                </c:pt>
                <c:pt idx="226" formatCode="0">
                  <c:v>48.79422671342992</c:v>
                </c:pt>
                <c:pt idx="227" formatCode="0">
                  <c:v>48.04839490274177</c:v>
                </c:pt>
                <c:pt idx="228" formatCode="0">
                  <c:v>47.31396331554936</c:v>
                </c:pt>
                <c:pt idx="229" formatCode="0">
                  <c:v>46.59075769661992</c:v>
                </c:pt>
                <c:pt idx="230" formatCode="0">
                  <c:v>45.87860645425503</c:v>
                </c:pt>
                <c:pt idx="231" formatCode="0">
                  <c:v>45.17734061957776</c:v>
                </c:pt>
                <c:pt idx="232" formatCode="0">
                  <c:v>44.48679380644216</c:v>
                </c:pt>
                <c:pt idx="233" formatCode="0">
                  <c:v>43.80680217195567</c:v>
                </c:pt>
                <c:pt idx="234" formatCode="0">
                  <c:v>43.13720437760484</c:v>
                </c:pt>
                <c:pt idx="235" formatCode="0">
                  <c:v>42.47784155097521</c:v>
                </c:pt>
                <c:pt idx="236" formatCode="0">
                  <c:v>41.82855724805648</c:v>
                </c:pt>
                <c:pt idx="237" formatCode="0">
                  <c:v>41.18919741612365</c:v>
                </c:pt>
                <c:pt idx="238" formatCode="0">
                  <c:v>40.5596103571857</c:v>
                </c:pt>
                <c:pt idx="239" formatCode="0">
                  <c:v>39.93964669199292</c:v>
                </c:pt>
                <c:pt idx="240" formatCode="0">
                  <c:v>39.32915932459428</c:v>
                </c:pt>
              </c:numCache>
            </c:numRef>
          </c:val>
        </c:ser>
        <c:ser>
          <c:idx val="6"/>
          <c:order val="6"/>
          <c:tx>
            <c:strRef>
              <c:f>'Uneven Mixed Conifer'!$CO$77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'Uneven Mixed Conifer'!$CH$78:$CH$318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Mixed Conifer'!$CO$78:$CO$318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0.0180309811990599</c:v>
                </c:pt>
                <c:pt idx="42" formatCode="0">
                  <c:v>0.0357863543956574</c:v>
                </c:pt>
                <c:pt idx="43" formatCode="0">
                  <c:v>0.0532703323262037</c:v>
                </c:pt>
                <c:pt idx="44" formatCode="0">
                  <c:v>0.0704870633343924</c:v>
                </c:pt>
                <c:pt idx="45" formatCode="0">
                  <c:v>0.0874406323554598</c:v>
                </c:pt>
                <c:pt idx="46" formatCode="0">
                  <c:v>0.104135061885397</c:v>
                </c:pt>
                <c:pt idx="47" formatCode="0">
                  <c:v>0.12057431293535</c:v>
                </c:pt>
                <c:pt idx="48" formatCode="0">
                  <c:v>0.136762285971432</c:v>
                </c:pt>
                <c:pt idx="49" formatCode="0">
                  <c:v>0.152702821840166</c:v>
                </c:pt>
                <c:pt idx="50" formatCode="0">
                  <c:v>0.16839970267979</c:v>
                </c:pt>
                <c:pt idx="51" formatCode="0">
                  <c:v>0.183856652817621</c:v>
                </c:pt>
                <c:pt idx="52" formatCode="0">
                  <c:v>0.199077339653715</c:v>
                </c:pt>
                <c:pt idx="53" formatCode="0">
                  <c:v>0.214065374531011</c:v>
                </c:pt>
                <c:pt idx="54" formatCode="0">
                  <c:v>0.228824313592181</c:v>
                </c:pt>
                <c:pt idx="55" formatCode="0">
                  <c:v>0.243357658623375</c:v>
                </c:pt>
                <c:pt idx="56" formatCode="0">
                  <c:v>0.257668857885079</c:v>
                </c:pt>
                <c:pt idx="57" formatCode="0">
                  <c:v>0.271761306930262</c:v>
                </c:pt>
                <c:pt idx="58" formatCode="0">
                  <c:v>0.285638349410031</c:v>
                </c:pt>
                <c:pt idx="59" formatCode="0">
                  <c:v>0.299303277866957</c:v>
                </c:pt>
                <c:pt idx="60" formatCode="0">
                  <c:v>0.312759334516286</c:v>
                </c:pt>
                <c:pt idx="61" formatCode="0">
                  <c:v>0.326009712015202</c:v>
                </c:pt>
                <c:pt idx="62" formatCode="0">
                  <c:v>0.339057554220334</c:v>
                </c:pt>
                <c:pt idx="63" formatCode="0">
                  <c:v>0.351905956933689</c:v>
                </c:pt>
                <c:pt idx="64" formatCode="0">
                  <c:v>0.364557968637172</c:v>
                </c:pt>
                <c:pt idx="65" formatCode="0">
                  <c:v>0.377016591215891</c:v>
                </c:pt>
                <c:pt idx="66" formatCode="0">
                  <c:v>0.389284780670397</c:v>
                </c:pt>
                <c:pt idx="67" formatCode="0">
                  <c:v>0.401365447818044</c:v>
                </c:pt>
                <c:pt idx="68" formatCode="0">
                  <c:v>0.413261458983623</c:v>
                </c:pt>
                <c:pt idx="69" formatCode="0">
                  <c:v>0.42497563667944</c:v>
                </c:pt>
                <c:pt idx="70" formatCode="0">
                  <c:v>0.436510760275008</c:v>
                </c:pt>
                <c:pt idx="71" formatCode="0">
                  <c:v>0.447869566656485</c:v>
                </c:pt>
                <c:pt idx="72" formatCode="0">
                  <c:v>0.459054750876051</c:v>
                </c:pt>
                <c:pt idx="73" formatCode="0">
                  <c:v>0.470068966791347</c:v>
                </c:pt>
                <c:pt idx="74" formatCode="0">
                  <c:v>0.480914827695145</c:v>
                </c:pt>
                <c:pt idx="75" formatCode="0">
                  <c:v>0.491594906935389</c:v>
                </c:pt>
                <c:pt idx="76" formatCode="0">
                  <c:v>0.502111738525766</c:v>
                </c:pt>
                <c:pt idx="77" formatCode="0">
                  <c:v>0.512467817746937</c:v>
                </c:pt>
                <c:pt idx="78" formatCode="0">
                  <c:v>0.522665601738582</c:v>
                </c:pt>
                <c:pt idx="79" formatCode="0">
                  <c:v>0.532707510082394</c:v>
                </c:pt>
                <c:pt idx="80" formatCode="0">
                  <c:v>0.54259592537616</c:v>
                </c:pt>
                <c:pt idx="81" formatCode="0">
                  <c:v>0.710526017593721</c:v>
                </c:pt>
                <c:pt idx="82" formatCode="0">
                  <c:v>0.875889256861992</c:v>
                </c:pt>
                <c:pt idx="83" formatCode="0">
                  <c:v>1.038724878162484</c:v>
                </c:pt>
                <c:pt idx="84" formatCode="0">
                  <c:v>1.199071516760323</c:v>
                </c:pt>
                <c:pt idx="85" formatCode="0">
                  <c:v>1.356967217371062</c:v>
                </c:pt>
                <c:pt idx="86" formatCode="0">
                  <c:v>1.512449443187374</c:v>
                </c:pt>
                <c:pt idx="87" formatCode="0">
                  <c:v>1.665555084767778</c:v>
                </c:pt>
                <c:pt idx="88" formatCode="0">
                  <c:v>1.816320468789493</c:v>
                </c:pt>
                <c:pt idx="89" formatCode="0">
                  <c:v>1.964781366667503</c:v>
                </c:pt>
                <c:pt idx="90" formatCode="0">
                  <c:v>2.11097300304187</c:v>
                </c:pt>
                <c:pt idx="91" formatCode="0">
                  <c:v>2.254930064135334</c:v>
                </c:pt>
                <c:pt idx="92" formatCode="0">
                  <c:v>2.396686705983153</c:v>
                </c:pt>
                <c:pt idx="93" formatCode="0">
                  <c:v>2.536276562537142</c:v>
                </c:pt>
                <c:pt idx="94" formatCode="0">
                  <c:v>2.673732753645855</c:v>
                </c:pt>
                <c:pt idx="95" formatCode="0">
                  <c:v>2.80908789291278</c:v>
                </c:pt>
                <c:pt idx="96" formatCode="0">
                  <c:v>2.942374095434416</c:v>
                </c:pt>
                <c:pt idx="97" formatCode="0">
                  <c:v>3.073622985420078</c:v>
                </c:pt>
                <c:pt idx="98" formatCode="0">
                  <c:v>3.202865703695226</c:v>
                </c:pt>
                <c:pt idx="99" formatCode="0">
                  <c:v>3.330132915090115</c:v>
                </c:pt>
                <c:pt idx="100" formatCode="0">
                  <c:v>3.455454815715485</c:v>
                </c:pt>
                <c:pt idx="101" formatCode="0">
                  <c:v>3.737053963921717</c:v>
                </c:pt>
                <c:pt idx="102" formatCode="0">
                  <c:v>4.01434879957416</c:v>
                </c:pt>
                <c:pt idx="103" formatCode="0">
                  <c:v>4.287405115153652</c:v>
                </c:pt>
                <c:pt idx="104" formatCode="0">
                  <c:v>4.556287697486697</c:v>
                </c:pt>
                <c:pt idx="105" formatCode="0">
                  <c:v>4.821060343117153</c:v>
                </c:pt>
                <c:pt idx="106" formatCode="0">
                  <c:v>5.081785873442943</c:v>
                </c:pt>
                <c:pt idx="107" formatCode="0">
                  <c:v>5.338526149621403</c:v>
                </c:pt>
                <c:pt idx="108" formatCode="0">
                  <c:v>5.59134208724679</c:v>
                </c:pt>
                <c:pt idx="109" formatCode="0">
                  <c:v>5.840293670803463</c:v>
                </c:pt>
                <c:pt idx="110" formatCode="0">
                  <c:v>6.085439967898107</c:v>
                </c:pt>
                <c:pt idx="111" formatCode="0">
                  <c:v>6.326839143274448</c:v>
                </c:pt>
                <c:pt idx="112" formatCode="0">
                  <c:v>6.564548472613738</c:v>
                </c:pt>
                <c:pt idx="113" formatCode="0">
                  <c:v>6.798624356124286</c:v>
                </c:pt>
                <c:pt idx="114" formatCode="0">
                  <c:v>7.029122331923284</c:v>
                </c:pt>
                <c:pt idx="115" formatCode="0">
                  <c:v>7.256097089214081</c:v>
                </c:pt>
                <c:pt idx="116" formatCode="0">
                  <c:v>7.47960248126204</c:v>
                </c:pt>
                <c:pt idx="117" formatCode="0">
                  <c:v>7.699691538172061</c:v>
                </c:pt>
                <c:pt idx="118" formatCode="0">
                  <c:v>7.916416479470784</c:v>
                </c:pt>
                <c:pt idx="119" formatCode="0">
                  <c:v>8.129828726496486</c:v>
                </c:pt>
                <c:pt idx="120" formatCode="0">
                  <c:v>8.33997891459958</c:v>
                </c:pt>
                <c:pt idx="121" formatCode="0">
                  <c:v>8.70510972895129</c:v>
                </c:pt>
                <c:pt idx="122" formatCode="0">
                  <c:v>9.06465942859438</c:v>
                </c:pt>
                <c:pt idx="123" formatCode="0">
                  <c:v>9.418713322246075</c:v>
                </c:pt>
                <c:pt idx="124" formatCode="0">
                  <c:v>9.76735541465878</c:v>
                </c:pt>
                <c:pt idx="125" formatCode="0">
                  <c:v>10.1106684265515</c:v>
                </c:pt>
                <c:pt idx="126" formatCode="0">
                  <c:v>10.44873381423661</c:v>
                </c:pt>
                <c:pt idx="127" formatCode="0">
                  <c:v>10.78163178894664</c:v>
                </c:pt>
                <c:pt idx="128" formatCode="0">
                  <c:v>11.10944133586559</c:v>
                </c:pt>
                <c:pt idx="129" formatCode="0">
                  <c:v>11.43224023286945</c:v>
                </c:pt>
                <c:pt idx="130" formatCode="0">
                  <c:v>11.7501050689801</c:v>
                </c:pt>
                <c:pt idx="131" formatCode="0">
                  <c:v>12.06311126253734</c:v>
                </c:pt>
                <c:pt idx="132" formatCode="0">
                  <c:v>12.37133307909301</c:v>
                </c:pt>
                <c:pt idx="133" formatCode="0">
                  <c:v>12.67484364903163</c:v>
                </c:pt>
                <c:pt idx="134" formatCode="0">
                  <c:v>12.97371498492172</c:v>
                </c:pt>
                <c:pt idx="135" formatCode="0">
                  <c:v>13.26801799860192</c:v>
                </c:pt>
                <c:pt idx="136" formatCode="0">
                  <c:v>13.55782251800587</c:v>
                </c:pt>
                <c:pt idx="137" formatCode="0">
                  <c:v>13.84319730373002</c:v>
                </c:pt>
                <c:pt idx="138" formatCode="0">
                  <c:v>14.12421006534809</c:v>
                </c:pt>
                <c:pt idx="139" formatCode="0">
                  <c:v>14.40092747747625</c:v>
                </c:pt>
                <c:pt idx="140" formatCode="0">
                  <c:v>14.67341519559268</c:v>
                </c:pt>
                <c:pt idx="141" formatCode="0">
                  <c:v>15.09993069541002</c:v>
                </c:pt>
                <c:pt idx="142" formatCode="0">
                  <c:v>15.51992680043536</c:v>
                </c:pt>
                <c:pt idx="143" formatCode="0">
                  <c:v>15.9335031612288</c:v>
                </c:pt>
                <c:pt idx="144" formatCode="0">
                  <c:v>16.34075790516705</c:v>
                </c:pt>
                <c:pt idx="145" formatCode="0">
                  <c:v>16.74178765972556</c:v>
                </c:pt>
                <c:pt idx="146" formatCode="0">
                  <c:v>17.13668757540501</c:v>
                </c:pt>
                <c:pt idx="147" formatCode="0">
                  <c:v>17.52555134830713</c:v>
                </c:pt>
                <c:pt idx="148" formatCode="0">
                  <c:v>17.90847124236558</c:v>
                </c:pt>
                <c:pt idx="149" formatCode="0">
                  <c:v>18.28553811123704</c:v>
                </c:pt>
                <c:pt idx="150" formatCode="0">
                  <c:v>18.65684141985755</c:v>
                </c:pt>
                <c:pt idx="151" formatCode="0">
                  <c:v>19.02246926566953</c:v>
                </c:pt>
                <c:pt idx="152" formatCode="0">
                  <c:v>19.38250839952423</c:v>
                </c:pt>
                <c:pt idx="153" formatCode="0">
                  <c:v>19.73704424626468</c:v>
                </c:pt>
                <c:pt idx="154" formatCode="0">
                  <c:v>20.0861609249941</c:v>
                </c:pt>
                <c:pt idx="155" formatCode="0">
                  <c:v>20.42994126903444</c:v>
                </c:pt>
                <c:pt idx="156" formatCode="0">
                  <c:v>20.76846684557983</c:v>
                </c:pt>
                <c:pt idx="157" formatCode="0">
                  <c:v>21.10181797504972</c:v>
                </c:pt>
                <c:pt idx="158" formatCode="0">
                  <c:v>21.43007375014606</c:v>
                </c:pt>
                <c:pt idx="159" formatCode="0">
                  <c:v>21.75331205461936</c:v>
                </c:pt>
                <c:pt idx="160" formatCode="0">
                  <c:v>22.07160958174774</c:v>
                </c:pt>
                <c:pt idx="161" formatCode="0">
                  <c:v>22.54323467632824</c:v>
                </c:pt>
                <c:pt idx="162" formatCode="0">
                  <c:v>23.00765086481575</c:v>
                </c:pt>
                <c:pt idx="163" formatCode="0">
                  <c:v>23.46496833712099</c:v>
                </c:pt>
                <c:pt idx="164" formatCode="0">
                  <c:v>23.91529559887464</c:v>
                </c:pt>
                <c:pt idx="165" formatCode="0">
                  <c:v>24.35873949717202</c:v>
                </c:pt>
                <c:pt idx="166" formatCode="0">
                  <c:v>24.7954052459242</c:v>
                </c:pt>
                <c:pt idx="167" formatCode="0">
                  <c:v>25.22539645082164</c:v>
                </c:pt>
                <c:pt idx="168" formatCode="0">
                  <c:v>25.6488151339162</c:v>
                </c:pt>
                <c:pt idx="169" formatCode="0">
                  <c:v>26.06576175782748</c:v>
                </c:pt>
                <c:pt idx="170" formatCode="0">
                  <c:v>26.47633524957913</c:v>
                </c:pt>
                <c:pt idx="171" formatCode="0">
                  <c:v>26.88063302407077</c:v>
                </c:pt>
                <c:pt idx="172" formatCode="0">
                  <c:v>27.27875100719125</c:v>
                </c:pt>
                <c:pt idx="173" formatCode="0">
                  <c:v>27.67078365857849</c:v>
                </c:pt>
                <c:pt idx="174" formatCode="0">
                  <c:v>28.0568239940315</c:v>
                </c:pt>
                <c:pt idx="175" formatCode="0">
                  <c:v>28.43696360757984</c:v>
                </c:pt>
                <c:pt idx="176" formatCode="0">
                  <c:v>28.81129269321568</c:v>
                </c:pt>
                <c:pt idx="177" formatCode="0">
                  <c:v>29.17990006629375</c:v>
                </c:pt>
                <c:pt idx="178" formatCode="0">
                  <c:v>29.54287318460414</c:v>
                </c:pt>
                <c:pt idx="179" formatCode="0">
                  <c:v>29.90029816912298</c:v>
                </c:pt>
                <c:pt idx="180" formatCode="0">
                  <c:v>30.25225982444606</c:v>
                </c:pt>
                <c:pt idx="181" formatCode="0">
                  <c:v>30.75703448270456</c:v>
                </c:pt>
                <c:pt idx="182" formatCode="0">
                  <c:v>31.25409353559914</c:v>
                </c:pt>
                <c:pt idx="183" formatCode="0">
                  <c:v>31.74355491806404</c:v>
                </c:pt>
                <c:pt idx="184" formatCode="0">
                  <c:v>32.22553476236891</c:v>
                </c:pt>
                <c:pt idx="185" formatCode="0">
                  <c:v>32.70014742567297</c:v>
                </c:pt>
                <c:pt idx="186" formatCode="0">
                  <c:v>33.16750551715797</c:v>
                </c:pt>
                <c:pt idx="187" formatCode="0">
                  <c:v>33.62771992474654</c:v>
                </c:pt>
                <c:pt idx="188" formatCode="0">
                  <c:v>34.08089984141196</c:v>
                </c:pt>
                <c:pt idx="189" formatCode="0">
                  <c:v>34.52715279108602</c:v>
                </c:pt>
                <c:pt idx="190" formatCode="0">
                  <c:v>34.96658465417057</c:v>
                </c:pt>
                <c:pt idx="191" formatCode="0">
                  <c:v>35.39929969265937</c:v>
                </c:pt>
                <c:pt idx="192" formatCode="0">
                  <c:v>35.8254005748759</c:v>
                </c:pt>
                <c:pt idx="193" formatCode="0">
                  <c:v>36.2449883998329</c:v>
                </c:pt>
                <c:pt idx="194" formatCode="0">
                  <c:v>36.6581627212197</c:v>
                </c:pt>
                <c:pt idx="195" formatCode="0">
                  <c:v>37.06502157102297</c:v>
                </c:pt>
                <c:pt idx="196" formatCode="0">
                  <c:v>37.46566148278618</c:v>
                </c:pt>
                <c:pt idx="197" formatCode="0">
                  <c:v>37.86017751451377</c:v>
                </c:pt>
                <c:pt idx="198" formatCode="0">
                  <c:v>38.24866327122506</c:v>
                </c:pt>
                <c:pt idx="199" formatCode="0">
                  <c:v>38.63121092716359</c:v>
                </c:pt>
                <c:pt idx="200" formatCode="0">
                  <c:v>39.00791124766672</c:v>
                </c:pt>
                <c:pt idx="201" formatCode="0">
                  <c:v>38.45620699927224</c:v>
                </c:pt>
                <c:pt idx="202" formatCode="0">
                  <c:v>38.97574414064623</c:v>
                </c:pt>
                <c:pt idx="203" formatCode="0">
                  <c:v>39.48734002845459</c:v>
                </c:pt>
                <c:pt idx="204" formatCode="0">
                  <c:v>39.99111604672005</c:v>
                </c:pt>
                <c:pt idx="205" formatCode="0">
                  <c:v>40.48719172408062</c:v>
                </c:pt>
                <c:pt idx="206" formatCode="0">
                  <c:v>40.97568476214952</c:v>
                </c:pt>
                <c:pt idx="207" formatCode="0">
                  <c:v>41.45671106344173</c:v>
                </c:pt>
                <c:pt idx="208" formatCode="0">
                  <c:v>41.93038475887364</c:v>
                </c:pt>
                <c:pt idx="209" formatCode="0">
                  <c:v>42.39681823484243</c:v>
                </c:pt>
                <c:pt idx="210" formatCode="0">
                  <c:v>42.85612215989137</c:v>
                </c:pt>
                <c:pt idx="211" formatCode="0">
                  <c:v>43.30840551096774</c:v>
                </c:pt>
                <c:pt idx="212" formatCode="0">
                  <c:v>43.7537755992793</c:v>
                </c:pt>
                <c:pt idx="213" formatCode="0">
                  <c:v>44.19233809575538</c:v>
                </c:pt>
                <c:pt idx="214" formatCode="0">
                  <c:v>44.62419705611913</c:v>
                </c:pt>
                <c:pt idx="215" formatCode="0">
                  <c:v>45.04945494557624</c:v>
                </c:pt>
                <c:pt idx="216" formatCode="0">
                  <c:v>45.46821266312642</c:v>
                </c:pt>
                <c:pt idx="217" formatCode="0">
                  <c:v>45.88056956550323</c:v>
                </c:pt>
                <c:pt idx="218" formatCode="0">
                  <c:v>46.28662349074803</c:v>
                </c:pt>
                <c:pt idx="219" formatCode="0">
                  <c:v>46.6864707814235</c:v>
                </c:pt>
                <c:pt idx="220" formatCode="0">
                  <c:v>47.08020630747251</c:v>
                </c:pt>
                <c:pt idx="221" formatCode="0">
                  <c:v>47.626116312522</c:v>
                </c:pt>
                <c:pt idx="222" formatCode="0">
                  <c:v>48.16368194826876</c:v>
                </c:pt>
                <c:pt idx="223" formatCode="0">
                  <c:v>48.69303076045917</c:v>
                </c:pt>
                <c:pt idx="224" formatCode="0">
                  <c:v>49.21428834527138</c:v>
                </c:pt>
                <c:pt idx="225" formatCode="0">
                  <c:v>49.72757837911493</c:v>
                </c:pt>
                <c:pt idx="226" formatCode="0">
                  <c:v>50.23302264797488</c:v>
                </c:pt>
                <c:pt idx="227" formatCode="0">
                  <c:v>50.73074107630745</c:v>
                </c:pt>
                <c:pt idx="228" formatCode="0">
                  <c:v>51.22085175549385</c:v>
                </c:pt>
                <c:pt idx="229" formatCode="0">
                  <c:v>51.70347097185944</c:v>
                </c:pt>
                <c:pt idx="230" formatCode="0">
                  <c:v>52.17871323426427</c:v>
                </c:pt>
                <c:pt idx="231" formatCode="0">
                  <c:v>52.64669130127224</c:v>
                </c:pt>
                <c:pt idx="232" formatCode="0">
                  <c:v>53.10751620790473</c:v>
                </c:pt>
                <c:pt idx="233" formatCode="0">
                  <c:v>53.56129729198538</c:v>
                </c:pt>
                <c:pt idx="234" formatCode="0">
                  <c:v>54.00814222008216</c:v>
                </c:pt>
                <c:pt idx="235" formatCode="0">
                  <c:v>54.448157013053</c:v>
                </c:pt>
                <c:pt idx="236" formatCode="0">
                  <c:v>54.88144607120077</c:v>
                </c:pt>
                <c:pt idx="237" formatCode="0">
                  <c:v>55.30811219904395</c:v>
                </c:pt>
                <c:pt idx="238" formatCode="0">
                  <c:v>55.72825662970853</c:v>
                </c:pt>
                <c:pt idx="239" formatCode="0">
                  <c:v>56.14197904894719</c:v>
                </c:pt>
                <c:pt idx="240" formatCode="0">
                  <c:v>56.5493776187912</c:v>
                </c:pt>
              </c:numCache>
            </c:numRef>
          </c:val>
        </c:ser>
        <c:ser>
          <c:idx val="7"/>
          <c:order val="7"/>
          <c:tx>
            <c:strRef>
              <c:f>'Uneven Mixed Conifer'!$CP$77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cat>
            <c:numRef>
              <c:f>'Uneven Mixed Conifer'!$CH$78:$CH$318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Mixed Conifer'!$CP$78:$CP$318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0.00900648411541453</c:v>
                </c:pt>
                <c:pt idx="42" formatCode="0">
                  <c:v>0.0178753018959328</c:v>
                </c:pt>
                <c:pt idx="43" formatCode="0">
                  <c:v>0.0266085576054963</c:v>
                </c:pt>
                <c:pt idx="44" formatCode="0">
                  <c:v>0.0352083233438524</c:v>
                </c:pt>
                <c:pt idx="45" formatCode="0">
                  <c:v>0.0436766395381917</c:v>
                </c:pt>
                <c:pt idx="46" formatCode="0">
                  <c:v>0.0520155154272712</c:v>
                </c:pt>
                <c:pt idx="47" formatCode="0">
                  <c:v>0.0602269295381369</c:v>
                </c:pt>
                <c:pt idx="48" formatCode="0">
                  <c:v>0.0683128301555604</c:v>
                </c:pt>
                <c:pt idx="49" formatCode="0">
                  <c:v>0.0762751357842989</c:v>
                </c:pt>
                <c:pt idx="50" formatCode="0">
                  <c:v>0.0841157356042907</c:v>
                </c:pt>
                <c:pt idx="51" formatCode="0">
                  <c:v>0.0918364899188915</c:v>
                </c:pt>
                <c:pt idx="52" formatCode="0">
                  <c:v>0.0994392305962611</c:v>
                </c:pt>
                <c:pt idx="53" formatCode="0">
                  <c:v>0.106925761504002</c:v>
                </c:pt>
                <c:pt idx="54" formatCode="0">
                  <c:v>0.114297858937153</c:v>
                </c:pt>
                <c:pt idx="55" formatCode="0">
                  <c:v>0.121557272039648</c:v>
                </c:pt>
                <c:pt idx="56" formatCode="0">
                  <c:v>0.12870572321932</c:v>
                </c:pt>
                <c:pt idx="57" formatCode="0">
                  <c:v>0.135744908556574</c:v>
                </c:pt>
                <c:pt idx="58" formatCode="0">
                  <c:v>0.142676498206809</c:v>
                </c:pt>
                <c:pt idx="59" formatCode="0">
                  <c:v>0.149502136796682</c:v>
                </c:pt>
                <c:pt idx="60" formatCode="0">
                  <c:v>0.156223443814329</c:v>
                </c:pt>
                <c:pt idx="61" formatCode="0">
                  <c:v>0.162842013993607</c:v>
                </c:pt>
                <c:pt idx="62" formatCode="0">
                  <c:v>0.169359417692475</c:v>
                </c:pt>
                <c:pt idx="63" formatCode="0">
                  <c:v>0.175777201265579</c:v>
                </c:pt>
                <c:pt idx="64" formatCode="0">
                  <c:v>0.182096887431155</c:v>
                </c:pt>
                <c:pt idx="65" formatCode="0">
                  <c:v>0.188319975632313</c:v>
                </c:pt>
                <c:pt idx="66" formatCode="0">
                  <c:v>0.194447942392806</c:v>
                </c:pt>
                <c:pt idx="67" formatCode="0">
                  <c:v>0.200482241667355</c:v>
                </c:pt>
                <c:pt idx="68" formatCode="0">
                  <c:v>0.206424305186625</c:v>
                </c:pt>
                <c:pt idx="69" formatCode="0">
                  <c:v>0.212275542796923</c:v>
                </c:pt>
                <c:pt idx="70" formatCode="0">
                  <c:v>0.218037342794709</c:v>
                </c:pt>
                <c:pt idx="71" formatCode="0">
                  <c:v>0.223711072255986</c:v>
                </c:pt>
                <c:pt idx="72" formatCode="0">
                  <c:v>0.229298077360665</c:v>
                </c:pt>
                <c:pt idx="73" formatCode="0">
                  <c:v>0.234799683711962</c:v>
                </c:pt>
                <c:pt idx="74" formatCode="0">
                  <c:v>0.240217196650921</c:v>
                </c:pt>
                <c:pt idx="75" formatCode="0">
                  <c:v>0.245551901566128</c:v>
                </c:pt>
                <c:pt idx="76" formatCode="0">
                  <c:v>0.250805064198684</c:v>
                </c:pt>
                <c:pt idx="77" formatCode="0">
                  <c:v>0.255977930942526</c:v>
                </c:pt>
                <c:pt idx="78" formatCode="0">
                  <c:v>0.261071729140151</c:v>
                </c:pt>
                <c:pt idx="79" formatCode="0">
                  <c:v>0.266087667373823</c:v>
                </c:pt>
                <c:pt idx="80" formatCode="0">
                  <c:v>0.271026935752328</c:v>
                </c:pt>
                <c:pt idx="81" formatCode="0">
                  <c:v>0.354908100696164</c:v>
                </c:pt>
                <c:pt idx="82" formatCode="0">
                  <c:v>0.437507121309686</c:v>
                </c:pt>
                <c:pt idx="83" formatCode="0">
                  <c:v>0.518843595485756</c:v>
                </c:pt>
                <c:pt idx="84" formatCode="0">
                  <c:v>0.598936821558603</c:v>
                </c:pt>
                <c:pt idx="85" formatCode="0">
                  <c:v>0.677805802882648</c:v>
                </c:pt>
                <c:pt idx="86" formatCode="0">
                  <c:v>0.755469252341345</c:v>
                </c:pt>
                <c:pt idx="87" formatCode="0">
                  <c:v>0.831945596787102</c:v>
                </c:pt>
                <c:pt idx="88" formatCode="0">
                  <c:v>0.907252981413333</c:v>
                </c:pt>
                <c:pt idx="89" formatCode="0">
                  <c:v>0.981409274059691</c:v>
                </c:pt>
                <c:pt idx="90" formatCode="0">
                  <c:v>1.054432069451484</c:v>
                </c:pt>
                <c:pt idx="91" formatCode="0">
                  <c:v>1.126338693374293</c:v>
                </c:pt>
                <c:pt idx="92" formatCode="0">
                  <c:v>1.197146206784792</c:v>
                </c:pt>
                <c:pt idx="93" formatCode="0">
                  <c:v>1.266871409858712</c:v>
                </c:pt>
                <c:pt idx="94" formatCode="0">
                  <c:v>1.335530845976951</c:v>
                </c:pt>
                <c:pt idx="95" formatCode="0">
                  <c:v>1.403140805650739</c:v>
                </c:pt>
                <c:pt idx="96" formatCode="0">
                  <c:v>1.469717330386821</c:v>
                </c:pt>
                <c:pt idx="97" formatCode="0">
                  <c:v>1.535276216493545</c:v>
                </c:pt>
                <c:pt idx="98" formatCode="0">
                  <c:v>1.599833018828784</c:v>
                </c:pt>
                <c:pt idx="99" formatCode="0">
                  <c:v>1.663403054490566</c:v>
                </c:pt>
                <c:pt idx="100" formatCode="0">
                  <c:v>1.726001406451291</c:v>
                </c:pt>
                <c:pt idx="101" formatCode="0">
                  <c:v>1.866660321639219</c:v>
                </c:pt>
                <c:pt idx="102" formatCode="0">
                  <c:v>2.005169230556524</c:v>
                </c:pt>
                <c:pt idx="103" formatCode="0">
                  <c:v>2.141560996580246</c:v>
                </c:pt>
                <c:pt idx="104" formatCode="0">
                  <c:v>2.275867980762586</c:v>
                </c:pt>
                <c:pt idx="105" formatCode="0">
                  <c:v>2.408122049509067</c:v>
                </c:pt>
                <c:pt idx="106" formatCode="0">
                  <c:v>2.538354582139331</c:v>
                </c:pt>
                <c:pt idx="107" formatCode="0">
                  <c:v>2.666596478332369</c:v>
                </c:pt>
                <c:pt idx="108" formatCode="0">
                  <c:v>2.792878165457937</c:v>
                </c:pt>
                <c:pt idx="109" formatCode="0">
                  <c:v>2.917229605795935</c:v>
                </c:pt>
                <c:pt idx="110" formatCode="0">
                  <c:v>3.039680303645408</c:v>
                </c:pt>
                <c:pt idx="111" formatCode="0">
                  <c:v>3.160259312324899</c:v>
                </c:pt>
                <c:pt idx="112" formatCode="0">
                  <c:v>3.278995241065803</c:v>
                </c:pt>
                <c:pt idx="113" formatCode="0">
                  <c:v>3.395916261800343</c:v>
                </c:pt>
                <c:pt idx="114" formatCode="0">
                  <c:v>3.511050115845796</c:v>
                </c:pt>
                <c:pt idx="115" formatCode="0">
                  <c:v>3.624424120486554</c:v>
                </c:pt>
                <c:pt idx="116" formatCode="0">
                  <c:v>3.736065175455565</c:v>
                </c:pt>
                <c:pt idx="117" formatCode="0">
                  <c:v>3.845999769316714</c:v>
                </c:pt>
                <c:pt idx="118" formatCode="0">
                  <c:v>3.954253985749642</c:v>
                </c:pt>
                <c:pt idx="119" formatCode="0">
                  <c:v>4.060853509738505</c:v>
                </c:pt>
                <c:pt idx="120" formatCode="0">
                  <c:v>4.165823633666124</c:v>
                </c:pt>
                <c:pt idx="121" formatCode="0">
                  <c:v>4.348206657817826</c:v>
                </c:pt>
                <c:pt idx="122" formatCode="0">
                  <c:v>4.527801912384804</c:v>
                </c:pt>
                <c:pt idx="123" formatCode="0">
                  <c:v>4.704652009113923</c:v>
                </c:pt>
                <c:pt idx="124" formatCode="0">
                  <c:v>4.878798908420966</c:v>
                </c:pt>
                <c:pt idx="125" formatCode="0">
                  <c:v>5.050283929346401</c:v>
                </c:pt>
                <c:pt idx="126" formatCode="0">
                  <c:v>5.219147759358942</c:v>
                </c:pt>
                <c:pt idx="127" formatCode="0">
                  <c:v>5.385430464009309</c:v>
                </c:pt>
                <c:pt idx="128" formatCode="0">
                  <c:v>5.549171496436358</c:v>
                </c:pt>
                <c:pt idx="129" formatCode="0">
                  <c:v>5.710409706727993</c:v>
                </c:pt>
                <c:pt idx="130" formatCode="0">
                  <c:v>5.869183351138909</c:v>
                </c:pt>
                <c:pt idx="131" formatCode="0">
                  <c:v>6.025530101167501</c:v>
                </c:pt>
                <c:pt idx="132" formatCode="0">
                  <c:v>6.17948705249401</c:v>
                </c:pt>
                <c:pt idx="133" formatCode="0">
                  <c:v>6.33109073378203</c:v>
                </c:pt>
                <c:pt idx="134" formatCode="0">
                  <c:v>6.480377115345513</c:v>
                </c:pt>
                <c:pt idx="135" formatCode="0">
                  <c:v>6.627381617683275</c:v>
                </c:pt>
                <c:pt idx="136" formatCode="0">
                  <c:v>6.772139119883051</c:v>
                </c:pt>
                <c:pt idx="137" formatCode="0">
                  <c:v>6.91468396789711</c:v>
                </c:pt>
                <c:pt idx="138" formatCode="0">
                  <c:v>7.05504998269135</c:v>
                </c:pt>
                <c:pt idx="139" formatCode="0">
                  <c:v>7.193270468269852</c:v>
                </c:pt>
                <c:pt idx="140" formatCode="0">
                  <c:v>7.329378219576762</c:v>
                </c:pt>
                <c:pt idx="141" formatCode="0">
                  <c:v>7.542422924780227</c:v>
                </c:pt>
                <c:pt idx="142" formatCode="0">
                  <c:v>7.752211189028646</c:v>
                </c:pt>
                <c:pt idx="143" formatCode="0">
                  <c:v>7.958792787826572</c:v>
                </c:pt>
                <c:pt idx="144" formatCode="0">
                  <c:v>8.16221673584767</c:v>
                </c:pt>
                <c:pt idx="145" formatCode="0">
                  <c:v>8.36253129856421</c:v>
                </c:pt>
                <c:pt idx="146" formatCode="0">
                  <c:v>8.559784003698805</c:v>
                </c:pt>
                <c:pt idx="147" formatCode="0">
                  <c:v>8.754021652501061</c:v>
                </c:pt>
                <c:pt idx="148" formatCode="0">
                  <c:v>8.945290330851936</c:v>
                </c:pt>
                <c:pt idx="149" formatCode="0">
                  <c:v>9.133635420198318</c:v>
                </c:pt>
                <c:pt idx="150" formatCode="0">
                  <c:v>9.319101608320451</c:v>
                </c:pt>
                <c:pt idx="151" formatCode="0">
                  <c:v>9.50173289993483</c:v>
                </c:pt>
                <c:pt idx="152" formatCode="0">
                  <c:v>9.681572627134976</c:v>
                </c:pt>
                <c:pt idx="153" formatCode="0">
                  <c:v>9.858663459672667</c:v>
                </c:pt>
                <c:pt idx="154" formatCode="0">
                  <c:v>10.03304741508197</c:v>
                </c:pt>
                <c:pt idx="155" formatCode="0">
                  <c:v>10.20476586864857</c:v>
                </c:pt>
                <c:pt idx="156" formatCode="0">
                  <c:v>10.37385956322669</c:v>
                </c:pt>
                <c:pt idx="157" formatCode="0">
                  <c:v>10.54036861890595</c:v>
                </c:pt>
                <c:pt idx="158" formatCode="0">
                  <c:v>10.7043325425305</c:v>
                </c:pt>
                <c:pt idx="159" formatCode="0">
                  <c:v>10.86579023707261</c:v>
                </c:pt>
                <c:pt idx="160" formatCode="0">
                  <c:v>11.024780010863</c:v>
                </c:pt>
                <c:pt idx="161" formatCode="0">
                  <c:v>11.26035698118293</c:v>
                </c:pt>
                <c:pt idx="162" formatCode="0">
                  <c:v>11.49233309930857</c:v>
                </c:pt>
                <c:pt idx="163" formatCode="0">
                  <c:v>11.72076340515533</c:v>
                </c:pt>
                <c:pt idx="164" formatCode="0">
                  <c:v>11.94570209733997</c:v>
                </c:pt>
                <c:pt idx="165" formatCode="0">
                  <c:v>12.16720254603997</c:v>
                </c:pt>
                <c:pt idx="166" formatCode="0">
                  <c:v>12.38531730565644</c:v>
                </c:pt>
                <c:pt idx="167" formatCode="0">
                  <c:v>12.60009812728353</c:v>
                </c:pt>
                <c:pt idx="168" formatCode="0">
                  <c:v>12.81159597098711</c:v>
                </c:pt>
                <c:pt idx="169" formatCode="0">
                  <c:v>13.01986101789584</c:v>
                </c:pt>
                <c:pt idx="170" formatCode="0">
                  <c:v>13.22494268210745</c:v>
                </c:pt>
                <c:pt idx="171" formatCode="0">
                  <c:v>13.42688962241297</c:v>
                </c:pt>
                <c:pt idx="172" formatCode="0">
                  <c:v>13.62574975384178</c:v>
                </c:pt>
                <c:pt idx="173" formatCode="0">
                  <c:v>13.82157025903021</c:v>
                </c:pt>
                <c:pt idx="174" formatCode="0">
                  <c:v>14.01439759941633</c:v>
                </c:pt>
                <c:pt idx="175" formatCode="0">
                  <c:v>14.20427752626366</c:v>
                </c:pt>
                <c:pt idx="176" formatCode="0">
                  <c:v>14.39125509151632</c:v>
                </c:pt>
                <c:pt idx="177" formatCode="0">
                  <c:v>14.57537465848838</c:v>
                </c:pt>
                <c:pt idx="178" formatCode="0">
                  <c:v>14.75667991238968</c:v>
                </c:pt>
                <c:pt idx="179" formatCode="0">
                  <c:v>14.9352138706908</c:v>
                </c:pt>
                <c:pt idx="180" formatCode="0">
                  <c:v>15.1110188933297</c:v>
                </c:pt>
                <c:pt idx="181" formatCode="0">
                  <c:v>15.36315408726501</c:v>
                </c:pt>
                <c:pt idx="182" formatCode="0">
                  <c:v>15.6114353324671</c:v>
                </c:pt>
                <c:pt idx="183" formatCode="0">
                  <c:v>15.85592153749452</c:v>
                </c:pt>
                <c:pt idx="184" formatCode="0">
                  <c:v>16.09667071047398</c:v>
                </c:pt>
                <c:pt idx="185" formatCode="0">
                  <c:v>16.33373997286362</c:v>
                </c:pt>
                <c:pt idx="186" formatCode="0">
                  <c:v>16.56718557300597</c:v>
                </c:pt>
                <c:pt idx="187" formatCode="0">
                  <c:v>16.79706289947379</c:v>
                </c:pt>
                <c:pt idx="188" formatCode="0">
                  <c:v>17.02342649421177</c:v>
                </c:pt>
                <c:pt idx="189" formatCode="0">
                  <c:v>17.24633006547753</c:v>
                </c:pt>
                <c:pt idx="190" formatCode="0">
                  <c:v>17.46582650058469</c:v>
                </c:pt>
                <c:pt idx="191" formatCode="0">
                  <c:v>17.68196787845123</c:v>
                </c:pt>
                <c:pt idx="192" formatCode="0">
                  <c:v>17.89480548195599</c:v>
                </c:pt>
                <c:pt idx="193" formatCode="0">
                  <c:v>18.10438981010633</c:v>
                </c:pt>
                <c:pt idx="194" formatCode="0">
                  <c:v>18.31077059001982</c:v>
                </c:pt>
                <c:pt idx="195" formatCode="0">
                  <c:v>18.51399678872276</c:v>
                </c:pt>
                <c:pt idx="196" formatCode="0">
                  <c:v>18.71411662476832</c:v>
                </c:pt>
                <c:pt idx="197" formatCode="0">
                  <c:v>18.9111775796772</c:v>
                </c:pt>
                <c:pt idx="198" formatCode="0">
                  <c:v>19.10522640920333</c:v>
                </c:pt>
                <c:pt idx="199" formatCode="0">
                  <c:v>19.29630915442736</c:v>
                </c:pt>
                <c:pt idx="200" formatCode="0">
                  <c:v>19.48447115268068</c:v>
                </c:pt>
                <c:pt idx="201" formatCode="0">
                  <c:v>19.20889460503109</c:v>
                </c:pt>
                <c:pt idx="202" formatCode="0">
                  <c:v>19.46840366665646</c:v>
                </c:pt>
                <c:pt idx="203" formatCode="0">
                  <c:v>19.72394606815913</c:v>
                </c:pt>
                <c:pt idx="204" formatCode="0">
                  <c:v>19.9755824409191</c:v>
                </c:pt>
                <c:pt idx="205" formatCode="0">
                  <c:v>20.22337248955076</c:v>
                </c:pt>
                <c:pt idx="206" formatCode="0">
                  <c:v>20.46737500606869</c:v>
                </c:pt>
                <c:pt idx="207" formatCode="0">
                  <c:v>20.70764788383702</c:v>
                </c:pt>
                <c:pt idx="208" formatCode="0">
                  <c:v>20.94424813130551</c:v>
                </c:pt>
                <c:pt idx="209" formatCode="0">
                  <c:v>21.17723188553567</c:v>
                </c:pt>
                <c:pt idx="210" formatCode="0">
                  <c:v>21.40665442552016</c:v>
                </c:pt>
                <c:pt idx="211" formatCode="0">
                  <c:v>21.63257018529857</c:v>
                </c:pt>
                <c:pt idx="212" formatCode="0">
                  <c:v>21.85503276687277</c:v>
                </c:pt>
                <c:pt idx="213" formatCode="0">
                  <c:v>22.07409495292476</c:v>
                </c:pt>
                <c:pt idx="214" formatCode="0">
                  <c:v>22.28980871934022</c:v>
                </c:pt>
                <c:pt idx="215" formatCode="0">
                  <c:v>22.50222524754057</c:v>
                </c:pt>
                <c:pt idx="216" formatCode="0">
                  <c:v>22.71139493662658</c:v>
                </c:pt>
                <c:pt idx="217" formatCode="0">
                  <c:v>22.91736741533628</c:v>
                </c:pt>
                <c:pt idx="218" formatCode="0">
                  <c:v>23.12019155382018</c:v>
                </c:pt>
                <c:pt idx="219" formatCode="0">
                  <c:v>23.31991547523651</c:v>
                </c:pt>
                <c:pt idx="220" formatCode="0">
                  <c:v>23.51658656716908</c:v>
                </c:pt>
                <c:pt idx="221" formatCode="0">
                  <c:v>23.78926888737363</c:v>
                </c:pt>
                <c:pt idx="222" formatCode="0">
                  <c:v>24.05778319094343</c:v>
                </c:pt>
                <c:pt idx="223" formatCode="0">
                  <c:v>24.32219318704253</c:v>
                </c:pt>
                <c:pt idx="224" formatCode="0">
                  <c:v>24.58256161102466</c:v>
                </c:pt>
                <c:pt idx="225" formatCode="0">
                  <c:v>24.83895023931814</c:v>
                </c:pt>
                <c:pt idx="226" formatCode="0">
                  <c:v>25.09141990408335</c:v>
                </c:pt>
                <c:pt idx="227" formatCode="0">
                  <c:v>25.34003050764607</c:v>
                </c:pt>
                <c:pt idx="228" formatCode="0">
                  <c:v>25.58484103671021</c:v>
                </c:pt>
                <c:pt idx="229" formatCode="0">
                  <c:v>25.82590957635335</c:v>
                </c:pt>
                <c:pt idx="230" formatCode="0">
                  <c:v>26.06329332380832</c:v>
                </c:pt>
                <c:pt idx="231" formatCode="0">
                  <c:v>26.29704860203407</c:v>
                </c:pt>
                <c:pt idx="232" formatCode="0">
                  <c:v>26.52723087307928</c:v>
                </c:pt>
                <c:pt idx="233" formatCode="0">
                  <c:v>26.75389475124144</c:v>
                </c:pt>
                <c:pt idx="234" formatCode="0">
                  <c:v>26.97709401602505</c:v>
                </c:pt>
                <c:pt idx="235" formatCode="0">
                  <c:v>27.19688162490158</c:v>
                </c:pt>
                <c:pt idx="236" formatCode="0">
                  <c:v>27.4133097258745</c:v>
                </c:pt>
                <c:pt idx="237" formatCode="0">
                  <c:v>27.62642966985211</c:v>
                </c:pt>
                <c:pt idx="238" formatCode="0">
                  <c:v>27.83629202283142</c:v>
                </c:pt>
                <c:pt idx="239" formatCode="0">
                  <c:v>28.04294657789569</c:v>
                </c:pt>
                <c:pt idx="240" formatCode="0">
                  <c:v>28.24644236702856</c:v>
                </c:pt>
              </c:numCache>
            </c:numRef>
          </c:val>
        </c:ser>
        <c:ser>
          <c:idx val="8"/>
          <c:order val="8"/>
          <c:tx>
            <c:strRef>
              <c:f>'Uneven Mixed Conifer'!$CQ$77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'Uneven Mixed Conifer'!$CH$78:$CH$318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Mixed Conifer'!$CQ$78:$CQ$318</c:f>
              <c:numCache>
                <c:formatCode>General</c:formatCode>
                <c:ptCount val="241"/>
                <c:pt idx="40" formatCode="0">
                  <c:v>1.343438133191928</c:v>
                </c:pt>
                <c:pt idx="41" formatCode="0">
                  <c:v>1.343438133191928</c:v>
                </c:pt>
                <c:pt idx="42" formatCode="0">
                  <c:v>1.343438133191928</c:v>
                </c:pt>
                <c:pt idx="43" formatCode="0">
                  <c:v>1.343438133191928</c:v>
                </c:pt>
                <c:pt idx="44" formatCode="0">
                  <c:v>1.343438133191928</c:v>
                </c:pt>
                <c:pt idx="45" formatCode="0">
                  <c:v>1.343438133191928</c:v>
                </c:pt>
                <c:pt idx="46" formatCode="0">
                  <c:v>1.343438133191928</c:v>
                </c:pt>
                <c:pt idx="47" formatCode="0">
                  <c:v>1.343438133191928</c:v>
                </c:pt>
                <c:pt idx="48" formatCode="0">
                  <c:v>1.343438133191928</c:v>
                </c:pt>
                <c:pt idx="49" formatCode="0">
                  <c:v>1.343438133191928</c:v>
                </c:pt>
                <c:pt idx="50" formatCode="0">
                  <c:v>1.343438133191928</c:v>
                </c:pt>
                <c:pt idx="51" formatCode="0">
                  <c:v>1.343438133191928</c:v>
                </c:pt>
                <c:pt idx="52" formatCode="0">
                  <c:v>1.343438133191928</c:v>
                </c:pt>
                <c:pt idx="53" formatCode="0">
                  <c:v>1.343438133191928</c:v>
                </c:pt>
                <c:pt idx="54" formatCode="0">
                  <c:v>1.343438133191928</c:v>
                </c:pt>
                <c:pt idx="55" formatCode="0">
                  <c:v>1.343438133191928</c:v>
                </c:pt>
                <c:pt idx="56" formatCode="0">
                  <c:v>1.343438133191928</c:v>
                </c:pt>
                <c:pt idx="57" formatCode="0">
                  <c:v>1.343438133191928</c:v>
                </c:pt>
                <c:pt idx="58" formatCode="0">
                  <c:v>1.343438133191928</c:v>
                </c:pt>
                <c:pt idx="59" formatCode="0">
                  <c:v>1.343438133191928</c:v>
                </c:pt>
                <c:pt idx="60" formatCode="0">
                  <c:v>1.343438133191928</c:v>
                </c:pt>
                <c:pt idx="61" formatCode="0">
                  <c:v>1.343438133191928</c:v>
                </c:pt>
                <c:pt idx="62" formatCode="0">
                  <c:v>1.343438133191928</c:v>
                </c:pt>
                <c:pt idx="63" formatCode="0">
                  <c:v>1.343438133191928</c:v>
                </c:pt>
                <c:pt idx="64" formatCode="0">
                  <c:v>1.343438133191928</c:v>
                </c:pt>
                <c:pt idx="65" formatCode="0">
                  <c:v>1.343438133191928</c:v>
                </c:pt>
                <c:pt idx="66" formatCode="0">
                  <c:v>1.343438133191928</c:v>
                </c:pt>
                <c:pt idx="67" formatCode="0">
                  <c:v>1.343438133191928</c:v>
                </c:pt>
                <c:pt idx="68" formatCode="0">
                  <c:v>1.343438133191928</c:v>
                </c:pt>
                <c:pt idx="69" formatCode="0">
                  <c:v>1.343438133191928</c:v>
                </c:pt>
                <c:pt idx="70" formatCode="0">
                  <c:v>1.343438133191928</c:v>
                </c:pt>
                <c:pt idx="71" formatCode="0">
                  <c:v>1.343438133191928</c:v>
                </c:pt>
                <c:pt idx="72" formatCode="0">
                  <c:v>1.343438133191928</c:v>
                </c:pt>
                <c:pt idx="73" formatCode="0">
                  <c:v>1.343438133191928</c:v>
                </c:pt>
                <c:pt idx="74" formatCode="0">
                  <c:v>1.343438133191928</c:v>
                </c:pt>
                <c:pt idx="75" formatCode="0">
                  <c:v>1.343438133191928</c:v>
                </c:pt>
                <c:pt idx="76" formatCode="0">
                  <c:v>1.343438133191928</c:v>
                </c:pt>
                <c:pt idx="77" formatCode="0">
                  <c:v>1.343438133191928</c:v>
                </c:pt>
                <c:pt idx="78" formatCode="0">
                  <c:v>1.343438133191928</c:v>
                </c:pt>
                <c:pt idx="79" formatCode="0">
                  <c:v>1.343438133191928</c:v>
                </c:pt>
                <c:pt idx="80" formatCode="0">
                  <c:v>10.18331779102163</c:v>
                </c:pt>
                <c:pt idx="81" formatCode="0">
                  <c:v>10.0481980464218</c:v>
                </c:pt>
                <c:pt idx="82" formatCode="0">
                  <c:v>9.915143640501627</c:v>
                </c:pt>
                <c:pt idx="83" formatCode="0">
                  <c:v>9.784123004049102</c:v>
                </c:pt>
                <c:pt idx="84" formatCode="0">
                  <c:v>9.655105050395443</c:v>
                </c:pt>
                <c:pt idx="85" formatCode="0">
                  <c:v>9.528059168039272</c:v>
                </c:pt>
                <c:pt idx="86" formatCode="0">
                  <c:v>9.40295521338358</c:v>
                </c:pt>
                <c:pt idx="87" formatCode="0">
                  <c:v>9.279763503583678</c:v>
                </c:pt>
                <c:pt idx="88" formatCode="0">
                  <c:v>9.1584548095045</c:v>
                </c:pt>
                <c:pt idx="89" formatCode="0">
                  <c:v>9.039000348785521</c:v>
                </c:pt>
                <c:pt idx="90" formatCode="0">
                  <c:v>8.921371779011718</c:v>
                </c:pt>
                <c:pt idx="91" formatCode="0">
                  <c:v>8.805541190988876</c:v>
                </c:pt>
                <c:pt idx="92" formatCode="0">
                  <c:v>8.691481102121713</c:v>
                </c:pt>
                <c:pt idx="93" formatCode="0">
                  <c:v>8.579164449893205</c:v>
                </c:pt>
                <c:pt idx="94" formatCode="0">
                  <c:v>8.46856458544359</c:v>
                </c:pt>
                <c:pt idx="95" formatCode="0">
                  <c:v>8.359655267247504</c:v>
                </c:pt>
                <c:pt idx="96" formatCode="0">
                  <c:v>8.25241065488779</c:v>
                </c:pt>
                <c:pt idx="97" formatCode="0">
                  <c:v>8.146805302924441</c:v>
                </c:pt>
                <c:pt idx="98" formatCode="0">
                  <c:v>8.0428141548573</c:v>
                </c:pt>
                <c:pt idx="99" formatCode="0">
                  <c:v>7.940412537180999</c:v>
                </c:pt>
                <c:pt idx="100" formatCode="0">
                  <c:v>16.6794558113605</c:v>
                </c:pt>
                <c:pt idx="101" formatCode="0">
                  <c:v>16.44504099214775</c:v>
                </c:pt>
                <c:pt idx="102" formatCode="0">
                  <c:v>16.21420926136252</c:v>
                </c:pt>
                <c:pt idx="103" formatCode="0">
                  <c:v>15.9869058506129</c:v>
                </c:pt>
                <c:pt idx="104" formatCode="0">
                  <c:v>15.76307682865544</c:v>
                </c:pt>
                <c:pt idx="105" formatCode="0">
                  <c:v>15.54266908859904</c:v>
                </c:pt>
                <c:pt idx="106" formatCode="0">
                  <c:v>15.32563033530458</c:v>
                </c:pt>
                <c:pt idx="107" formatCode="0">
                  <c:v>15.11190907297702</c:v>
                </c:pt>
                <c:pt idx="108" formatCode="0">
                  <c:v>14.9014545929473</c:v>
                </c:pt>
                <c:pt idx="109" formatCode="0">
                  <c:v>14.69421696164089</c:v>
                </c:pt>
                <c:pt idx="110" formatCode="0">
                  <c:v>14.49014700873028</c:v>
                </c:pt>
                <c:pt idx="111" formatCode="0">
                  <c:v>14.28919631546857</c:v>
                </c:pt>
                <c:pt idx="112" formatCode="0">
                  <c:v>14.09131720320137</c:v>
                </c:pt>
                <c:pt idx="113" formatCode="0">
                  <c:v>13.89646272205428</c:v>
                </c:pt>
                <c:pt idx="114" formatCode="0">
                  <c:v>13.70458663979336</c:v>
                </c:pt>
                <c:pt idx="115" formatCode="0">
                  <c:v>13.51564343085577</c:v>
                </c:pt>
                <c:pt idx="116" formatCode="0">
                  <c:v>13.32958826554815</c:v>
                </c:pt>
                <c:pt idx="117" formatCode="0">
                  <c:v>13.14637699941009</c:v>
                </c:pt>
                <c:pt idx="118" formatCode="0">
                  <c:v>12.96596616274014</c:v>
                </c:pt>
                <c:pt idx="119" formatCode="0">
                  <c:v>12.788312950282</c:v>
                </c:pt>
                <c:pt idx="120" formatCode="0">
                  <c:v>21.45325486889797</c:v>
                </c:pt>
                <c:pt idx="121" formatCode="0">
                  <c:v>21.1458713516494</c:v>
                </c:pt>
                <c:pt idx="122" formatCode="0">
                  <c:v>20.84318626740585</c:v>
                </c:pt>
                <c:pt idx="123" formatCode="0">
                  <c:v>20.54512779945802</c:v>
                </c:pt>
                <c:pt idx="124" formatCode="0">
                  <c:v>20.25162522883276</c:v>
                </c:pt>
                <c:pt idx="125" formatCode="0">
                  <c:v>19.9626089175139</c:v>
                </c:pt>
                <c:pt idx="126" formatCode="0">
                  <c:v>19.67801029191952</c:v>
                </c:pt>
                <c:pt idx="127" formatCode="0">
                  <c:v>19.39776182663186</c:v>
                </c:pt>
                <c:pt idx="128" formatCode="0">
                  <c:v>19.12179702837589</c:v>
                </c:pt>
                <c:pt idx="129" formatCode="0">
                  <c:v>18.85005042024264</c:v>
                </c:pt>
                <c:pt idx="130" formatCode="0">
                  <c:v>18.58245752615395</c:v>
                </c:pt>
                <c:pt idx="131" formatCode="0">
                  <c:v>18.3189548555644</c:v>
                </c:pt>
                <c:pt idx="132" formatCode="0">
                  <c:v>18.05947988839724</c:v>
                </c:pt>
                <c:pt idx="133" formatCode="0">
                  <c:v>17.80397106021056</c:v>
                </c:pt>
                <c:pt idx="134" formatCode="0">
                  <c:v>17.55236774759016</c:v>
                </c:pt>
                <c:pt idx="135" formatCode="0">
                  <c:v>17.30461025376566</c:v>
                </c:pt>
                <c:pt idx="136" formatCode="0">
                  <c:v>17.06063979444663</c:v>
                </c:pt>
                <c:pt idx="137" formatCode="0">
                  <c:v>16.82039848387498</c:v>
                </c:pt>
                <c:pt idx="138" formatCode="0">
                  <c:v>16.58382932109078</c:v>
                </c:pt>
                <c:pt idx="139" formatCode="0">
                  <c:v>16.35087617640783</c:v>
                </c:pt>
                <c:pt idx="140" formatCode="0">
                  <c:v>24.96136343592575</c:v>
                </c:pt>
                <c:pt idx="141" formatCode="0">
                  <c:v>24.60035761249733</c:v>
                </c:pt>
                <c:pt idx="142" formatCode="0">
                  <c:v>24.2448698522721</c:v>
                </c:pt>
                <c:pt idx="143" formatCode="0">
                  <c:v>23.89481581029071</c:v>
                </c:pt>
                <c:pt idx="144" formatCode="0">
                  <c:v>23.5501124308273</c:v>
                </c:pt>
                <c:pt idx="145" formatCode="0">
                  <c:v>23.21067792768333</c:v>
                </c:pt>
                <c:pt idx="146" formatCode="0">
                  <c:v>22.8764317647825</c:v>
                </c:pt>
                <c:pt idx="147" formatCode="0">
                  <c:v>22.54729463706231</c:v>
                </c:pt>
                <c:pt idx="148" formatCode="0">
                  <c:v>22.22318845165778</c:v>
                </c:pt>
                <c:pt idx="149" formatCode="0">
                  <c:v>21.90403630937264</c:v>
                </c:pt>
                <c:pt idx="150" formatCode="0">
                  <c:v>21.58976248643384</c:v>
                </c:pt>
                <c:pt idx="151" formatCode="0">
                  <c:v>21.2802924165249</c:v>
                </c:pt>
                <c:pt idx="152" formatCode="0">
                  <c:v>20.97555267309391</c:v>
                </c:pt>
                <c:pt idx="153" formatCode="0">
                  <c:v>20.67547095193196</c:v>
                </c:pt>
                <c:pt idx="154" formatCode="0">
                  <c:v>20.37997605401784</c:v>
                </c:pt>
                <c:pt idx="155" formatCode="0">
                  <c:v>20.08899786862495</c:v>
                </c:pt>
                <c:pt idx="156" formatCode="0">
                  <c:v>19.80246735668648</c:v>
                </c:pt>
                <c:pt idx="157" formatCode="0">
                  <c:v>19.52031653441481</c:v>
                </c:pt>
                <c:pt idx="158" formatCode="0">
                  <c:v>19.24247845717131</c:v>
                </c:pt>
                <c:pt idx="159" formatCode="0">
                  <c:v>18.96888720358271</c:v>
                </c:pt>
                <c:pt idx="160" formatCode="0">
                  <c:v>27.53935751772989</c:v>
                </c:pt>
                <c:pt idx="161" formatCode="0">
                  <c:v>27.1389464178275</c:v>
                </c:pt>
                <c:pt idx="162" formatCode="0">
                  <c:v>26.74465570051493</c:v>
                </c:pt>
                <c:pt idx="163" formatCode="0">
                  <c:v>26.35639181423213</c:v>
                </c:pt>
                <c:pt idx="164" formatCode="0">
                  <c:v>25.9740626373778</c:v>
                </c:pt>
                <c:pt idx="165" formatCode="0">
                  <c:v>25.59757745645206</c:v>
                </c:pt>
                <c:pt idx="166" formatCode="0">
                  <c:v>25.22684694453331</c:v>
                </c:pt>
                <c:pt idx="167" formatCode="0">
                  <c:v>24.86178314008397</c:v>
                </c:pt>
                <c:pt idx="168" formatCode="0">
                  <c:v>24.50229942608035</c:v>
                </c:pt>
                <c:pt idx="169" formatCode="0">
                  <c:v>24.14831050946131</c:v>
                </c:pt>
                <c:pt idx="170" formatCode="0">
                  <c:v>23.79973240089127</c:v>
                </c:pt>
                <c:pt idx="171" formatCode="0">
                  <c:v>23.45648239483237</c:v>
                </c:pt>
                <c:pt idx="172" formatCode="0">
                  <c:v>23.11847904992134</c:v>
                </c:pt>
                <c:pt idx="173" formatCode="0">
                  <c:v>22.78564216964626</c:v>
                </c:pt>
                <c:pt idx="174" formatCode="0">
                  <c:v>22.45789278331872</c:v>
                </c:pt>
                <c:pt idx="175" formatCode="0">
                  <c:v>22.13515312733678</c:v>
                </c:pt>
                <c:pt idx="176" formatCode="0">
                  <c:v>21.81734662673439</c:v>
                </c:pt>
                <c:pt idx="177" formatCode="0">
                  <c:v>21.50439787701275</c:v>
                </c:pt>
                <c:pt idx="178" formatCode="0">
                  <c:v>21.19623262624946</c:v>
                </c:pt>
                <c:pt idx="179" formatCode="0">
                  <c:v>20.89277775748111</c:v>
                </c:pt>
                <c:pt idx="180" formatCode="0">
                  <c:v>29.43384092918484</c:v>
                </c:pt>
                <c:pt idx="181" formatCode="0">
                  <c:v>29.00447218227674</c:v>
                </c:pt>
                <c:pt idx="182" formatCode="0">
                  <c:v>28.58166644274737</c:v>
                </c:pt>
                <c:pt idx="183" formatCode="0">
                  <c:v>28.16532339340745</c:v>
                </c:pt>
                <c:pt idx="184" formatCode="0">
                  <c:v>27.75534425044071</c:v>
                </c:pt>
                <c:pt idx="185" formatCode="0">
                  <c:v>27.35163173996596</c:v>
                </c:pt>
                <c:pt idx="186" formatCode="0">
                  <c:v>26.95409007495728</c:v>
                </c:pt>
                <c:pt idx="187" formatCode="0">
                  <c:v>26.5626249325171</c:v>
                </c:pt>
                <c:pt idx="188" formatCode="0">
                  <c:v>26.17714343149669</c:v>
                </c:pt>
                <c:pt idx="189" formatCode="0">
                  <c:v>25.79755411045857</c:v>
                </c:pt>
                <c:pt idx="190" formatCode="0">
                  <c:v>25.42376690597598</c:v>
                </c:pt>
                <c:pt idx="191" formatCode="0">
                  <c:v>25.05569313126385</c:v>
                </c:pt>
                <c:pt idx="192" formatCode="0">
                  <c:v>24.69324545513656</c:v>
                </c:pt>
                <c:pt idx="193" formatCode="0">
                  <c:v>24.3363378812872</c:v>
                </c:pt>
                <c:pt idx="194" formatCode="0">
                  <c:v>23.98488572788372</c:v>
                </c:pt>
                <c:pt idx="195" formatCode="0">
                  <c:v>23.63880560747672</c:v>
                </c:pt>
                <c:pt idx="196" formatCode="0">
                  <c:v>23.29801540721464</c:v>
                </c:pt>
                <c:pt idx="197" formatCode="0">
                  <c:v>22.96243426936108</c:v>
                </c:pt>
                <c:pt idx="198" formatCode="0">
                  <c:v>22.63198257211016</c:v>
                </c:pt>
                <c:pt idx="199" formatCode="0">
                  <c:v>22.30658191069495</c:v>
                </c:pt>
                <c:pt idx="200" formatCode="0">
                  <c:v>30.82603473661448</c:v>
                </c:pt>
                <c:pt idx="201" formatCode="0">
                  <c:v>30.37538596339667</c:v>
                </c:pt>
                <c:pt idx="202" formatCode="0">
                  <c:v>29.93162546801729</c:v>
                </c:pt>
                <c:pt idx="203" formatCode="0">
                  <c:v>29.49464796144771</c:v>
                </c:pt>
                <c:pt idx="204" formatCode="0">
                  <c:v>29.06434976402816</c:v>
                </c:pt>
                <c:pt idx="205" formatCode="0">
                  <c:v>28.64062878086803</c:v>
                </c:pt>
                <c:pt idx="206" formatCode="0">
                  <c:v>28.22338447762237</c:v>
                </c:pt>
                <c:pt idx="207" formatCode="0">
                  <c:v>27.81251785663851</c:v>
                </c:pt>
                <c:pt idx="208" formatCode="0">
                  <c:v>27.4079314334674</c:v>
                </c:pt>
                <c:pt idx="209" formatCode="0">
                  <c:v>27.00952921373382</c:v>
                </c:pt>
                <c:pt idx="210" formatCode="0">
                  <c:v>26.61721667036035</c:v>
                </c:pt>
                <c:pt idx="211" formatCode="0">
                  <c:v>26.23090072113926</c:v>
                </c:pt>
                <c:pt idx="212" formatCode="0">
                  <c:v>25.85048970664739</c:v>
                </c:pt>
                <c:pt idx="213" formatCode="0">
                  <c:v>25.47589336849848</c:v>
                </c:pt>
                <c:pt idx="214" formatCode="0">
                  <c:v>25.10702282792805</c:v>
                </c:pt>
                <c:pt idx="215" formatCode="0">
                  <c:v>24.74379056470544</c:v>
                </c:pt>
                <c:pt idx="216" formatCode="0">
                  <c:v>24.38611039636837</c:v>
                </c:pt>
                <c:pt idx="217" formatCode="0">
                  <c:v>24.0338974577748</c:v>
                </c:pt>
                <c:pt idx="218" formatCode="0">
                  <c:v>23.6870681809673</c:v>
                </c:pt>
                <c:pt idx="219" formatCode="0">
                  <c:v>23.34554027534539</c:v>
                </c:pt>
                <c:pt idx="220" formatCode="0">
                  <c:v>31.8491123659704</c:v>
                </c:pt>
                <c:pt idx="221" formatCode="0">
                  <c:v>31.38282559842062</c:v>
                </c:pt>
                <c:pt idx="222" formatCode="0">
                  <c:v>30.92366613931625</c:v>
                </c:pt>
                <c:pt idx="223" formatCode="0">
                  <c:v>30.47152504598679</c:v>
                </c:pt>
                <c:pt idx="224" formatCode="0">
                  <c:v>30.02629504097736</c:v>
                </c:pt>
                <c:pt idx="225" formatCode="0">
                  <c:v>29.5878704865955</c:v>
                </c:pt>
                <c:pt idx="226" formatCode="0">
                  <c:v>29.156147359847</c:v>
                </c:pt>
                <c:pt idx="227" formatCode="0">
                  <c:v>28.73102322775474</c:v>
                </c:pt>
                <c:pt idx="228" formatCode="0">
                  <c:v>28.31239722305506</c:v>
                </c:pt>
                <c:pt idx="229" formatCode="0">
                  <c:v>27.90017002026528</c:v>
                </c:pt>
                <c:pt idx="230" formatCode="0">
                  <c:v>27.4942438121173</c:v>
                </c:pt>
                <c:pt idx="231" formatCode="0">
                  <c:v>27.09452228635125</c:v>
                </c:pt>
                <c:pt idx="232" formatCode="0">
                  <c:v>26.70091060286395</c:v>
                </c:pt>
                <c:pt idx="233" formatCode="0">
                  <c:v>26.31331537120666</c:v>
                </c:pt>
                <c:pt idx="234" formatCode="0">
                  <c:v>25.93164462842669</c:v>
                </c:pt>
                <c:pt idx="235" formatCode="0">
                  <c:v>25.5558078172478</c:v>
                </c:pt>
                <c:pt idx="236" formatCode="0">
                  <c:v>25.18571576458412</c:v>
                </c:pt>
                <c:pt idx="237" formatCode="0">
                  <c:v>24.8212806603824</c:v>
                </c:pt>
                <c:pt idx="238" formatCode="0">
                  <c:v>24.46241603678778</c:v>
                </c:pt>
                <c:pt idx="239" formatCode="0">
                  <c:v>24.10903674762789</c:v>
                </c:pt>
                <c:pt idx="240" formatCode="0">
                  <c:v>23.76105894821067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126393448"/>
        <c:axId val="-2126387928"/>
      </c:barChart>
      <c:lineChart>
        <c:grouping val="standard"/>
        <c:varyColors val="0"/>
        <c:ser>
          <c:idx val="0"/>
          <c:order val="0"/>
          <c:tx>
            <c:strRef>
              <c:f>'Uneven Mixed Conifer'!$CI$77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val>
            <c:numRef>
              <c:f>'Uneven Mixed Conifer'!$CI$78:$CI$318</c:f>
              <c:numCache>
                <c:formatCode>0</c:formatCode>
                <c:ptCount val="24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18.2171957703053</c:v>
                </c:pt>
                <c:pt idx="42">
                  <c:v>19.94036919288419</c:v>
                </c:pt>
                <c:pt idx="43">
                  <c:v>21.66354261546308</c:v>
                </c:pt>
                <c:pt idx="44">
                  <c:v>23.38671603804196</c:v>
                </c:pt>
                <c:pt idx="45">
                  <c:v>25.10988946062085</c:v>
                </c:pt>
                <c:pt idx="46">
                  <c:v>26.83306288319974</c:v>
                </c:pt>
                <c:pt idx="47">
                  <c:v>28.55623630577863</c:v>
                </c:pt>
                <c:pt idx="48">
                  <c:v>30.27940972835752</c:v>
                </c:pt>
                <c:pt idx="49">
                  <c:v>32.00258315093641</c:v>
                </c:pt>
                <c:pt idx="50">
                  <c:v>33.7257565735153</c:v>
                </c:pt>
                <c:pt idx="51">
                  <c:v>35.44892999609419</c:v>
                </c:pt>
                <c:pt idx="52">
                  <c:v>37.17210341867307</c:v>
                </c:pt>
                <c:pt idx="53">
                  <c:v>38.89527684125196</c:v>
                </c:pt>
                <c:pt idx="54">
                  <c:v>40.61845026383085</c:v>
                </c:pt>
                <c:pt idx="55">
                  <c:v>42.34162368640974</c:v>
                </c:pt>
                <c:pt idx="56">
                  <c:v>44.06479710898863</c:v>
                </c:pt>
                <c:pt idx="57">
                  <c:v>45.78797053156752</c:v>
                </c:pt>
                <c:pt idx="58">
                  <c:v>47.51114395414641</c:v>
                </c:pt>
                <c:pt idx="59">
                  <c:v>49.2343173767253</c:v>
                </c:pt>
                <c:pt idx="60">
                  <c:v>50.95749079930418</c:v>
                </c:pt>
                <c:pt idx="61">
                  <c:v>52.68066422188307</c:v>
                </c:pt>
                <c:pt idx="62">
                  <c:v>54.40383764446196</c:v>
                </c:pt>
                <c:pt idx="63">
                  <c:v>56.12701106704085</c:v>
                </c:pt>
                <c:pt idx="64">
                  <c:v>57.85018448961974</c:v>
                </c:pt>
                <c:pt idx="65">
                  <c:v>59.57335791219862</c:v>
                </c:pt>
                <c:pt idx="66">
                  <c:v>61.2965313347775</c:v>
                </c:pt>
                <c:pt idx="67">
                  <c:v>63.0197047573564</c:v>
                </c:pt>
                <c:pt idx="68">
                  <c:v>64.74287817993529</c:v>
                </c:pt>
                <c:pt idx="69">
                  <c:v>66.46605160251418</c:v>
                </c:pt>
                <c:pt idx="70">
                  <c:v>68.18922502509308</c:v>
                </c:pt>
                <c:pt idx="71">
                  <c:v>69.91239844767198</c:v>
                </c:pt>
                <c:pt idx="72">
                  <c:v>71.63557187025087</c:v>
                </c:pt>
                <c:pt idx="73">
                  <c:v>73.35874529282977</c:v>
                </c:pt>
                <c:pt idx="74">
                  <c:v>75.08191871540866</c:v>
                </c:pt>
                <c:pt idx="75">
                  <c:v>76.80509213798756</c:v>
                </c:pt>
                <c:pt idx="76">
                  <c:v>78.52826556056645</c:v>
                </c:pt>
                <c:pt idx="77">
                  <c:v>80.25143898314534</c:v>
                </c:pt>
                <c:pt idx="78">
                  <c:v>81.97461240572424</c:v>
                </c:pt>
                <c:pt idx="79">
                  <c:v>83.69778582830314</c:v>
                </c:pt>
                <c:pt idx="80">
                  <c:v>85.42095925088196</c:v>
                </c:pt>
                <c:pt idx="81">
                  <c:v>86.71105885116137</c:v>
                </c:pt>
                <c:pt idx="82">
                  <c:v>87.98815549932785</c:v>
                </c:pt>
                <c:pt idx="83">
                  <c:v>89.25207374798569</c:v>
                </c:pt>
                <c:pt idx="84">
                  <c:v>90.50265516982493</c:v>
                </c:pt>
                <c:pt idx="85">
                  <c:v>91.73975768915416</c:v>
                </c:pt>
                <c:pt idx="86">
                  <c:v>92.96325492803624</c:v>
                </c:pt>
                <c:pt idx="87">
                  <c:v>94.17303556736168</c:v>
                </c:pt>
                <c:pt idx="88">
                  <c:v>95.3690027231239</c:v>
                </c:pt>
                <c:pt idx="89">
                  <c:v>96.55107333809586</c:v>
                </c:pt>
                <c:pt idx="90">
                  <c:v>97.71917758904893</c:v>
                </c:pt>
                <c:pt idx="91">
                  <c:v>98.87325830960242</c:v>
                </c:pt>
                <c:pt idx="92">
                  <c:v>100.0132704287426</c:v>
                </c:pt>
                <c:pt idx="93">
                  <c:v>101.139180425008</c:v>
                </c:pt>
                <c:pt idx="94">
                  <c:v>102.2509657962968</c:v>
                </c:pt>
                <c:pt idx="95">
                  <c:v>103.3486145452175</c:v>
                </c:pt>
                <c:pt idx="96">
                  <c:v>104.4321246798715</c:v>
                </c:pt>
                <c:pt idx="97">
                  <c:v>105.5015037299297</c:v>
                </c:pt>
                <c:pt idx="98">
                  <c:v>106.5567682778356</c:v>
                </c:pt>
                <c:pt idx="99">
                  <c:v>107.5979435049508</c:v>
                </c:pt>
                <c:pt idx="100">
                  <c:v>108.6250627524327</c:v>
                </c:pt>
                <c:pt idx="101">
                  <c:v>109.6381670966215</c:v>
                </c:pt>
                <c:pt idx="102">
                  <c:v>110.6373049386964</c:v>
                </c:pt>
                <c:pt idx="103">
                  <c:v>111.6225316083471</c:v>
                </c:pt>
                <c:pt idx="104">
                  <c:v>112.5939089811971</c:v>
                </c:pt>
                <c:pt idx="105">
                  <c:v>113.5515051097048</c:v>
                </c:pt>
                <c:pt idx="106">
                  <c:v>114.495393867261</c:v>
                </c:pt>
                <c:pt idx="107">
                  <c:v>115.4256546051933</c:v>
                </c:pt>
                <c:pt idx="108">
                  <c:v>116.3423718223867</c:v>
                </c:pt>
                <c:pt idx="109">
                  <c:v>117.2456348472197</c:v>
                </c:pt>
                <c:pt idx="110">
                  <c:v>118.1355375315197</c:v>
                </c:pt>
                <c:pt idx="111">
                  <c:v>119.0121779562328</c:v>
                </c:pt>
                <c:pt idx="112">
                  <c:v>119.8756581485074</c:v>
                </c:pt>
                <c:pt idx="113">
                  <c:v>120.7260838098875</c:v>
                </c:pt>
                <c:pt idx="114">
                  <c:v>121.5635640553153</c:v>
                </c:pt>
                <c:pt idx="115">
                  <c:v>122.3882111626412</c:v>
                </c:pt>
                <c:pt idx="116">
                  <c:v>123.2001403323428</c:v>
                </c:pt>
                <c:pt idx="117">
                  <c:v>123.9994694571578</c:v>
                </c:pt>
                <c:pt idx="118">
                  <c:v>124.7863189013368</c:v>
                </c:pt>
                <c:pt idx="119">
                  <c:v>125.5608112892266</c:v>
                </c:pt>
                <c:pt idx="120">
                  <c:v>126.323071302899</c:v>
                </c:pt>
                <c:pt idx="121">
                  <c:v>127.0732254885427</c:v>
                </c:pt>
                <c:pt idx="122">
                  <c:v>127.8114020713414</c:v>
                </c:pt>
                <c:pt idx="123">
                  <c:v>128.5377307785662</c:v>
                </c:pt>
                <c:pt idx="124">
                  <c:v>129.2523426706143</c:v>
                </c:pt>
                <c:pt idx="125">
                  <c:v>129.9553699797319</c:v>
                </c:pt>
                <c:pt idx="126">
                  <c:v>130.6469459561647</c:v>
                </c:pt>
                <c:pt idx="127">
                  <c:v>131.3272047214833</c:v>
                </c:pt>
                <c:pt idx="128">
                  <c:v>131.9962811288383</c:v>
                </c:pt>
                <c:pt idx="129">
                  <c:v>132.6543106299048</c:v>
                </c:pt>
                <c:pt idx="130">
                  <c:v>133.3014291482797</c:v>
                </c:pt>
                <c:pt idx="131">
                  <c:v>133.9377729591053</c:v>
                </c:pt>
                <c:pt idx="132">
                  <c:v>134.5634785746921</c:v>
                </c:pt>
                <c:pt idx="133">
                  <c:v>135.1786826359275</c:v>
                </c:pt>
                <c:pt idx="134">
                  <c:v>135.7835218092532</c:v>
                </c:pt>
                <c:pt idx="135">
                  <c:v>136.3781326890098</c:v>
                </c:pt>
                <c:pt idx="136">
                  <c:v>136.9626517049435</c:v>
                </c:pt>
                <c:pt idx="137">
                  <c:v>137.5372150346831</c:v>
                </c:pt>
                <c:pt idx="138">
                  <c:v>138.1019585209953</c:v>
                </c:pt>
                <c:pt idx="139">
                  <c:v>138.6570175936353</c:v>
                </c:pt>
                <c:pt idx="140">
                  <c:v>139.202527195614</c:v>
                </c:pt>
                <c:pt idx="141">
                  <c:v>139.7386217137076</c:v>
                </c:pt>
                <c:pt idx="142">
                  <c:v>140.265434913042</c:v>
                </c:pt>
                <c:pt idx="143">
                  <c:v>140.7830998755894</c:v>
                </c:pt>
                <c:pt idx="144">
                  <c:v>141.2917489424176</c:v>
                </c:pt>
                <c:pt idx="145">
                  <c:v>141.7915136595419</c:v>
                </c:pt>
                <c:pt idx="146">
                  <c:v>142.2825247272286</c:v>
                </c:pt>
                <c:pt idx="147">
                  <c:v>142.7649119526085</c:v>
                </c:pt>
                <c:pt idx="148">
                  <c:v>143.238804205462</c:v>
                </c:pt>
                <c:pt idx="149">
                  <c:v>143.7043293770408</c:v>
                </c:pt>
                <c:pt idx="150">
                  <c:v>144.1616143417985</c:v>
                </c:pt>
                <c:pt idx="151">
                  <c:v>144.6107849219023</c:v>
                </c:pt>
                <c:pt idx="152">
                  <c:v>145.0519658544084</c:v>
                </c:pt>
                <c:pt idx="153">
                  <c:v>145.485280760981</c:v>
                </c:pt>
                <c:pt idx="154">
                  <c:v>145.9108521200458</c:v>
                </c:pt>
                <c:pt idx="155">
                  <c:v>146.3288012412665</c:v>
                </c:pt>
                <c:pt idx="156">
                  <c:v>146.7392482422407</c:v>
                </c:pt>
                <c:pt idx="157">
                  <c:v>147.1423120273151</c:v>
                </c:pt>
                <c:pt idx="158">
                  <c:v>147.5381102684207</c:v>
                </c:pt>
                <c:pt idx="159">
                  <c:v>147.926759387836</c:v>
                </c:pt>
                <c:pt idx="160">
                  <c:v>148.3083745427871</c:v>
                </c:pt>
                <c:pt idx="161">
                  <c:v>148.6830696117966</c:v>
                </c:pt>
                <c:pt idx="162">
                  <c:v>149.0509571827004</c:v>
                </c:pt>
                <c:pt idx="163">
                  <c:v>149.412148542248</c:v>
                </c:pt>
                <c:pt idx="164">
                  <c:v>149.766753667212</c:v>
                </c:pt>
                <c:pt idx="165">
                  <c:v>150.1148812169305</c:v>
                </c:pt>
                <c:pt idx="166">
                  <c:v>150.4566385272107</c:v>
                </c:pt>
                <c:pt idx="167">
                  <c:v>150.792131605525</c:v>
                </c:pt>
                <c:pt idx="168">
                  <c:v>151.1214651274338</c:v>
                </c:pt>
                <c:pt idx="169">
                  <c:v>151.4447424341706</c:v>
                </c:pt>
                <c:pt idx="170">
                  <c:v>151.7620655313278</c:v>
                </c:pt>
                <c:pt idx="171">
                  <c:v>152.0735350885863</c:v>
                </c:pt>
                <c:pt idx="172">
                  <c:v>152.3792504404302</c:v>
                </c:pt>
                <c:pt idx="173">
                  <c:v>152.6793095877948</c:v>
                </c:pt>
                <c:pt idx="174">
                  <c:v>152.9738092005933</c:v>
                </c:pt>
                <c:pt idx="175">
                  <c:v>153.2628446210756</c:v>
                </c:pt>
                <c:pt idx="176">
                  <c:v>153.546509867969</c:v>
                </c:pt>
                <c:pt idx="177">
                  <c:v>153.8248976413555</c:v>
                </c:pt>
                <c:pt idx="178">
                  <c:v>154.0980993282435</c:v>
                </c:pt>
                <c:pt idx="179">
                  <c:v>154.3662050087893</c:v>
                </c:pt>
                <c:pt idx="180">
                  <c:v>154.6293034631307</c:v>
                </c:pt>
                <c:pt idx="181">
                  <c:v>154.8874821787927</c:v>
                </c:pt>
                <c:pt idx="182">
                  <c:v>155.1408273586285</c:v>
                </c:pt>
                <c:pt idx="183">
                  <c:v>155.3894239292618</c:v>
                </c:pt>
                <c:pt idx="184">
                  <c:v>155.6333555499951</c:v>
                </c:pt>
                <c:pt idx="185">
                  <c:v>155.872704622153</c:v>
                </c:pt>
                <c:pt idx="186">
                  <c:v>156.1075522988293</c:v>
                </c:pt>
                <c:pt idx="187">
                  <c:v>156.3379784950081</c:v>
                </c:pt>
                <c:pt idx="188">
                  <c:v>156.5640618980319</c:v>
                </c:pt>
                <c:pt idx="189">
                  <c:v>156.785879978388</c:v>
                </c:pt>
                <c:pt idx="190">
                  <c:v>157.0035090007905</c:v>
                </c:pt>
                <c:pt idx="191">
                  <c:v>157.2170240355302</c:v>
                </c:pt>
                <c:pt idx="192">
                  <c:v>157.426498970072</c:v>
                </c:pt>
                <c:pt idx="193">
                  <c:v>157.6320065208753</c:v>
                </c:pt>
                <c:pt idx="194">
                  <c:v>157.8336182454183</c:v>
                </c:pt>
                <c:pt idx="195">
                  <c:v>158.0314045544048</c:v>
                </c:pt>
                <c:pt idx="196">
                  <c:v>158.2254347241343</c:v>
                </c:pt>
                <c:pt idx="197">
                  <c:v>158.4157769090179</c:v>
                </c:pt>
                <c:pt idx="198">
                  <c:v>158.6024981542229</c:v>
                </c:pt>
                <c:pt idx="199">
                  <c:v>158.7856644084281</c:v>
                </c:pt>
                <c:pt idx="200">
                  <c:v>158.9653405366756</c:v>
                </c:pt>
                <c:pt idx="201">
                  <c:v>159.1415903333042</c:v>
                </c:pt>
                <c:pt idx="202">
                  <c:v>159.3144765349492</c:v>
                </c:pt>
                <c:pt idx="203">
                  <c:v>159.4840608335961</c:v>
                </c:pt>
                <c:pt idx="204">
                  <c:v>159.6504038896766</c:v>
                </c:pt>
                <c:pt idx="205">
                  <c:v>159.8135653451913</c:v>
                </c:pt>
                <c:pt idx="206">
                  <c:v>159.9736038368528</c:v>
                </c:pt>
                <c:pt idx="207">
                  <c:v>160.1305770092337</c:v>
                </c:pt>
                <c:pt idx="208">
                  <c:v>160.2845415279132</c:v>
                </c:pt>
                <c:pt idx="209">
                  <c:v>160.4355530926093</c:v>
                </c:pt>
                <c:pt idx="210">
                  <c:v>160.583666450291</c:v>
                </c:pt>
                <c:pt idx="211">
                  <c:v>160.7289354082586</c:v>
                </c:pt>
                <c:pt idx="212">
                  <c:v>160.8714128471875</c:v>
                </c:pt>
                <c:pt idx="213">
                  <c:v>161.0111507341245</c:v>
                </c:pt>
                <c:pt idx="214">
                  <c:v>161.1482001354321</c:v>
                </c:pt>
                <c:pt idx="215">
                  <c:v>161.2826112296733</c:v>
                </c:pt>
                <c:pt idx="216">
                  <c:v>161.4144333204302</c:v>
                </c:pt>
                <c:pt idx="217">
                  <c:v>161.5437148490511</c:v>
                </c:pt>
                <c:pt idx="218">
                  <c:v>161.6705034073209</c:v>
                </c:pt>
                <c:pt idx="219">
                  <c:v>161.7948457500485</c:v>
                </c:pt>
                <c:pt idx="220">
                  <c:v>161.9167878075679</c:v>
                </c:pt>
                <c:pt idx="221">
                  <c:v>162.0363746981476</c:v>
                </c:pt>
                <c:pt idx="222">
                  <c:v>162.1536507403046</c:v>
                </c:pt>
                <c:pt idx="223">
                  <c:v>162.2686594650193</c:v>
                </c:pt>
                <c:pt idx="224">
                  <c:v>162.3814436278471</c:v>
                </c:pt>
                <c:pt idx="225">
                  <c:v>162.4920452209242</c:v>
                </c:pt>
                <c:pt idx="226">
                  <c:v>162.6005054848648</c:v>
                </c:pt>
                <c:pt idx="227">
                  <c:v>162.7068649205455</c:v>
                </c:pt>
                <c:pt idx="228">
                  <c:v>162.8111633007765</c:v>
                </c:pt>
                <c:pt idx="229">
                  <c:v>162.9134396818556</c:v>
                </c:pt>
                <c:pt idx="230">
                  <c:v>163.0137324150037</c:v>
                </c:pt>
                <c:pt idx="231">
                  <c:v>163.1120791576799</c:v>
                </c:pt>
                <c:pt idx="232">
                  <c:v>163.2085168847747</c:v>
                </c:pt>
                <c:pt idx="233">
                  <c:v>163.3030818996792</c:v>
                </c:pt>
                <c:pt idx="234">
                  <c:v>163.3958098452297</c:v>
                </c:pt>
                <c:pt idx="235">
                  <c:v>163.4867357145264</c:v>
                </c:pt>
                <c:pt idx="236">
                  <c:v>163.5758938616243</c:v>
                </c:pt>
                <c:pt idx="237">
                  <c:v>163.6633180120978</c:v>
                </c:pt>
                <c:pt idx="238">
                  <c:v>163.749041273475</c:v>
                </c:pt>
                <c:pt idx="239">
                  <c:v>163.833096145545</c:v>
                </c:pt>
                <c:pt idx="240">
                  <c:v>163.9155145305334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26393448"/>
        <c:axId val="-2126387928"/>
      </c:lineChart>
      <c:catAx>
        <c:axId val="-2126393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26387928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-21263879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</a:t>
                </a:r>
                <a:r>
                  <a:rPr lang="en-US" baseline="0"/>
                  <a:t> Benefits in Tonnes of Carbon per Hectare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26393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6572256298151"/>
          <c:y val="0.27891454620804"/>
          <c:w val="0.348413385826772"/>
          <c:h val="0.71910398679366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'COLE2 forest types-live tree C '!$C$12</c:f>
              <c:strCache>
                <c:ptCount val="1"/>
                <c:pt idx="0">
                  <c:v>Let grow CMixCon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'!$B$13:$B$173</c:f>
              <c:numCache>
                <c:formatCode>General</c:formatCode>
                <c:ptCount val="161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  <c:pt idx="53">
                  <c:v>53.0</c:v>
                </c:pt>
                <c:pt idx="54">
                  <c:v>54.0</c:v>
                </c:pt>
                <c:pt idx="55">
                  <c:v>55.0</c:v>
                </c:pt>
                <c:pt idx="56">
                  <c:v>56.0</c:v>
                </c:pt>
                <c:pt idx="57">
                  <c:v>57.0</c:v>
                </c:pt>
                <c:pt idx="58">
                  <c:v>58.0</c:v>
                </c:pt>
                <c:pt idx="59">
                  <c:v>59.0</c:v>
                </c:pt>
                <c:pt idx="60">
                  <c:v>60.0</c:v>
                </c:pt>
                <c:pt idx="61">
                  <c:v>61.0</c:v>
                </c:pt>
                <c:pt idx="62">
                  <c:v>62.0</c:v>
                </c:pt>
                <c:pt idx="63">
                  <c:v>63.0</c:v>
                </c:pt>
                <c:pt idx="64">
                  <c:v>64.0</c:v>
                </c:pt>
                <c:pt idx="65">
                  <c:v>65.0</c:v>
                </c:pt>
                <c:pt idx="66">
                  <c:v>66.0</c:v>
                </c:pt>
                <c:pt idx="67">
                  <c:v>67.0</c:v>
                </c:pt>
                <c:pt idx="68">
                  <c:v>68.0</c:v>
                </c:pt>
                <c:pt idx="69">
                  <c:v>69.0</c:v>
                </c:pt>
                <c:pt idx="70">
                  <c:v>70.0</c:v>
                </c:pt>
                <c:pt idx="71">
                  <c:v>71.0</c:v>
                </c:pt>
                <c:pt idx="72">
                  <c:v>72.0</c:v>
                </c:pt>
                <c:pt idx="73">
                  <c:v>73.0</c:v>
                </c:pt>
                <c:pt idx="74">
                  <c:v>74.0</c:v>
                </c:pt>
                <c:pt idx="75">
                  <c:v>75.0</c:v>
                </c:pt>
                <c:pt idx="76">
                  <c:v>76.0</c:v>
                </c:pt>
                <c:pt idx="77">
                  <c:v>77.0</c:v>
                </c:pt>
                <c:pt idx="78">
                  <c:v>78.0</c:v>
                </c:pt>
                <c:pt idx="79">
                  <c:v>79.0</c:v>
                </c:pt>
                <c:pt idx="80">
                  <c:v>80.0</c:v>
                </c:pt>
                <c:pt idx="81">
                  <c:v>81.0</c:v>
                </c:pt>
                <c:pt idx="82">
                  <c:v>82.0</c:v>
                </c:pt>
                <c:pt idx="83">
                  <c:v>83.0</c:v>
                </c:pt>
                <c:pt idx="84">
                  <c:v>84.0</c:v>
                </c:pt>
                <c:pt idx="85">
                  <c:v>85.0</c:v>
                </c:pt>
                <c:pt idx="86">
                  <c:v>86.0</c:v>
                </c:pt>
                <c:pt idx="87">
                  <c:v>87.0</c:v>
                </c:pt>
                <c:pt idx="88">
                  <c:v>88.0</c:v>
                </c:pt>
                <c:pt idx="89">
                  <c:v>89.0</c:v>
                </c:pt>
                <c:pt idx="90">
                  <c:v>90.0</c:v>
                </c:pt>
                <c:pt idx="91">
                  <c:v>91.0</c:v>
                </c:pt>
                <c:pt idx="92">
                  <c:v>92.0</c:v>
                </c:pt>
                <c:pt idx="93">
                  <c:v>93.0</c:v>
                </c:pt>
                <c:pt idx="94">
                  <c:v>94.0</c:v>
                </c:pt>
                <c:pt idx="95">
                  <c:v>95.0</c:v>
                </c:pt>
                <c:pt idx="96">
                  <c:v>96.0</c:v>
                </c:pt>
                <c:pt idx="97">
                  <c:v>97.0</c:v>
                </c:pt>
                <c:pt idx="98">
                  <c:v>98.0</c:v>
                </c:pt>
                <c:pt idx="99">
                  <c:v>99.0</c:v>
                </c:pt>
                <c:pt idx="100">
                  <c:v>100.0</c:v>
                </c:pt>
                <c:pt idx="101">
                  <c:v>101.0</c:v>
                </c:pt>
                <c:pt idx="102">
                  <c:v>102.0</c:v>
                </c:pt>
                <c:pt idx="103">
                  <c:v>103.0</c:v>
                </c:pt>
                <c:pt idx="104">
                  <c:v>104.0</c:v>
                </c:pt>
                <c:pt idx="105">
                  <c:v>105.0</c:v>
                </c:pt>
                <c:pt idx="106">
                  <c:v>106.0</c:v>
                </c:pt>
                <c:pt idx="107">
                  <c:v>107.0</c:v>
                </c:pt>
                <c:pt idx="108">
                  <c:v>108.0</c:v>
                </c:pt>
                <c:pt idx="109">
                  <c:v>109.0</c:v>
                </c:pt>
                <c:pt idx="110">
                  <c:v>110.0</c:v>
                </c:pt>
                <c:pt idx="111">
                  <c:v>111.0</c:v>
                </c:pt>
                <c:pt idx="112">
                  <c:v>112.0</c:v>
                </c:pt>
                <c:pt idx="113">
                  <c:v>113.0</c:v>
                </c:pt>
                <c:pt idx="114">
                  <c:v>114.0</c:v>
                </c:pt>
                <c:pt idx="115">
                  <c:v>115.0</c:v>
                </c:pt>
                <c:pt idx="116">
                  <c:v>116.0</c:v>
                </c:pt>
                <c:pt idx="117">
                  <c:v>117.0</c:v>
                </c:pt>
                <c:pt idx="118">
                  <c:v>118.0</c:v>
                </c:pt>
                <c:pt idx="119">
                  <c:v>119.0</c:v>
                </c:pt>
                <c:pt idx="120">
                  <c:v>120.0</c:v>
                </c:pt>
                <c:pt idx="121">
                  <c:v>121.0</c:v>
                </c:pt>
                <c:pt idx="122">
                  <c:v>122.0</c:v>
                </c:pt>
                <c:pt idx="123">
                  <c:v>123.0</c:v>
                </c:pt>
                <c:pt idx="124">
                  <c:v>124.0</c:v>
                </c:pt>
                <c:pt idx="125">
                  <c:v>125.0</c:v>
                </c:pt>
                <c:pt idx="126">
                  <c:v>126.0</c:v>
                </c:pt>
                <c:pt idx="127">
                  <c:v>127.0</c:v>
                </c:pt>
                <c:pt idx="128">
                  <c:v>128.0</c:v>
                </c:pt>
                <c:pt idx="129">
                  <c:v>129.0</c:v>
                </c:pt>
                <c:pt idx="130">
                  <c:v>130.0</c:v>
                </c:pt>
                <c:pt idx="131">
                  <c:v>131.0</c:v>
                </c:pt>
                <c:pt idx="132">
                  <c:v>132.0</c:v>
                </c:pt>
                <c:pt idx="133">
                  <c:v>133.0</c:v>
                </c:pt>
                <c:pt idx="134">
                  <c:v>134.0</c:v>
                </c:pt>
                <c:pt idx="135">
                  <c:v>135.0</c:v>
                </c:pt>
                <c:pt idx="136">
                  <c:v>136.0</c:v>
                </c:pt>
                <c:pt idx="137">
                  <c:v>137.0</c:v>
                </c:pt>
                <c:pt idx="138">
                  <c:v>138.0</c:v>
                </c:pt>
                <c:pt idx="139">
                  <c:v>139.0</c:v>
                </c:pt>
                <c:pt idx="140">
                  <c:v>140.0</c:v>
                </c:pt>
                <c:pt idx="141">
                  <c:v>141.0</c:v>
                </c:pt>
                <c:pt idx="142">
                  <c:v>142.0</c:v>
                </c:pt>
                <c:pt idx="143">
                  <c:v>143.0</c:v>
                </c:pt>
                <c:pt idx="144">
                  <c:v>144.0</c:v>
                </c:pt>
                <c:pt idx="145">
                  <c:v>145.0</c:v>
                </c:pt>
                <c:pt idx="146">
                  <c:v>146.0</c:v>
                </c:pt>
                <c:pt idx="147">
                  <c:v>147.0</c:v>
                </c:pt>
                <c:pt idx="148">
                  <c:v>148.0</c:v>
                </c:pt>
                <c:pt idx="149">
                  <c:v>149.0</c:v>
                </c:pt>
                <c:pt idx="150">
                  <c:v>150.0</c:v>
                </c:pt>
                <c:pt idx="151">
                  <c:v>151.0</c:v>
                </c:pt>
                <c:pt idx="152">
                  <c:v>152.0</c:v>
                </c:pt>
                <c:pt idx="153">
                  <c:v>153.0</c:v>
                </c:pt>
                <c:pt idx="154">
                  <c:v>154.0</c:v>
                </c:pt>
                <c:pt idx="155">
                  <c:v>155.0</c:v>
                </c:pt>
                <c:pt idx="156">
                  <c:v>156.0</c:v>
                </c:pt>
                <c:pt idx="157">
                  <c:v>157.0</c:v>
                </c:pt>
                <c:pt idx="158">
                  <c:v>158.0</c:v>
                </c:pt>
                <c:pt idx="159">
                  <c:v>159.0</c:v>
                </c:pt>
                <c:pt idx="160">
                  <c:v>160.0</c:v>
                </c:pt>
              </c:numCache>
            </c:numRef>
          </c:cat>
          <c:val>
            <c:numRef>
              <c:f>'COLE2 forest types-live tree C '!$C$13:$C$173</c:f>
              <c:numCache>
                <c:formatCode>0</c:formatCode>
                <c:ptCount val="16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29.44057198744755</c:v>
                </c:pt>
                <c:pt idx="42">
                  <c:v>30.83867210421746</c:v>
                </c:pt>
                <c:pt idx="43">
                  <c:v>32.25137452919189</c:v>
                </c:pt>
                <c:pt idx="44">
                  <c:v>33.67734333143365</c:v>
                </c:pt>
                <c:pt idx="45">
                  <c:v>35.1152744793208</c:v>
                </c:pt>
                <c:pt idx="46">
                  <c:v>36.56389706847449</c:v>
                </c:pt>
                <c:pt idx="47">
                  <c:v>38.02197433172761</c:v>
                </c:pt>
                <c:pt idx="48">
                  <c:v>39.48830445007449</c:v>
                </c:pt>
                <c:pt idx="49">
                  <c:v>40.96172118218256</c:v>
                </c:pt>
                <c:pt idx="50">
                  <c:v>42.44109432877955</c:v>
                </c:pt>
                <c:pt idx="51">
                  <c:v>43.925330047044</c:v>
                </c:pt>
                <c:pt idx="52">
                  <c:v>45.41337102902094</c:v>
                </c:pt>
                <c:pt idx="53">
                  <c:v>46.90419655705084</c:v>
                </c:pt>
                <c:pt idx="54">
                  <c:v>48.39682244823677</c:v>
                </c:pt>
                <c:pt idx="55">
                  <c:v>49.89030089907362</c:v>
                </c:pt>
                <c:pt idx="56">
                  <c:v>51.38372024052516</c:v>
                </c:pt>
                <c:pt idx="57">
                  <c:v>52.87620461305117</c:v>
                </c:pt>
                <c:pt idx="58">
                  <c:v>54.36691357035694</c:v>
                </c:pt>
                <c:pt idx="59">
                  <c:v>55.85504161995822</c:v>
                </c:pt>
                <c:pt idx="60">
                  <c:v>57.3398177080194</c:v>
                </c:pt>
                <c:pt idx="61">
                  <c:v>58.82050465533355</c:v>
                </c:pt>
                <c:pt idx="62">
                  <c:v>60.29639855076253</c:v>
                </c:pt>
                <c:pt idx="63">
                  <c:v>61.76682810794416</c:v>
                </c:pt>
                <c:pt idx="64">
                  <c:v>63.23115399059686</c:v>
                </c:pt>
                <c:pt idx="65">
                  <c:v>64.68876811130966</c:v>
                </c:pt>
                <c:pt idx="66">
                  <c:v>66.13909290829365</c:v>
                </c:pt>
                <c:pt idx="67">
                  <c:v>67.58158060418875</c:v>
                </c:pt>
                <c:pt idx="68">
                  <c:v>69.01571245066343</c:v>
                </c:pt>
                <c:pt idx="69">
                  <c:v>70.44099796221553</c:v>
                </c:pt>
                <c:pt idx="70">
                  <c:v>71.85697414227685</c:v>
                </c:pt>
                <c:pt idx="71">
                  <c:v>73.26320470443828</c:v>
                </c:pt>
                <c:pt idx="72">
                  <c:v>74.65927929135088</c:v>
                </c:pt>
                <c:pt idx="73">
                  <c:v>76.0448126936132</c:v>
                </c:pt>
                <c:pt idx="74">
                  <c:v>77.41944407072935</c:v>
                </c:pt>
                <c:pt idx="75">
                  <c:v>78.7828361760137</c:v>
                </c:pt>
                <c:pt idx="76">
                  <c:v>80.13467458712451</c:v>
                </c:pt>
                <c:pt idx="77">
                  <c:v>81.47466694373007</c:v>
                </c:pt>
                <c:pt idx="78">
                  <c:v>82.80254219364599</c:v>
                </c:pt>
                <c:pt idx="79">
                  <c:v>84.11804984863019</c:v>
                </c:pt>
                <c:pt idx="80">
                  <c:v>85.42095925088196</c:v>
                </c:pt>
                <c:pt idx="81">
                  <c:v>86.71105885116137</c:v>
                </c:pt>
                <c:pt idx="82">
                  <c:v>87.98815549932785</c:v>
                </c:pt>
                <c:pt idx="83">
                  <c:v>89.25207374798569</c:v>
                </c:pt>
                <c:pt idx="84">
                  <c:v>90.50265516982493</c:v>
                </c:pt>
                <c:pt idx="85">
                  <c:v>91.73975768915416</c:v>
                </c:pt>
                <c:pt idx="86">
                  <c:v>92.96325492803624</c:v>
                </c:pt>
                <c:pt idx="87">
                  <c:v>94.17303556736168</c:v>
                </c:pt>
                <c:pt idx="88">
                  <c:v>95.3690027231239</c:v>
                </c:pt>
                <c:pt idx="89">
                  <c:v>96.55107333809586</c:v>
                </c:pt>
                <c:pt idx="90">
                  <c:v>97.71917758904893</c:v>
                </c:pt>
                <c:pt idx="91">
                  <c:v>98.87325830960242</c:v>
                </c:pt>
                <c:pt idx="92">
                  <c:v>100.0132704287426</c:v>
                </c:pt>
                <c:pt idx="93">
                  <c:v>101.139180425008</c:v>
                </c:pt>
                <c:pt idx="94">
                  <c:v>102.2509657962968</c:v>
                </c:pt>
                <c:pt idx="95">
                  <c:v>103.3486145452175</c:v>
                </c:pt>
                <c:pt idx="96">
                  <c:v>104.4321246798715</c:v>
                </c:pt>
                <c:pt idx="97">
                  <c:v>105.5015037299297</c:v>
                </c:pt>
                <c:pt idx="98">
                  <c:v>106.5567682778356</c:v>
                </c:pt>
                <c:pt idx="99">
                  <c:v>107.5979435049508</c:v>
                </c:pt>
                <c:pt idx="100">
                  <c:v>108.6250627524327</c:v>
                </c:pt>
                <c:pt idx="101">
                  <c:v>109.6381670966215</c:v>
                </c:pt>
                <c:pt idx="102">
                  <c:v>110.6373049386964</c:v>
                </c:pt>
                <c:pt idx="103">
                  <c:v>111.6225316083471</c:v>
                </c:pt>
                <c:pt idx="104">
                  <c:v>112.5939089811971</c:v>
                </c:pt>
                <c:pt idx="105">
                  <c:v>113.5515051097048</c:v>
                </c:pt>
                <c:pt idx="106">
                  <c:v>114.495393867261</c:v>
                </c:pt>
                <c:pt idx="107">
                  <c:v>115.4256546051933</c:v>
                </c:pt>
                <c:pt idx="108">
                  <c:v>116.3423718223867</c:v>
                </c:pt>
                <c:pt idx="109">
                  <c:v>117.2456348472197</c:v>
                </c:pt>
                <c:pt idx="110">
                  <c:v>118.1355375315197</c:v>
                </c:pt>
                <c:pt idx="111">
                  <c:v>119.0121779562328</c:v>
                </c:pt>
                <c:pt idx="112">
                  <c:v>119.8756581485074</c:v>
                </c:pt>
                <c:pt idx="113">
                  <c:v>120.7260838098875</c:v>
                </c:pt>
                <c:pt idx="114">
                  <c:v>121.5635640553153</c:v>
                </c:pt>
                <c:pt idx="115">
                  <c:v>122.3882111626412</c:v>
                </c:pt>
                <c:pt idx="116">
                  <c:v>123.2001403323428</c:v>
                </c:pt>
                <c:pt idx="117">
                  <c:v>123.9994694571578</c:v>
                </c:pt>
                <c:pt idx="118">
                  <c:v>124.7863189013368</c:v>
                </c:pt>
                <c:pt idx="119">
                  <c:v>125.5608112892266</c:v>
                </c:pt>
                <c:pt idx="120">
                  <c:v>126.323071302899</c:v>
                </c:pt>
                <c:pt idx="121">
                  <c:v>127.0732254885427</c:v>
                </c:pt>
                <c:pt idx="122">
                  <c:v>127.8114020713414</c:v>
                </c:pt>
                <c:pt idx="123">
                  <c:v>128.5377307785662</c:v>
                </c:pt>
                <c:pt idx="124">
                  <c:v>129.2523426706143</c:v>
                </c:pt>
                <c:pt idx="125">
                  <c:v>129.9553699797319</c:v>
                </c:pt>
                <c:pt idx="126">
                  <c:v>130.6469459561647</c:v>
                </c:pt>
                <c:pt idx="127">
                  <c:v>131.3272047214833</c:v>
                </c:pt>
                <c:pt idx="128">
                  <c:v>131.9962811288383</c:v>
                </c:pt>
                <c:pt idx="129">
                  <c:v>132.6543106299048</c:v>
                </c:pt>
                <c:pt idx="130">
                  <c:v>133.3014291482797</c:v>
                </c:pt>
                <c:pt idx="131">
                  <c:v>133.9377729591053</c:v>
                </c:pt>
                <c:pt idx="132">
                  <c:v>134.5634785746921</c:v>
                </c:pt>
                <c:pt idx="133">
                  <c:v>135.1786826359275</c:v>
                </c:pt>
                <c:pt idx="134">
                  <c:v>135.7835218092532</c:v>
                </c:pt>
                <c:pt idx="135">
                  <c:v>136.3781326890098</c:v>
                </c:pt>
                <c:pt idx="136">
                  <c:v>136.9626517049435</c:v>
                </c:pt>
                <c:pt idx="137">
                  <c:v>137.5372150346831</c:v>
                </c:pt>
                <c:pt idx="138">
                  <c:v>138.1019585209953</c:v>
                </c:pt>
                <c:pt idx="139">
                  <c:v>138.6570175936353</c:v>
                </c:pt>
                <c:pt idx="140">
                  <c:v>139.202527195614</c:v>
                </c:pt>
                <c:pt idx="141">
                  <c:v>139.7386217137076</c:v>
                </c:pt>
                <c:pt idx="142">
                  <c:v>140.265434913042</c:v>
                </c:pt>
                <c:pt idx="143">
                  <c:v>140.7830998755894</c:v>
                </c:pt>
                <c:pt idx="144">
                  <c:v>141.2917489424176</c:v>
                </c:pt>
                <c:pt idx="145">
                  <c:v>141.7915136595419</c:v>
                </c:pt>
                <c:pt idx="146">
                  <c:v>142.2825247272286</c:v>
                </c:pt>
                <c:pt idx="147">
                  <c:v>142.7649119526085</c:v>
                </c:pt>
                <c:pt idx="148">
                  <c:v>143.238804205462</c:v>
                </c:pt>
                <c:pt idx="149">
                  <c:v>143.7043293770408</c:v>
                </c:pt>
                <c:pt idx="150">
                  <c:v>144.1616143417985</c:v>
                </c:pt>
                <c:pt idx="151">
                  <c:v>144.6107849219023</c:v>
                </c:pt>
                <c:pt idx="152">
                  <c:v>145.0519658544084</c:v>
                </c:pt>
                <c:pt idx="153">
                  <c:v>145.485280760981</c:v>
                </c:pt>
                <c:pt idx="154">
                  <c:v>145.9108521200458</c:v>
                </c:pt>
                <c:pt idx="155">
                  <c:v>146.3288012412665</c:v>
                </c:pt>
                <c:pt idx="156">
                  <c:v>146.7392482422407</c:v>
                </c:pt>
                <c:pt idx="157">
                  <c:v>147.1423120273151</c:v>
                </c:pt>
                <c:pt idx="158">
                  <c:v>147.5381102684207</c:v>
                </c:pt>
                <c:pt idx="159">
                  <c:v>147.926759387836</c:v>
                </c:pt>
                <c:pt idx="160">
                  <c:v>148.3083745427871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'COLE2 forest types-live tree C '!$G$12</c:f>
              <c:strCache>
                <c:ptCount val="1"/>
                <c:pt idx="0">
                  <c:v>Let grow PPine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'!$B$13:$B$173</c:f>
              <c:numCache>
                <c:formatCode>General</c:formatCode>
                <c:ptCount val="161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  <c:pt idx="53">
                  <c:v>53.0</c:v>
                </c:pt>
                <c:pt idx="54">
                  <c:v>54.0</c:v>
                </c:pt>
                <c:pt idx="55">
                  <c:v>55.0</c:v>
                </c:pt>
                <c:pt idx="56">
                  <c:v>56.0</c:v>
                </c:pt>
                <c:pt idx="57">
                  <c:v>57.0</c:v>
                </c:pt>
                <c:pt idx="58">
                  <c:v>58.0</c:v>
                </c:pt>
                <c:pt idx="59">
                  <c:v>59.0</c:v>
                </c:pt>
                <c:pt idx="60">
                  <c:v>60.0</c:v>
                </c:pt>
                <c:pt idx="61">
                  <c:v>61.0</c:v>
                </c:pt>
                <c:pt idx="62">
                  <c:v>62.0</c:v>
                </c:pt>
                <c:pt idx="63">
                  <c:v>63.0</c:v>
                </c:pt>
                <c:pt idx="64">
                  <c:v>64.0</c:v>
                </c:pt>
                <c:pt idx="65">
                  <c:v>65.0</c:v>
                </c:pt>
                <c:pt idx="66">
                  <c:v>66.0</c:v>
                </c:pt>
                <c:pt idx="67">
                  <c:v>67.0</c:v>
                </c:pt>
                <c:pt idx="68">
                  <c:v>68.0</c:v>
                </c:pt>
                <c:pt idx="69">
                  <c:v>69.0</c:v>
                </c:pt>
                <c:pt idx="70">
                  <c:v>70.0</c:v>
                </c:pt>
                <c:pt idx="71">
                  <c:v>71.0</c:v>
                </c:pt>
                <c:pt idx="72">
                  <c:v>72.0</c:v>
                </c:pt>
                <c:pt idx="73">
                  <c:v>73.0</c:v>
                </c:pt>
                <c:pt idx="74">
                  <c:v>74.0</c:v>
                </c:pt>
                <c:pt idx="75">
                  <c:v>75.0</c:v>
                </c:pt>
                <c:pt idx="76">
                  <c:v>76.0</c:v>
                </c:pt>
                <c:pt idx="77">
                  <c:v>77.0</c:v>
                </c:pt>
                <c:pt idx="78">
                  <c:v>78.0</c:v>
                </c:pt>
                <c:pt idx="79">
                  <c:v>79.0</c:v>
                </c:pt>
                <c:pt idx="80">
                  <c:v>80.0</c:v>
                </c:pt>
                <c:pt idx="81">
                  <c:v>81.0</c:v>
                </c:pt>
                <c:pt idx="82">
                  <c:v>82.0</c:v>
                </c:pt>
                <c:pt idx="83">
                  <c:v>83.0</c:v>
                </c:pt>
                <c:pt idx="84">
                  <c:v>84.0</c:v>
                </c:pt>
                <c:pt idx="85">
                  <c:v>85.0</c:v>
                </c:pt>
                <c:pt idx="86">
                  <c:v>86.0</c:v>
                </c:pt>
                <c:pt idx="87">
                  <c:v>87.0</c:v>
                </c:pt>
                <c:pt idx="88">
                  <c:v>88.0</c:v>
                </c:pt>
                <c:pt idx="89">
                  <c:v>89.0</c:v>
                </c:pt>
                <c:pt idx="90">
                  <c:v>90.0</c:v>
                </c:pt>
                <c:pt idx="91">
                  <c:v>91.0</c:v>
                </c:pt>
                <c:pt idx="92">
                  <c:v>92.0</c:v>
                </c:pt>
                <c:pt idx="93">
                  <c:v>93.0</c:v>
                </c:pt>
                <c:pt idx="94">
                  <c:v>94.0</c:v>
                </c:pt>
                <c:pt idx="95">
                  <c:v>95.0</c:v>
                </c:pt>
                <c:pt idx="96">
                  <c:v>96.0</c:v>
                </c:pt>
                <c:pt idx="97">
                  <c:v>97.0</c:v>
                </c:pt>
                <c:pt idx="98">
                  <c:v>98.0</c:v>
                </c:pt>
                <c:pt idx="99">
                  <c:v>99.0</c:v>
                </c:pt>
                <c:pt idx="100">
                  <c:v>100.0</c:v>
                </c:pt>
                <c:pt idx="101">
                  <c:v>101.0</c:v>
                </c:pt>
                <c:pt idx="102">
                  <c:v>102.0</c:v>
                </c:pt>
                <c:pt idx="103">
                  <c:v>103.0</c:v>
                </c:pt>
                <c:pt idx="104">
                  <c:v>104.0</c:v>
                </c:pt>
                <c:pt idx="105">
                  <c:v>105.0</c:v>
                </c:pt>
                <c:pt idx="106">
                  <c:v>106.0</c:v>
                </c:pt>
                <c:pt idx="107">
                  <c:v>107.0</c:v>
                </c:pt>
                <c:pt idx="108">
                  <c:v>108.0</c:v>
                </c:pt>
                <c:pt idx="109">
                  <c:v>109.0</c:v>
                </c:pt>
                <c:pt idx="110">
                  <c:v>110.0</c:v>
                </c:pt>
                <c:pt idx="111">
                  <c:v>111.0</c:v>
                </c:pt>
                <c:pt idx="112">
                  <c:v>112.0</c:v>
                </c:pt>
                <c:pt idx="113">
                  <c:v>113.0</c:v>
                </c:pt>
                <c:pt idx="114">
                  <c:v>114.0</c:v>
                </c:pt>
                <c:pt idx="115">
                  <c:v>115.0</c:v>
                </c:pt>
                <c:pt idx="116">
                  <c:v>116.0</c:v>
                </c:pt>
                <c:pt idx="117">
                  <c:v>117.0</c:v>
                </c:pt>
                <c:pt idx="118">
                  <c:v>118.0</c:v>
                </c:pt>
                <c:pt idx="119">
                  <c:v>119.0</c:v>
                </c:pt>
                <c:pt idx="120">
                  <c:v>120.0</c:v>
                </c:pt>
                <c:pt idx="121">
                  <c:v>121.0</c:v>
                </c:pt>
                <c:pt idx="122">
                  <c:v>122.0</c:v>
                </c:pt>
                <c:pt idx="123">
                  <c:v>123.0</c:v>
                </c:pt>
                <c:pt idx="124">
                  <c:v>124.0</c:v>
                </c:pt>
                <c:pt idx="125">
                  <c:v>125.0</c:v>
                </c:pt>
                <c:pt idx="126">
                  <c:v>126.0</c:v>
                </c:pt>
                <c:pt idx="127">
                  <c:v>127.0</c:v>
                </c:pt>
                <c:pt idx="128">
                  <c:v>128.0</c:v>
                </c:pt>
                <c:pt idx="129">
                  <c:v>129.0</c:v>
                </c:pt>
                <c:pt idx="130">
                  <c:v>130.0</c:v>
                </c:pt>
                <c:pt idx="131">
                  <c:v>131.0</c:v>
                </c:pt>
                <c:pt idx="132">
                  <c:v>132.0</c:v>
                </c:pt>
                <c:pt idx="133">
                  <c:v>133.0</c:v>
                </c:pt>
                <c:pt idx="134">
                  <c:v>134.0</c:v>
                </c:pt>
                <c:pt idx="135">
                  <c:v>135.0</c:v>
                </c:pt>
                <c:pt idx="136">
                  <c:v>136.0</c:v>
                </c:pt>
                <c:pt idx="137">
                  <c:v>137.0</c:v>
                </c:pt>
                <c:pt idx="138">
                  <c:v>138.0</c:v>
                </c:pt>
                <c:pt idx="139">
                  <c:v>139.0</c:v>
                </c:pt>
                <c:pt idx="140">
                  <c:v>140.0</c:v>
                </c:pt>
                <c:pt idx="141">
                  <c:v>141.0</c:v>
                </c:pt>
                <c:pt idx="142">
                  <c:v>142.0</c:v>
                </c:pt>
                <c:pt idx="143">
                  <c:v>143.0</c:v>
                </c:pt>
                <c:pt idx="144">
                  <c:v>144.0</c:v>
                </c:pt>
                <c:pt idx="145">
                  <c:v>145.0</c:v>
                </c:pt>
                <c:pt idx="146">
                  <c:v>146.0</c:v>
                </c:pt>
                <c:pt idx="147">
                  <c:v>147.0</c:v>
                </c:pt>
                <c:pt idx="148">
                  <c:v>148.0</c:v>
                </c:pt>
                <c:pt idx="149">
                  <c:v>149.0</c:v>
                </c:pt>
                <c:pt idx="150">
                  <c:v>150.0</c:v>
                </c:pt>
                <c:pt idx="151">
                  <c:v>151.0</c:v>
                </c:pt>
                <c:pt idx="152">
                  <c:v>152.0</c:v>
                </c:pt>
                <c:pt idx="153">
                  <c:v>153.0</c:v>
                </c:pt>
                <c:pt idx="154">
                  <c:v>154.0</c:v>
                </c:pt>
                <c:pt idx="155">
                  <c:v>155.0</c:v>
                </c:pt>
                <c:pt idx="156">
                  <c:v>156.0</c:v>
                </c:pt>
                <c:pt idx="157">
                  <c:v>157.0</c:v>
                </c:pt>
                <c:pt idx="158">
                  <c:v>158.0</c:v>
                </c:pt>
                <c:pt idx="159">
                  <c:v>159.0</c:v>
                </c:pt>
                <c:pt idx="160">
                  <c:v>160.0</c:v>
                </c:pt>
              </c:numCache>
            </c:numRef>
          </c:cat>
          <c:val>
            <c:numRef>
              <c:f>'COLE2 forest types-live tree C '!$G$13:$G$173</c:f>
              <c:numCache>
                <c:formatCode>0</c:formatCode>
                <c:ptCount val="161"/>
                <c:pt idx="0">
                  <c:v>0.0</c:v>
                </c:pt>
                <c:pt idx="1">
                  <c:v>0.00529543315093321</c:v>
                </c:pt>
                <c:pt idx="2">
                  <c:v>0.039920352483699</c:v>
                </c:pt>
                <c:pt idx="3">
                  <c:v>0.127011982473438</c:v>
                </c:pt>
                <c:pt idx="4">
                  <c:v>0.283929845031608</c:v>
                </c:pt>
                <c:pt idx="5">
                  <c:v>0.523196365702608</c:v>
                </c:pt>
                <c:pt idx="6">
                  <c:v>0.853307296972173</c:v>
                </c:pt>
                <c:pt idx="7">
                  <c:v>1.279428579016562</c:v>
                </c:pt>
                <c:pt idx="8">
                  <c:v>1.803994230111283</c:v>
                </c:pt>
                <c:pt idx="9">
                  <c:v>2.427218071682171</c:v>
                </c:pt>
                <c:pt idx="10">
                  <c:v>3.147530518490732</c:v>
                </c:pt>
                <c:pt idx="11">
                  <c:v>3.961950277820613</c:v>
                </c:pt>
                <c:pt idx="12">
                  <c:v>4.866399580769708</c:v>
                </c:pt>
                <c:pt idx="13">
                  <c:v>5.855970494396955</c:v>
                </c:pt>
                <c:pt idx="14">
                  <c:v>6.925148918321895</c:v>
                </c:pt>
                <c:pt idx="15">
                  <c:v>8.068002038221493</c:v>
                </c:pt>
                <c:pt idx="16">
                  <c:v>9.278334278071605</c:v>
                </c:pt>
                <c:pt idx="17">
                  <c:v>10.54981615105994</c:v>
                </c:pt>
                <c:pt idx="18">
                  <c:v>11.87608984535758</c:v>
                </c:pt>
                <c:pt idx="19">
                  <c:v>13.25085488610354</c:v>
                </c:pt>
                <c:pt idx="20">
                  <c:v>14.66793678083937</c:v>
                </c:pt>
                <c:pt idx="21">
                  <c:v>16.12134117499531</c:v>
                </c:pt>
                <c:pt idx="22">
                  <c:v>17.60529571048701</c:v>
                </c:pt>
                <c:pt idx="23">
                  <c:v>19.11428148839374</c:v>
                </c:pt>
                <c:pt idx="24">
                  <c:v>20.64305578107804</c:v>
                </c:pt>
                <c:pt idx="25">
                  <c:v>22.18666741558053</c:v>
                </c:pt>
                <c:pt idx="26">
                  <c:v>23.74046605480687</c:v>
                </c:pt>
                <c:pt idx="27">
                  <c:v>25.30010643250085</c:v>
                </c:pt>
                <c:pt idx="28">
                  <c:v>26.8615484492515</c:v>
                </c:pt>
                <c:pt idx="29">
                  <c:v>28.42105390716035</c:v>
                </c:pt>
                <c:pt idx="30">
                  <c:v>29.9751805479523</c:v>
                </c:pt>
                <c:pt idx="31">
                  <c:v>31.52077396119134</c:v>
                </c:pt>
                <c:pt idx="32">
                  <c:v>33.05495784403992</c:v>
                </c:pt>
                <c:pt idx="33">
                  <c:v>34.5751230200828</c:v>
                </c:pt>
                <c:pt idx="34">
                  <c:v>36.07891556071104</c:v>
                </c:pt>
                <c:pt idx="35">
                  <c:v>37.56422429719454</c:v>
                </c:pt>
                <c:pt idx="36">
                  <c:v>39.02916796376993</c:v>
                </c:pt>
                <c:pt idx="37">
                  <c:v>40.4720821708794</c:v>
                </c:pt>
                <c:pt idx="38">
                  <c:v>41.89150637227291</c:v>
                </c:pt>
                <c:pt idx="39">
                  <c:v>43.28617095929218</c:v>
                </c:pt>
                <c:pt idx="40">
                  <c:v>44.65498458964156</c:v>
                </c:pt>
                <c:pt idx="41">
                  <c:v>45.99702183574933</c:v>
                </c:pt>
                <c:pt idx="42">
                  <c:v>47.31151121893365</c:v>
                </c:pt>
                <c:pt idx="43">
                  <c:v>48.59782367957332</c:v>
                </c:pt>
                <c:pt idx="44">
                  <c:v>49.85546151996193</c:v>
                </c:pt>
                <c:pt idx="45">
                  <c:v>51.08404784515896</c:v>
                </c:pt>
                <c:pt idx="46">
                  <c:v>52.28331651765013</c:v>
                </c:pt>
                <c:pt idx="47">
                  <c:v>53.45310263373632</c:v>
                </c:pt>
                <c:pt idx="48">
                  <c:v>54.59333352306086</c:v>
                </c:pt>
                <c:pt idx="49">
                  <c:v>55.70402026736343</c:v>
                </c:pt>
                <c:pt idx="50">
                  <c:v>56.78524973024868</c:v>
                </c:pt>
                <c:pt idx="51">
                  <c:v>57.83717708632444</c:v>
                </c:pt>
                <c:pt idx="52">
                  <c:v>58.86001883537671</c:v>
                </c:pt>
                <c:pt idx="53">
                  <c:v>59.85404628518835</c:v>
                </c:pt>
                <c:pt idx="54">
                  <c:v>60.8195794850827</c:v>
                </c:pt>
                <c:pt idx="55">
                  <c:v>61.75698159119617</c:v>
                </c:pt>
                <c:pt idx="56">
                  <c:v>62.6666536437832</c:v>
                </c:pt>
                <c:pt idx="57">
                  <c:v>63.54902973646907</c:v>
                </c:pt>
                <c:pt idx="58">
                  <c:v>64.40457255723975</c:v>
                </c:pt>
                <c:pt idx="59">
                  <c:v>65.2337692810416</c:v>
                </c:pt>
                <c:pt idx="60">
                  <c:v>66.03712779412397</c:v>
                </c:pt>
                <c:pt idx="61">
                  <c:v>66.81517323065304</c:v>
                </c:pt>
                <c:pt idx="62">
                  <c:v>67.568444802635</c:v>
                </c:pt>
                <c:pt idx="63">
                  <c:v>68.29749290477597</c:v>
                </c:pt>
                <c:pt idx="64">
                  <c:v>69.00287647656465</c:v>
                </c:pt>
                <c:pt idx="65">
                  <c:v>69.68516060456403</c:v>
                </c:pt>
                <c:pt idx="66">
                  <c:v>70.3449143486339</c:v>
                </c:pt>
                <c:pt idx="67">
                  <c:v>70.98270877655656</c:v>
                </c:pt>
                <c:pt idx="68">
                  <c:v>71.59911519230041</c:v>
                </c:pt>
                <c:pt idx="69">
                  <c:v>72.1947035439161</c:v>
                </c:pt>
                <c:pt idx="70">
                  <c:v>72.77004099781429</c:v>
                </c:pt>
                <c:pt idx="71">
                  <c:v>73.32569066691433</c:v>
                </c:pt>
                <c:pt idx="72">
                  <c:v>73.86221048087816</c:v>
                </c:pt>
                <c:pt idx="73">
                  <c:v>74.38015218734608</c:v>
                </c:pt>
                <c:pt idx="74">
                  <c:v>74.88006047377122</c:v>
                </c:pt>
                <c:pt idx="75">
                  <c:v>75.36247220010463</c:v>
                </c:pt>
                <c:pt idx="76">
                  <c:v>75.82791573320974</c:v>
                </c:pt>
                <c:pt idx="77">
                  <c:v>76.27691037448565</c:v>
                </c:pt>
                <c:pt idx="78">
                  <c:v>76.70996587275144</c:v>
                </c:pt>
                <c:pt idx="79">
                  <c:v>77.12758201498585</c:v>
                </c:pt>
                <c:pt idx="80">
                  <c:v>77.53024828803438</c:v>
                </c:pt>
                <c:pt idx="81">
                  <c:v>77.91844360488246</c:v>
                </c:pt>
                <c:pt idx="82">
                  <c:v>78.29263608955488</c:v>
                </c:pt>
                <c:pt idx="83">
                  <c:v>78.65328291513532</c:v>
                </c:pt>
                <c:pt idx="84">
                  <c:v>79.00083018981007</c:v>
                </c:pt>
                <c:pt idx="85">
                  <c:v>79.33571288622173</c:v>
                </c:pt>
                <c:pt idx="86">
                  <c:v>79.65835480978035</c:v>
                </c:pt>
                <c:pt idx="87">
                  <c:v>79.969168601917</c:v>
                </c:pt>
                <c:pt idx="88">
                  <c:v>80.26855577457831</c:v>
                </c:pt>
                <c:pt idx="89">
                  <c:v>80.55690677255792</c:v>
                </c:pt>
                <c:pt idx="90">
                  <c:v>80.83460106053325</c:v>
                </c:pt>
                <c:pt idx="91">
                  <c:v>81.10200723193434</c:v>
                </c:pt>
                <c:pt idx="92">
                  <c:v>81.35948313700867</c:v>
                </c:pt>
                <c:pt idx="93">
                  <c:v>81.60737602766868</c:v>
                </c:pt>
                <c:pt idx="94">
                  <c:v>81.84602271691436</c:v>
                </c:pt>
                <c:pt idx="95">
                  <c:v>82.07574975081495</c:v>
                </c:pt>
                <c:pt idx="96">
                  <c:v>82.29687359121062</c:v>
                </c:pt>
                <c:pt idx="97">
                  <c:v>82.50970080746025</c:v>
                </c:pt>
                <c:pt idx="98">
                  <c:v>82.71452827571238</c:v>
                </c:pt>
                <c:pt idx="99">
                  <c:v>82.9116433843179</c:v>
                </c:pt>
                <c:pt idx="100">
                  <c:v>83.1013242441325</c:v>
                </c:pt>
                <c:pt idx="101">
                  <c:v>83.28383990257653</c:v>
                </c:pt>
                <c:pt idx="102">
                  <c:v>83.45945056043081</c:v>
                </c:pt>
                <c:pt idx="103">
                  <c:v>83.628407790449</c:v>
                </c:pt>
                <c:pt idx="104">
                  <c:v>83.79095475695944</c:v>
                </c:pt>
                <c:pt idx="105">
                  <c:v>83.94732643571715</c:v>
                </c:pt>
                <c:pt idx="106">
                  <c:v>84.09774983334496</c:v>
                </c:pt>
                <c:pt idx="107">
                  <c:v>84.24244420577488</c:v>
                </c:pt>
                <c:pt idx="108">
                  <c:v>84.38162127516862</c:v>
                </c:pt>
                <c:pt idx="109">
                  <c:v>84.51548544485548</c:v>
                </c:pt>
                <c:pt idx="110">
                  <c:v>84.64423401188337</c:v>
                </c:pt>
                <c:pt idx="111">
                  <c:v>84.7680573768277</c:v>
                </c:pt>
                <c:pt idx="112">
                  <c:v>84.88713925055102</c:v>
                </c:pt>
                <c:pt idx="113">
                  <c:v>85.00165685764756</c:v>
                </c:pt>
                <c:pt idx="114">
                  <c:v>85.11178113634594</c:v>
                </c:pt>
                <c:pt idx="115">
                  <c:v>85.21767693467786</c:v>
                </c:pt>
                <c:pt idx="116">
                  <c:v>85.31950320275314</c:v>
                </c:pt>
                <c:pt idx="117">
                  <c:v>85.41741318100923</c:v>
                </c:pt>
                <c:pt idx="118">
                  <c:v>85.51155458433063</c:v>
                </c:pt>
                <c:pt idx="119">
                  <c:v>85.6020697819559</c:v>
                </c:pt>
                <c:pt idx="120">
                  <c:v>85.68909597311227</c:v>
                </c:pt>
                <c:pt idx="121">
                  <c:v>85.77276535833654</c:v>
                </c:pt>
                <c:pt idx="122">
                  <c:v>85.85320530645737</c:v>
                </c:pt>
                <c:pt idx="123">
                  <c:v>85.93053851723101</c:v>
                </c:pt>
                <c:pt idx="124">
                  <c:v>86.00488317963422</c:v>
                </c:pt>
                <c:pt idx="125">
                  <c:v>86.07635312583218</c:v>
                </c:pt>
                <c:pt idx="126">
                  <c:v>86.1450579808483</c:v>
                </c:pt>
                <c:pt idx="127">
                  <c:v>86.21110330797372</c:v>
                </c:pt>
                <c:pt idx="128">
                  <c:v>86.2745907499619</c:v>
                </c:pt>
                <c:pt idx="129">
                  <c:v>86.33561816606078</c:v>
                </c:pt>
                <c:pt idx="130">
                  <c:v>86.39427976494248</c:v>
                </c:pt>
                <c:pt idx="131">
                  <c:v>86.45066623359459</c:v>
                </c:pt>
                <c:pt idx="132">
                  <c:v>86.50486486224288</c:v>
                </c:pt>
                <c:pt idx="133">
                  <c:v>86.55695966537845</c:v>
                </c:pt>
                <c:pt idx="134">
                  <c:v>86.60703149896632</c:v>
                </c:pt>
                <c:pt idx="135">
                  <c:v>86.65515817391466</c:v>
                </c:pt>
                <c:pt idx="136">
                  <c:v>86.70141456588633</c:v>
                </c:pt>
                <c:pt idx="137">
                  <c:v>86.7458727215359</c:v>
                </c:pt>
                <c:pt idx="138">
                  <c:v>86.78860196125702</c:v>
                </c:pt>
                <c:pt idx="139">
                  <c:v>86.82966897852529</c:v>
                </c:pt>
                <c:pt idx="140">
                  <c:v>86.86913793592251</c:v>
                </c:pt>
                <c:pt idx="141">
                  <c:v>86.90707055792933</c:v>
                </c:pt>
                <c:pt idx="142">
                  <c:v>86.94352622057125</c:v>
                </c:pt>
                <c:pt idx="143">
                  <c:v>86.97856203800484</c:v>
                </c:pt>
                <c:pt idx="144">
                  <c:v>87.01223294612895</c:v>
                </c:pt>
                <c:pt idx="145">
                  <c:v>87.0445917833057</c:v>
                </c:pt>
                <c:pt idx="146">
                  <c:v>87.07568936827517</c:v>
                </c:pt>
                <c:pt idx="147">
                  <c:v>87.10557457534595</c:v>
                </c:pt>
                <c:pt idx="148">
                  <c:v>87.13429440694365</c:v>
                </c:pt>
                <c:pt idx="149">
                  <c:v>87.16189406359734</c:v>
                </c:pt>
                <c:pt idx="150">
                  <c:v>87.18841701144281</c:v>
                </c:pt>
                <c:pt idx="151">
                  <c:v>87.21390504732006</c:v>
                </c:pt>
                <c:pt idx="152">
                  <c:v>87.23839836154121</c:v>
                </c:pt>
                <c:pt idx="153">
                  <c:v>87.26193559840255</c:v>
                </c:pt>
                <c:pt idx="154">
                  <c:v>87.2845539145144</c:v>
                </c:pt>
                <c:pt idx="155">
                  <c:v>87.30628903501857</c:v>
                </c:pt>
                <c:pt idx="156">
                  <c:v>87.32717530776429</c:v>
                </c:pt>
                <c:pt idx="157">
                  <c:v>87.34724575550886</c:v>
                </c:pt>
                <c:pt idx="158">
                  <c:v>87.36653212621026</c:v>
                </c:pt>
                <c:pt idx="159">
                  <c:v>87.38506494147475</c:v>
                </c:pt>
                <c:pt idx="160">
                  <c:v>87.40287354322334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'COLE2 forest types-live tree C '!$I$12</c:f>
              <c:strCache>
                <c:ptCount val="1"/>
                <c:pt idx="0">
                  <c:v>Let grow Redwood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'!$B$13:$B$173</c:f>
              <c:numCache>
                <c:formatCode>General</c:formatCode>
                <c:ptCount val="161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  <c:pt idx="53">
                  <c:v>53.0</c:v>
                </c:pt>
                <c:pt idx="54">
                  <c:v>54.0</c:v>
                </c:pt>
                <c:pt idx="55">
                  <c:v>55.0</c:v>
                </c:pt>
                <c:pt idx="56">
                  <c:v>56.0</c:v>
                </c:pt>
                <c:pt idx="57">
                  <c:v>57.0</c:v>
                </c:pt>
                <c:pt idx="58">
                  <c:v>58.0</c:v>
                </c:pt>
                <c:pt idx="59">
                  <c:v>59.0</c:v>
                </c:pt>
                <c:pt idx="60">
                  <c:v>60.0</c:v>
                </c:pt>
                <c:pt idx="61">
                  <c:v>61.0</c:v>
                </c:pt>
                <c:pt idx="62">
                  <c:v>62.0</c:v>
                </c:pt>
                <c:pt idx="63">
                  <c:v>63.0</c:v>
                </c:pt>
                <c:pt idx="64">
                  <c:v>64.0</c:v>
                </c:pt>
                <c:pt idx="65">
                  <c:v>65.0</c:v>
                </c:pt>
                <c:pt idx="66">
                  <c:v>66.0</c:v>
                </c:pt>
                <c:pt idx="67">
                  <c:v>67.0</c:v>
                </c:pt>
                <c:pt idx="68">
                  <c:v>68.0</c:v>
                </c:pt>
                <c:pt idx="69">
                  <c:v>69.0</c:v>
                </c:pt>
                <c:pt idx="70">
                  <c:v>70.0</c:v>
                </c:pt>
                <c:pt idx="71">
                  <c:v>71.0</c:v>
                </c:pt>
                <c:pt idx="72">
                  <c:v>72.0</c:v>
                </c:pt>
                <c:pt idx="73">
                  <c:v>73.0</c:v>
                </c:pt>
                <c:pt idx="74">
                  <c:v>74.0</c:v>
                </c:pt>
                <c:pt idx="75">
                  <c:v>75.0</c:v>
                </c:pt>
                <c:pt idx="76">
                  <c:v>76.0</c:v>
                </c:pt>
                <c:pt idx="77">
                  <c:v>77.0</c:v>
                </c:pt>
                <c:pt idx="78">
                  <c:v>78.0</c:v>
                </c:pt>
                <c:pt idx="79">
                  <c:v>79.0</c:v>
                </c:pt>
                <c:pt idx="80">
                  <c:v>80.0</c:v>
                </c:pt>
                <c:pt idx="81">
                  <c:v>81.0</c:v>
                </c:pt>
                <c:pt idx="82">
                  <c:v>82.0</c:v>
                </c:pt>
                <c:pt idx="83">
                  <c:v>83.0</c:v>
                </c:pt>
                <c:pt idx="84">
                  <c:v>84.0</c:v>
                </c:pt>
                <c:pt idx="85">
                  <c:v>85.0</c:v>
                </c:pt>
                <c:pt idx="86">
                  <c:v>86.0</c:v>
                </c:pt>
                <c:pt idx="87">
                  <c:v>87.0</c:v>
                </c:pt>
                <c:pt idx="88">
                  <c:v>88.0</c:v>
                </c:pt>
                <c:pt idx="89">
                  <c:v>89.0</c:v>
                </c:pt>
                <c:pt idx="90">
                  <c:v>90.0</c:v>
                </c:pt>
                <c:pt idx="91">
                  <c:v>91.0</c:v>
                </c:pt>
                <c:pt idx="92">
                  <c:v>92.0</c:v>
                </c:pt>
                <c:pt idx="93">
                  <c:v>93.0</c:v>
                </c:pt>
                <c:pt idx="94">
                  <c:v>94.0</c:v>
                </c:pt>
                <c:pt idx="95">
                  <c:v>95.0</c:v>
                </c:pt>
                <c:pt idx="96">
                  <c:v>96.0</c:v>
                </c:pt>
                <c:pt idx="97">
                  <c:v>97.0</c:v>
                </c:pt>
                <c:pt idx="98">
                  <c:v>98.0</c:v>
                </c:pt>
                <c:pt idx="99">
                  <c:v>99.0</c:v>
                </c:pt>
                <c:pt idx="100">
                  <c:v>100.0</c:v>
                </c:pt>
                <c:pt idx="101">
                  <c:v>101.0</c:v>
                </c:pt>
                <c:pt idx="102">
                  <c:v>102.0</c:v>
                </c:pt>
                <c:pt idx="103">
                  <c:v>103.0</c:v>
                </c:pt>
                <c:pt idx="104">
                  <c:v>104.0</c:v>
                </c:pt>
                <c:pt idx="105">
                  <c:v>105.0</c:v>
                </c:pt>
                <c:pt idx="106">
                  <c:v>106.0</c:v>
                </c:pt>
                <c:pt idx="107">
                  <c:v>107.0</c:v>
                </c:pt>
                <c:pt idx="108">
                  <c:v>108.0</c:v>
                </c:pt>
                <c:pt idx="109">
                  <c:v>109.0</c:v>
                </c:pt>
                <c:pt idx="110">
                  <c:v>110.0</c:v>
                </c:pt>
                <c:pt idx="111">
                  <c:v>111.0</c:v>
                </c:pt>
                <c:pt idx="112">
                  <c:v>112.0</c:v>
                </c:pt>
                <c:pt idx="113">
                  <c:v>113.0</c:v>
                </c:pt>
                <c:pt idx="114">
                  <c:v>114.0</c:v>
                </c:pt>
                <c:pt idx="115">
                  <c:v>115.0</c:v>
                </c:pt>
                <c:pt idx="116">
                  <c:v>116.0</c:v>
                </c:pt>
                <c:pt idx="117">
                  <c:v>117.0</c:v>
                </c:pt>
                <c:pt idx="118">
                  <c:v>118.0</c:v>
                </c:pt>
                <c:pt idx="119">
                  <c:v>119.0</c:v>
                </c:pt>
                <c:pt idx="120">
                  <c:v>120.0</c:v>
                </c:pt>
                <c:pt idx="121">
                  <c:v>121.0</c:v>
                </c:pt>
                <c:pt idx="122">
                  <c:v>122.0</c:v>
                </c:pt>
                <c:pt idx="123">
                  <c:v>123.0</c:v>
                </c:pt>
                <c:pt idx="124">
                  <c:v>124.0</c:v>
                </c:pt>
                <c:pt idx="125">
                  <c:v>125.0</c:v>
                </c:pt>
                <c:pt idx="126">
                  <c:v>126.0</c:v>
                </c:pt>
                <c:pt idx="127">
                  <c:v>127.0</c:v>
                </c:pt>
                <c:pt idx="128">
                  <c:v>128.0</c:v>
                </c:pt>
                <c:pt idx="129">
                  <c:v>129.0</c:v>
                </c:pt>
                <c:pt idx="130">
                  <c:v>130.0</c:v>
                </c:pt>
                <c:pt idx="131">
                  <c:v>131.0</c:v>
                </c:pt>
                <c:pt idx="132">
                  <c:v>132.0</c:v>
                </c:pt>
                <c:pt idx="133">
                  <c:v>133.0</c:v>
                </c:pt>
                <c:pt idx="134">
                  <c:v>134.0</c:v>
                </c:pt>
                <c:pt idx="135">
                  <c:v>135.0</c:v>
                </c:pt>
                <c:pt idx="136">
                  <c:v>136.0</c:v>
                </c:pt>
                <c:pt idx="137">
                  <c:v>137.0</c:v>
                </c:pt>
                <c:pt idx="138">
                  <c:v>138.0</c:v>
                </c:pt>
                <c:pt idx="139">
                  <c:v>139.0</c:v>
                </c:pt>
                <c:pt idx="140">
                  <c:v>140.0</c:v>
                </c:pt>
                <c:pt idx="141">
                  <c:v>141.0</c:v>
                </c:pt>
                <c:pt idx="142">
                  <c:v>142.0</c:v>
                </c:pt>
                <c:pt idx="143">
                  <c:v>143.0</c:v>
                </c:pt>
                <c:pt idx="144">
                  <c:v>144.0</c:v>
                </c:pt>
                <c:pt idx="145">
                  <c:v>145.0</c:v>
                </c:pt>
                <c:pt idx="146">
                  <c:v>146.0</c:v>
                </c:pt>
                <c:pt idx="147">
                  <c:v>147.0</c:v>
                </c:pt>
                <c:pt idx="148">
                  <c:v>148.0</c:v>
                </c:pt>
                <c:pt idx="149">
                  <c:v>149.0</c:v>
                </c:pt>
                <c:pt idx="150">
                  <c:v>150.0</c:v>
                </c:pt>
                <c:pt idx="151">
                  <c:v>151.0</c:v>
                </c:pt>
                <c:pt idx="152">
                  <c:v>152.0</c:v>
                </c:pt>
                <c:pt idx="153">
                  <c:v>153.0</c:v>
                </c:pt>
                <c:pt idx="154">
                  <c:v>154.0</c:v>
                </c:pt>
                <c:pt idx="155">
                  <c:v>155.0</c:v>
                </c:pt>
                <c:pt idx="156">
                  <c:v>156.0</c:v>
                </c:pt>
                <c:pt idx="157">
                  <c:v>157.0</c:v>
                </c:pt>
                <c:pt idx="158">
                  <c:v>158.0</c:v>
                </c:pt>
                <c:pt idx="159">
                  <c:v>159.0</c:v>
                </c:pt>
                <c:pt idx="160">
                  <c:v>160.0</c:v>
                </c:pt>
              </c:numCache>
            </c:numRef>
          </c:cat>
          <c:val>
            <c:numRef>
              <c:f>'COLE2 forest types-live tree C '!$I$13:$I$173</c:f>
              <c:numCache>
                <c:formatCode>0</c:formatCode>
                <c:ptCount val="161"/>
                <c:pt idx="0">
                  <c:v>0.0</c:v>
                </c:pt>
                <c:pt idx="1">
                  <c:v>0.00360674411297591</c:v>
                </c:pt>
                <c:pt idx="2">
                  <c:v>0.0280053901441942</c:v>
                </c:pt>
                <c:pt idx="3">
                  <c:v>0.0917476900719399</c:v>
                </c:pt>
                <c:pt idx="4">
                  <c:v>0.211122492558087</c:v>
                </c:pt>
                <c:pt idx="5">
                  <c:v>0.400341963622324</c:v>
                </c:pt>
                <c:pt idx="6">
                  <c:v>0.67171466823811</c:v>
                </c:pt>
                <c:pt idx="7">
                  <c:v>1.035806371141445</c:v>
                </c:pt>
                <c:pt idx="8">
                  <c:v>1.501589361446192</c:v>
                </c:pt>
                <c:pt idx="9">
                  <c:v>2.076581055236282</c:v>
                </c:pt>
                <c:pt idx="10">
                  <c:v>2.766972582959316</c:v>
                </c:pt>
                <c:pt idx="11">
                  <c:v>3.577748023992936</c:v>
                </c:pt>
                <c:pt idx="12">
                  <c:v>4.512794909021207</c:v>
                </c:pt>
                <c:pt idx="13">
                  <c:v>5.575006571679594</c:v>
                </c:pt>
                <c:pt idx="14">
                  <c:v>6.76637689415009</c:v>
                </c:pt>
                <c:pt idx="15">
                  <c:v>8.088087956868516</c:v>
                </c:pt>
                <c:pt idx="16">
                  <c:v>9.540591070106971</c:v>
                </c:pt>
                <c:pt idx="17">
                  <c:v>11.12368163478942</c:v>
                </c:pt>
                <c:pt idx="18">
                  <c:v>12.83656825136558</c:v>
                </c:pt>
                <c:pt idx="19">
                  <c:v>14.67793646879629</c:v>
                </c:pt>
                <c:pt idx="20">
                  <c:v>16.64600754058367</c:v>
                </c:pt>
                <c:pt idx="21">
                  <c:v>18.73859253121471</c:v>
                </c:pt>
                <c:pt idx="22">
                  <c:v>20.95314209428012</c:v>
                </c:pt>
                <c:pt idx="23">
                  <c:v>23.28679222279592</c:v>
                </c:pt>
                <c:pt idx="24">
                  <c:v>25.73640625280701</c:v>
                </c:pt>
                <c:pt idx="25">
                  <c:v>28.29861338311595</c:v>
                </c:pt>
                <c:pt idx="26">
                  <c:v>30.96984395687734</c:v>
                </c:pt>
                <c:pt idx="27">
                  <c:v>33.74636173476556</c:v>
                </c:pt>
                <c:pt idx="28">
                  <c:v>36.62429337439021</c:v>
                </c:pt>
                <c:pt idx="29">
                  <c:v>39.59965531654444</c:v>
                </c:pt>
                <c:pt idx="30">
                  <c:v>42.6683782656625</c:v>
                </c:pt>
                <c:pt idx="31">
                  <c:v>45.82632943948667</c:v>
                </c:pt>
                <c:pt idx="32">
                  <c:v>49.06933275134522</c:v>
                </c:pt>
                <c:pt idx="33">
                  <c:v>52.3931870775755</c:v>
                </c:pt>
                <c:pt idx="34">
                  <c:v>55.79368275244646</c:v>
                </c:pt>
                <c:pt idx="35">
                  <c:v>59.26661642339928</c:v>
                </c:pt>
                <c:pt idx="36">
                  <c:v>62.80780439049252</c:v>
                </c:pt>
                <c:pt idx="37">
                  <c:v>66.4130945455768</c:v>
                </c:pt>
                <c:pt idx="38">
                  <c:v>70.07837701889117</c:v>
                </c:pt>
                <c:pt idx="39">
                  <c:v>73.79959363344545</c:v>
                </c:pt>
                <c:pt idx="40">
                  <c:v>77.57274626068906</c:v>
                </c:pt>
                <c:pt idx="41">
                  <c:v>81.39390416454657</c:v>
                </c:pt>
                <c:pt idx="42">
                  <c:v>85.25921041489151</c:v>
                </c:pt>
                <c:pt idx="43">
                  <c:v>89.164887445909</c:v>
                </c:pt>
                <c:pt idx="44">
                  <c:v>93.10724182953938</c:v>
                </c:pt>
                <c:pt idx="45">
                  <c:v>97.08266832927738</c:v>
                </c:pt>
                <c:pt idx="46">
                  <c:v>101.0876532950058</c:v>
                </c:pt>
                <c:pt idx="47">
                  <c:v>105.1187774552405</c:v>
                </c:pt>
                <c:pt idx="48">
                  <c:v>109.1727181591508</c:v>
                </c:pt>
                <c:pt idx="49">
                  <c:v>113.2462511169607</c:v>
                </c:pt>
                <c:pt idx="50">
                  <c:v>117.3362516838335</c:v>
                </c:pt>
                <c:pt idx="51">
                  <c:v>121.439695729062</c:v>
                </c:pt>
                <c:pt idx="52">
                  <c:v>125.5536601293321</c:v>
                </c:pt>
                <c:pt idx="53">
                  <c:v>129.6753229219661</c:v>
                </c:pt>
                <c:pt idx="54">
                  <c:v>133.801963151392</c:v>
                </c:pt>
                <c:pt idx="55">
                  <c:v>137.930960439592</c:v>
                </c:pt>
                <c:pt idx="56">
                  <c:v>142.0597943089684</c:v>
                </c:pt>
                <c:pt idx="57">
                  <c:v>146.1860432838953</c:v>
                </c:pt>
                <c:pt idx="58">
                  <c:v>150.3073837952111</c:v>
                </c:pt>
                <c:pt idx="59">
                  <c:v>154.4215889100255</c:v>
                </c:pt>
                <c:pt idx="60">
                  <c:v>158.5265269074595</c:v>
                </c:pt>
                <c:pt idx="61">
                  <c:v>162.6201597193073</c:v>
                </c:pt>
                <c:pt idx="62">
                  <c:v>166.7005412530901</c:v>
                </c:pt>
                <c:pt idx="63">
                  <c:v>170.7658156135539</c:v>
                </c:pt>
                <c:pt idx="64">
                  <c:v>174.8142152373491</c:v>
                </c:pt>
                <c:pt idx="65">
                  <c:v>178.8440589544064</c:v>
                </c:pt>
                <c:pt idx="66">
                  <c:v>182.853749988382</c:v>
                </c:pt>
                <c:pt idx="67">
                  <c:v>186.8417739074921</c:v>
                </c:pt>
                <c:pt idx="68">
                  <c:v>190.8066965360691</c:v>
                </c:pt>
                <c:pt idx="69">
                  <c:v>194.7471618362627</c:v>
                </c:pt>
                <c:pt idx="70">
                  <c:v>198.6618897684622</c:v>
                </c:pt>
                <c:pt idx="71">
                  <c:v>202.5496741382301</c:v>
                </c:pt>
                <c:pt idx="72">
                  <c:v>206.4093804368092</c:v>
                </c:pt>
                <c:pt idx="73">
                  <c:v>210.2399436815926</c:v>
                </c:pt>
                <c:pt idx="74">
                  <c:v>214.0403662623182</c:v>
                </c:pt>
                <c:pt idx="75">
                  <c:v>217.8097157981739</c:v>
                </c:pt>
                <c:pt idx="76">
                  <c:v>221.5471230104665</c:v>
                </c:pt>
                <c:pt idx="77">
                  <c:v>225.2517796150081</c:v>
                </c:pt>
                <c:pt idx="78">
                  <c:v>228.9229362379232</c:v>
                </c:pt>
                <c:pt idx="79">
                  <c:v>232.5599003581572</c:v>
                </c:pt>
                <c:pt idx="80">
                  <c:v>236.1620342795764</c:v>
                </c:pt>
                <c:pt idx="81">
                  <c:v>239.7287531351962</c:v>
                </c:pt>
                <c:pt idx="82">
                  <c:v>243.259522925744</c:v>
                </c:pt>
                <c:pt idx="83">
                  <c:v>246.7538585944578</c:v>
                </c:pt>
                <c:pt idx="84">
                  <c:v>250.2113221397499</c:v>
                </c:pt>
                <c:pt idx="85">
                  <c:v>253.6315207671045</c:v>
                </c:pt>
                <c:pt idx="86">
                  <c:v>257.01410508135</c:v>
                </c:pt>
                <c:pt idx="87">
                  <c:v>260.3587673202278</c:v>
                </c:pt>
                <c:pt idx="88">
                  <c:v>263.66523962999</c:v>
                </c:pt>
                <c:pt idx="89">
                  <c:v>266.9332923835769</c:v>
                </c:pt>
                <c:pt idx="90">
                  <c:v>270.1627325417645</c:v>
                </c:pt>
                <c:pt idx="91">
                  <c:v>273.3534020575243</c:v>
                </c:pt>
                <c:pt idx="92">
                  <c:v>276.5051763237063</c:v>
                </c:pt>
                <c:pt idx="93">
                  <c:v>279.617962664033</c:v>
                </c:pt>
                <c:pt idx="94">
                  <c:v>282.6916988672838</c:v>
                </c:pt>
                <c:pt idx="95">
                  <c:v>285.7263517644516</c:v>
                </c:pt>
                <c:pt idx="96">
                  <c:v>288.7219158485647</c:v>
                </c:pt>
                <c:pt idx="97">
                  <c:v>291.67841193679</c:v>
                </c:pt>
                <c:pt idx="98">
                  <c:v>294.5958858743588</c:v>
                </c:pt>
                <c:pt idx="99">
                  <c:v>297.4744072798006</c:v>
                </c:pt>
                <c:pt idx="100">
                  <c:v>300.3140683309087</c:v>
                </c:pt>
                <c:pt idx="101">
                  <c:v>303.1149825908202</c:v>
                </c:pt>
                <c:pt idx="102">
                  <c:v>305.877283873543</c:v>
                </c:pt>
                <c:pt idx="103">
                  <c:v>308.6011251482335</c:v>
                </c:pt>
                <c:pt idx="104">
                  <c:v>311.2866774814919</c:v>
                </c:pt>
                <c:pt idx="105">
                  <c:v>313.9341290169218</c:v>
                </c:pt>
                <c:pt idx="106">
                  <c:v>316.5436839911685</c:v>
                </c:pt>
                <c:pt idx="107">
                  <c:v>319.1155617856487</c:v>
                </c:pt>
                <c:pt idx="108">
                  <c:v>321.6499960131508</c:v>
                </c:pt>
                <c:pt idx="109">
                  <c:v>324.1472336384926</c:v>
                </c:pt>
                <c:pt idx="110">
                  <c:v>326.6075341324018</c:v>
                </c:pt>
                <c:pt idx="111">
                  <c:v>329.0311686577871</c:v>
                </c:pt>
                <c:pt idx="112">
                  <c:v>331.4184192875624</c:v>
                </c:pt>
                <c:pt idx="113">
                  <c:v>333.7695782531882</c:v>
                </c:pt>
                <c:pt idx="114">
                  <c:v>336.0849472230955</c:v>
                </c:pt>
                <c:pt idx="115">
                  <c:v>338.3648366101587</c:v>
                </c:pt>
                <c:pt idx="116">
                  <c:v>340.6095649073966</c:v>
                </c:pt>
                <c:pt idx="117">
                  <c:v>342.8194580510782</c:v>
                </c:pt>
                <c:pt idx="118">
                  <c:v>344.9948488104267</c:v>
                </c:pt>
                <c:pt idx="119">
                  <c:v>347.1360762031198</c:v>
                </c:pt>
                <c:pt idx="120">
                  <c:v>349.2434849357956</c:v>
                </c:pt>
                <c:pt idx="121">
                  <c:v>351.3174248687885</c:v>
                </c:pt>
                <c:pt idx="122">
                  <c:v>353.3582505043246</c:v>
                </c:pt>
                <c:pt idx="123">
                  <c:v>355.3663204974286</c:v>
                </c:pt>
                <c:pt idx="124">
                  <c:v>357.3419971887989</c:v>
                </c:pt>
                <c:pt idx="125">
                  <c:v>359.2856461589267</c:v>
                </c:pt>
                <c:pt idx="126">
                  <c:v>361.1976358027513</c:v>
                </c:pt>
                <c:pt idx="127">
                  <c:v>363.0783369241508</c:v>
                </c:pt>
                <c:pt idx="128">
                  <c:v>364.9281223495914</c:v>
                </c:pt>
                <c:pt idx="129">
                  <c:v>366.7473665602705</c:v>
                </c:pt>
                <c:pt idx="130">
                  <c:v>368.5364453421018</c:v>
                </c:pt>
                <c:pt idx="131">
                  <c:v>370.2957354529094</c:v>
                </c:pt>
                <c:pt idx="132">
                  <c:v>372.0256143062144</c:v>
                </c:pt>
                <c:pt idx="133">
                  <c:v>373.7264596710118</c:v>
                </c:pt>
                <c:pt idx="134">
                  <c:v>375.3986493869462</c:v>
                </c:pt>
                <c:pt idx="135">
                  <c:v>377.0425610943254</c:v>
                </c:pt>
                <c:pt idx="136">
                  <c:v>378.6585719784057</c:v>
                </c:pt>
                <c:pt idx="137">
                  <c:v>380.2470585274179</c:v>
                </c:pt>
                <c:pt idx="138">
                  <c:v>381.808396303805</c:v>
                </c:pt>
                <c:pt idx="139">
                  <c:v>383.3429597281632</c:v>
                </c:pt>
                <c:pt idx="140">
                  <c:v>384.8511218753942</c:v>
                </c:pt>
                <c:pt idx="141">
                  <c:v>386.3332542825856</c:v>
                </c:pt>
                <c:pt idx="142">
                  <c:v>387.7897267681586</c:v>
                </c:pt>
                <c:pt idx="143">
                  <c:v>389.2209072618285</c:v>
                </c:pt>
                <c:pt idx="144">
                  <c:v>390.6271616449448</c:v>
                </c:pt>
                <c:pt idx="145">
                  <c:v>392.0088536007868</c:v>
                </c:pt>
                <c:pt idx="146">
                  <c:v>393.3663444744038</c:v>
                </c:pt>
                <c:pt idx="147">
                  <c:v>394.6999931416073</c:v>
                </c:pt>
                <c:pt idx="148">
                  <c:v>396.0101558867307</c:v>
                </c:pt>
                <c:pt idx="149">
                  <c:v>397.2971862887837</c:v>
                </c:pt>
                <c:pt idx="150">
                  <c:v>398.561435115649</c:v>
                </c:pt>
                <c:pt idx="151">
                  <c:v>399.80325022597</c:v>
                </c:pt>
                <c:pt idx="152">
                  <c:v>401.0229764783991</c:v>
                </c:pt>
                <c:pt idx="153">
                  <c:v>402.2209556478826</c:v>
                </c:pt>
                <c:pt idx="154">
                  <c:v>403.3975263486715</c:v>
                </c:pt>
                <c:pt idx="155">
                  <c:v>404.5530239637585</c:v>
                </c:pt>
                <c:pt idx="156">
                  <c:v>405.6877805804494</c:v>
                </c:pt>
                <c:pt idx="157">
                  <c:v>406.8021249317933</c:v>
                </c:pt>
                <c:pt idx="158">
                  <c:v>407.8963823435983</c:v>
                </c:pt>
                <c:pt idx="159">
                  <c:v>408.9708746867776</c:v>
                </c:pt>
                <c:pt idx="160">
                  <c:v>410.025920334772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'COLE2 forest types-live tree C '!$E$12</c:f>
              <c:strCache>
                <c:ptCount val="1"/>
                <c:pt idx="0">
                  <c:v>Let grow DougFir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'!$B$13:$B$173</c:f>
              <c:numCache>
                <c:formatCode>General</c:formatCode>
                <c:ptCount val="161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  <c:pt idx="53">
                  <c:v>53.0</c:v>
                </c:pt>
                <c:pt idx="54">
                  <c:v>54.0</c:v>
                </c:pt>
                <c:pt idx="55">
                  <c:v>55.0</c:v>
                </c:pt>
                <c:pt idx="56">
                  <c:v>56.0</c:v>
                </c:pt>
                <c:pt idx="57">
                  <c:v>57.0</c:v>
                </c:pt>
                <c:pt idx="58">
                  <c:v>58.0</c:v>
                </c:pt>
                <c:pt idx="59">
                  <c:v>59.0</c:v>
                </c:pt>
                <c:pt idx="60">
                  <c:v>60.0</c:v>
                </c:pt>
                <c:pt idx="61">
                  <c:v>61.0</c:v>
                </c:pt>
                <c:pt idx="62">
                  <c:v>62.0</c:v>
                </c:pt>
                <c:pt idx="63">
                  <c:v>63.0</c:v>
                </c:pt>
                <c:pt idx="64">
                  <c:v>64.0</c:v>
                </c:pt>
                <c:pt idx="65">
                  <c:v>65.0</c:v>
                </c:pt>
                <c:pt idx="66">
                  <c:v>66.0</c:v>
                </c:pt>
                <c:pt idx="67">
                  <c:v>67.0</c:v>
                </c:pt>
                <c:pt idx="68">
                  <c:v>68.0</c:v>
                </c:pt>
                <c:pt idx="69">
                  <c:v>69.0</c:v>
                </c:pt>
                <c:pt idx="70">
                  <c:v>70.0</c:v>
                </c:pt>
                <c:pt idx="71">
                  <c:v>71.0</c:v>
                </c:pt>
                <c:pt idx="72">
                  <c:v>72.0</c:v>
                </c:pt>
                <c:pt idx="73">
                  <c:v>73.0</c:v>
                </c:pt>
                <c:pt idx="74">
                  <c:v>74.0</c:v>
                </c:pt>
                <c:pt idx="75">
                  <c:v>75.0</c:v>
                </c:pt>
                <c:pt idx="76">
                  <c:v>76.0</c:v>
                </c:pt>
                <c:pt idx="77">
                  <c:v>77.0</c:v>
                </c:pt>
                <c:pt idx="78">
                  <c:v>78.0</c:v>
                </c:pt>
                <c:pt idx="79">
                  <c:v>79.0</c:v>
                </c:pt>
                <c:pt idx="80">
                  <c:v>80.0</c:v>
                </c:pt>
                <c:pt idx="81">
                  <c:v>81.0</c:v>
                </c:pt>
                <c:pt idx="82">
                  <c:v>82.0</c:v>
                </c:pt>
                <c:pt idx="83">
                  <c:v>83.0</c:v>
                </c:pt>
                <c:pt idx="84">
                  <c:v>84.0</c:v>
                </c:pt>
                <c:pt idx="85">
                  <c:v>85.0</c:v>
                </c:pt>
                <c:pt idx="86">
                  <c:v>86.0</c:v>
                </c:pt>
                <c:pt idx="87">
                  <c:v>87.0</c:v>
                </c:pt>
                <c:pt idx="88">
                  <c:v>88.0</c:v>
                </c:pt>
                <c:pt idx="89">
                  <c:v>89.0</c:v>
                </c:pt>
                <c:pt idx="90">
                  <c:v>90.0</c:v>
                </c:pt>
                <c:pt idx="91">
                  <c:v>91.0</c:v>
                </c:pt>
                <c:pt idx="92">
                  <c:v>92.0</c:v>
                </c:pt>
                <c:pt idx="93">
                  <c:v>93.0</c:v>
                </c:pt>
                <c:pt idx="94">
                  <c:v>94.0</c:v>
                </c:pt>
                <c:pt idx="95">
                  <c:v>95.0</c:v>
                </c:pt>
                <c:pt idx="96">
                  <c:v>96.0</c:v>
                </c:pt>
                <c:pt idx="97">
                  <c:v>97.0</c:v>
                </c:pt>
                <c:pt idx="98">
                  <c:v>98.0</c:v>
                </c:pt>
                <c:pt idx="99">
                  <c:v>99.0</c:v>
                </c:pt>
                <c:pt idx="100">
                  <c:v>100.0</c:v>
                </c:pt>
                <c:pt idx="101">
                  <c:v>101.0</c:v>
                </c:pt>
                <c:pt idx="102">
                  <c:v>102.0</c:v>
                </c:pt>
                <c:pt idx="103">
                  <c:v>103.0</c:v>
                </c:pt>
                <c:pt idx="104">
                  <c:v>104.0</c:v>
                </c:pt>
                <c:pt idx="105">
                  <c:v>105.0</c:v>
                </c:pt>
                <c:pt idx="106">
                  <c:v>106.0</c:v>
                </c:pt>
                <c:pt idx="107">
                  <c:v>107.0</c:v>
                </c:pt>
                <c:pt idx="108">
                  <c:v>108.0</c:v>
                </c:pt>
                <c:pt idx="109">
                  <c:v>109.0</c:v>
                </c:pt>
                <c:pt idx="110">
                  <c:v>110.0</c:v>
                </c:pt>
                <c:pt idx="111">
                  <c:v>111.0</c:v>
                </c:pt>
                <c:pt idx="112">
                  <c:v>112.0</c:v>
                </c:pt>
                <c:pt idx="113">
                  <c:v>113.0</c:v>
                </c:pt>
                <c:pt idx="114">
                  <c:v>114.0</c:v>
                </c:pt>
                <c:pt idx="115">
                  <c:v>115.0</c:v>
                </c:pt>
                <c:pt idx="116">
                  <c:v>116.0</c:v>
                </c:pt>
                <c:pt idx="117">
                  <c:v>117.0</c:v>
                </c:pt>
                <c:pt idx="118">
                  <c:v>118.0</c:v>
                </c:pt>
                <c:pt idx="119">
                  <c:v>119.0</c:v>
                </c:pt>
                <c:pt idx="120">
                  <c:v>120.0</c:v>
                </c:pt>
                <c:pt idx="121">
                  <c:v>121.0</c:v>
                </c:pt>
                <c:pt idx="122">
                  <c:v>122.0</c:v>
                </c:pt>
                <c:pt idx="123">
                  <c:v>123.0</c:v>
                </c:pt>
                <c:pt idx="124">
                  <c:v>124.0</c:v>
                </c:pt>
                <c:pt idx="125">
                  <c:v>125.0</c:v>
                </c:pt>
                <c:pt idx="126">
                  <c:v>126.0</c:v>
                </c:pt>
                <c:pt idx="127">
                  <c:v>127.0</c:v>
                </c:pt>
                <c:pt idx="128">
                  <c:v>128.0</c:v>
                </c:pt>
                <c:pt idx="129">
                  <c:v>129.0</c:v>
                </c:pt>
                <c:pt idx="130">
                  <c:v>130.0</c:v>
                </c:pt>
                <c:pt idx="131">
                  <c:v>131.0</c:v>
                </c:pt>
                <c:pt idx="132">
                  <c:v>132.0</c:v>
                </c:pt>
                <c:pt idx="133">
                  <c:v>133.0</c:v>
                </c:pt>
                <c:pt idx="134">
                  <c:v>134.0</c:v>
                </c:pt>
                <c:pt idx="135">
                  <c:v>135.0</c:v>
                </c:pt>
                <c:pt idx="136">
                  <c:v>136.0</c:v>
                </c:pt>
                <c:pt idx="137">
                  <c:v>137.0</c:v>
                </c:pt>
                <c:pt idx="138">
                  <c:v>138.0</c:v>
                </c:pt>
                <c:pt idx="139">
                  <c:v>139.0</c:v>
                </c:pt>
                <c:pt idx="140">
                  <c:v>140.0</c:v>
                </c:pt>
                <c:pt idx="141">
                  <c:v>141.0</c:v>
                </c:pt>
                <c:pt idx="142">
                  <c:v>142.0</c:v>
                </c:pt>
                <c:pt idx="143">
                  <c:v>143.0</c:v>
                </c:pt>
                <c:pt idx="144">
                  <c:v>144.0</c:v>
                </c:pt>
                <c:pt idx="145">
                  <c:v>145.0</c:v>
                </c:pt>
                <c:pt idx="146">
                  <c:v>146.0</c:v>
                </c:pt>
                <c:pt idx="147">
                  <c:v>147.0</c:v>
                </c:pt>
                <c:pt idx="148">
                  <c:v>148.0</c:v>
                </c:pt>
                <c:pt idx="149">
                  <c:v>149.0</c:v>
                </c:pt>
                <c:pt idx="150">
                  <c:v>150.0</c:v>
                </c:pt>
                <c:pt idx="151">
                  <c:v>151.0</c:v>
                </c:pt>
                <c:pt idx="152">
                  <c:v>152.0</c:v>
                </c:pt>
                <c:pt idx="153">
                  <c:v>153.0</c:v>
                </c:pt>
                <c:pt idx="154">
                  <c:v>154.0</c:v>
                </c:pt>
                <c:pt idx="155">
                  <c:v>155.0</c:v>
                </c:pt>
                <c:pt idx="156">
                  <c:v>156.0</c:v>
                </c:pt>
                <c:pt idx="157">
                  <c:v>157.0</c:v>
                </c:pt>
                <c:pt idx="158">
                  <c:v>158.0</c:v>
                </c:pt>
                <c:pt idx="159">
                  <c:v>159.0</c:v>
                </c:pt>
                <c:pt idx="160">
                  <c:v>160.0</c:v>
                </c:pt>
              </c:numCache>
            </c:numRef>
          </c:cat>
          <c:val>
            <c:numRef>
              <c:f>'COLE2 forest types-live tree C '!$E$13:$E$173</c:f>
              <c:numCache>
                <c:formatCode>0</c:formatCode>
                <c:ptCount val="161"/>
                <c:pt idx="0">
                  <c:v>0.0</c:v>
                </c:pt>
                <c:pt idx="1">
                  <c:v>0.00660266060203476</c:v>
                </c:pt>
                <c:pt idx="2">
                  <c:v>0.050514060251211</c:v>
                </c:pt>
                <c:pt idx="3">
                  <c:v>0.163074880980095</c:v>
                </c:pt>
                <c:pt idx="4">
                  <c:v>0.36982985834735</c:v>
                </c:pt>
                <c:pt idx="5">
                  <c:v>0.691239180276874</c:v>
                </c:pt>
                <c:pt idx="6">
                  <c:v>1.14331532988437</c:v>
                </c:pt>
                <c:pt idx="7">
                  <c:v>1.738192593372862</c:v>
                </c:pt>
                <c:pt idx="8">
                  <c:v>2.48463578491089</c:v>
                </c:pt>
                <c:pt idx="9">
                  <c:v>3.38849413163354</c:v>
                </c:pt>
                <c:pt idx="10">
                  <c:v>4.453105708165451</c:v>
                </c:pt>
                <c:pt idx="11">
                  <c:v>5.679657306465846</c:v>
                </c:pt>
                <c:pt idx="12">
                  <c:v>7.067504168876922</c:v>
                </c:pt>
                <c:pt idx="13">
                  <c:v>8.614453595951225</c:v>
                </c:pt>
                <c:pt idx="14">
                  <c:v>10.31701606222965</c:v>
                </c:pt>
                <c:pt idx="15">
                  <c:v>12.17062712925656</c:v>
                </c:pt>
                <c:pt idx="16">
                  <c:v>14.16984313266699</c:v>
                </c:pt>
                <c:pt idx="17">
                  <c:v>16.30851333634981</c:v>
                </c:pt>
                <c:pt idx="18">
                  <c:v>18.57993098891613</c:v>
                </c:pt>
                <c:pt idx="19">
                  <c:v>20.97696548364501</c:v>
                </c:pt>
                <c:pt idx="20">
                  <c:v>23.49217761060919</c:v>
                </c:pt>
                <c:pt idx="21">
                  <c:v>26.11791969685795</c:v>
                </c:pt>
                <c:pt idx="22">
                  <c:v>28.84642225558385</c:v>
                </c:pt>
                <c:pt idx="23">
                  <c:v>31.66986860650893</c:v>
                </c:pt>
                <c:pt idx="24">
                  <c:v>34.58045878582773</c:v>
                </c:pt>
                <c:pt idx="25">
                  <c:v>37.57046393359566</c:v>
                </c:pt>
                <c:pt idx="26">
                  <c:v>40.63227222823452</c:v>
                </c:pt>
                <c:pt idx="27">
                  <c:v>43.75842733073</c:v>
                </c:pt>
                <c:pt idx="28">
                  <c:v>46.94166020410462</c:v>
                </c:pt>
                <c:pt idx="29">
                  <c:v>50.17491508594488</c:v>
                </c:pt>
                <c:pt idx="30">
                  <c:v>53.45137031230064</c:v>
                </c:pt>
                <c:pt idx="31">
                  <c:v>56.76445461939517</c:v>
                </c:pt>
                <c:pt idx="32">
                  <c:v>60.10785948458937</c:v>
                </c:pt>
                <c:pt idx="33">
                  <c:v>63.47554800930033</c:v>
                </c:pt>
                <c:pt idx="34">
                  <c:v>66.86176079350381</c:v>
                </c:pt>
                <c:pt idx="35">
                  <c:v>70.2610192035321</c:v>
                </c:pt>
                <c:pt idx="36">
                  <c:v>73.66812639162958</c:v>
                </c:pt>
                <c:pt idx="37">
                  <c:v>77.07816638672098</c:v>
                </c:pt>
                <c:pt idx="38">
                  <c:v>80.4865015406778</c:v>
                </c:pt>
                <c:pt idx="39">
                  <c:v>83.88876858268765</c:v>
                </c:pt>
                <c:pt idx="40">
                  <c:v>87.28087350580327</c:v>
                </c:pt>
                <c:pt idx="41">
                  <c:v>90.65898548408208</c:v>
                </c:pt>
                <c:pt idx="42">
                  <c:v>94.01952999564885</c:v>
                </c:pt>
                <c:pt idx="43">
                  <c:v>97.35918130628455</c:v>
                </c:pt>
                <c:pt idx="44">
                  <c:v>100.6748544495284</c:v>
                </c:pt>
                <c:pt idx="45">
                  <c:v>103.9636968225951</c:v>
                </c:pt>
                <c:pt idx="46">
                  <c:v>107.2230795024452</c:v>
                </c:pt>
                <c:pt idx="47">
                  <c:v>110.450588372964</c:v>
                </c:pt>
                <c:pt idx="48">
                  <c:v>113.6440151422294</c:v>
                </c:pt>
                <c:pt idx="49">
                  <c:v>116.8013483181562</c:v>
                </c:pt>
                <c:pt idx="50">
                  <c:v>119.9207642012678</c:v>
                </c:pt>
                <c:pt idx="51">
                  <c:v>123.0006179448472</c:v>
                </c:pt>
                <c:pt idx="52">
                  <c:v>126.0394347251612</c:v>
                </c:pt>
                <c:pt idx="53">
                  <c:v>129.0359010577368</c:v>
                </c:pt>
                <c:pt idx="54">
                  <c:v>131.9888562897194</c:v>
                </c:pt>
                <c:pt idx="55">
                  <c:v>134.897284293071</c:v>
                </c:pt>
                <c:pt idx="56">
                  <c:v>137.7603053787188</c:v>
                </c:pt>
                <c:pt idx="57">
                  <c:v>140.5771684476618</c:v>
                </c:pt>
                <c:pt idx="58">
                  <c:v>143.3472433914426</c:v>
                </c:pt>
                <c:pt idx="59">
                  <c:v>146.0700137512347</c:v>
                </c:pt>
                <c:pt idx="60">
                  <c:v>148.7450696420345</c:v>
                </c:pt>
                <c:pt idx="61">
                  <c:v>151.3721009460461</c:v>
                </c:pt>
                <c:pt idx="62">
                  <c:v>153.9508907772677</c:v>
                </c:pt>
                <c:pt idx="63">
                  <c:v>156.4813092174835</c:v>
                </c:pt>
                <c:pt idx="64">
                  <c:v>158.9633073223278</c:v>
                </c:pt>
                <c:pt idx="65">
                  <c:v>161.3969113947682</c:v>
                </c:pt>
                <c:pt idx="66">
                  <c:v>163.7822175222357</c:v>
                </c:pt>
                <c:pt idx="67">
                  <c:v>166.1193863726976</c:v>
                </c:pt>
                <c:pt idx="68">
                  <c:v>168.4086382441849</c:v>
                </c:pt>
                <c:pt idx="69">
                  <c:v>170.6502483616484</c:v>
                </c:pt>
                <c:pt idx="70">
                  <c:v>172.8445424145046</c:v>
                </c:pt>
                <c:pt idx="71">
                  <c:v>174.9918923278212</c:v>
                </c:pt>
                <c:pt idx="72">
                  <c:v>177.092712259786</c:v>
                </c:pt>
                <c:pt idx="73">
                  <c:v>179.1474548178718</c:v>
                </c:pt>
                <c:pt idx="74">
                  <c:v>181.1566074859589</c:v>
                </c:pt>
                <c:pt idx="75">
                  <c:v>183.1206892545848</c:v>
                </c:pt>
                <c:pt idx="76">
                  <c:v>185.040247446456</c:v>
                </c:pt>
                <c:pt idx="77">
                  <c:v>186.9158547293684</c:v>
                </c:pt>
                <c:pt idx="78">
                  <c:v>188.7481063087381</c:v>
                </c:pt>
                <c:pt idx="79">
                  <c:v>190.5376172920277</c:v>
                </c:pt>
                <c:pt idx="80">
                  <c:v>192.285020217476</c:v>
                </c:pt>
                <c:pt idx="81">
                  <c:v>193.9909627396743</c:v>
                </c:pt>
                <c:pt idx="82">
                  <c:v>195.656105464702</c:v>
                </c:pt>
                <c:pt idx="83">
                  <c:v>197.2811199277043</c:v>
                </c:pt>
                <c:pt idx="84">
                  <c:v>198.8666867059944</c:v>
                </c:pt>
                <c:pt idx="85">
                  <c:v>200.4134936609609</c:v>
                </c:pt>
                <c:pt idx="86">
                  <c:v>201.9222343022718</c:v>
                </c:pt>
                <c:pt idx="87">
                  <c:v>203.3936062680844</c:v>
                </c:pt>
                <c:pt idx="88">
                  <c:v>204.8283099151877</c:v>
                </c:pt>
                <c:pt idx="89">
                  <c:v>206.2270470132288</c:v>
                </c:pt>
                <c:pt idx="90">
                  <c:v>207.5905195373923</c:v>
                </c:pt>
                <c:pt idx="91">
                  <c:v>208.9194285541309</c:v>
                </c:pt>
                <c:pt idx="92">
                  <c:v>210.2144731947566</c:v>
                </c:pt>
                <c:pt idx="93">
                  <c:v>211.4763497119261</c:v>
                </c:pt>
                <c:pt idx="94">
                  <c:v>212.7057506142652</c:v>
                </c:pt>
                <c:pt idx="95">
                  <c:v>213.903363874586</c:v>
                </c:pt>
                <c:pt idx="96">
                  <c:v>215.0698722073567</c:v>
                </c:pt>
                <c:pt idx="97">
                  <c:v>216.205952411285</c:v>
                </c:pt>
                <c:pt idx="98">
                  <c:v>217.3122747730684</c:v>
                </c:pt>
                <c:pt idx="99">
                  <c:v>218.3895025285548</c:v>
                </c:pt>
                <c:pt idx="100">
                  <c:v>219.438291377741</c:v>
                </c:pt>
                <c:pt idx="101">
                  <c:v>220.4592890502108</c:v>
                </c:pt>
                <c:pt idx="102">
                  <c:v>221.4531349177891</c:v>
                </c:pt>
                <c:pt idx="103">
                  <c:v>222.420459651349</c:v>
                </c:pt>
                <c:pt idx="104">
                  <c:v>223.3618849188711</c:v>
                </c:pt>
                <c:pt idx="105">
                  <c:v>224.2780231220039</c:v>
                </c:pt>
                <c:pt idx="106">
                  <c:v>225.1694771685224</c:v>
                </c:pt>
                <c:pt idx="107">
                  <c:v>226.0368402782206</c:v>
                </c:pt>
                <c:pt idx="108">
                  <c:v>226.8806958199088</c:v>
                </c:pt>
                <c:pt idx="109">
                  <c:v>227.7016171773157</c:v>
                </c:pt>
                <c:pt idx="110">
                  <c:v>228.5001676418159</c:v>
                </c:pt>
                <c:pt idx="111">
                  <c:v>229.2769003300241</c:v>
                </c:pt>
                <c:pt idx="112">
                  <c:v>230.0323581244049</c:v>
                </c:pt>
                <c:pt idx="113">
                  <c:v>230.7670736351586</c:v>
                </c:pt>
                <c:pt idx="114">
                  <c:v>231.4815691817397</c:v>
                </c:pt>
                <c:pt idx="115">
                  <c:v>232.1763567924665</c:v>
                </c:pt>
                <c:pt idx="116">
                  <c:v>232.8519382207685</c:v>
                </c:pt>
                <c:pt idx="117">
                  <c:v>233.5088049767075</c:v>
                </c:pt>
                <c:pt idx="118">
                  <c:v>234.14743837249</c:v>
                </c:pt>
                <c:pt idx="119">
                  <c:v>234.7683095807689</c:v>
                </c:pt>
                <c:pt idx="120">
                  <c:v>235.371879704606</c:v>
                </c:pt>
                <c:pt idx="121">
                  <c:v>235.9585998580365</c:v>
                </c:pt>
                <c:pt idx="122">
                  <c:v>236.5289112562476</c:v>
                </c:pt>
                <c:pt idx="123">
                  <c:v>237.0832453144415</c:v>
                </c:pt>
                <c:pt idx="124">
                  <c:v>237.6220237545175</c:v>
                </c:pt>
                <c:pt idx="125">
                  <c:v>238.1456587187628</c:v>
                </c:pt>
                <c:pt idx="126">
                  <c:v>238.6545528897953</c:v>
                </c:pt>
                <c:pt idx="127">
                  <c:v>239.149099616052</c:v>
                </c:pt>
                <c:pt idx="128">
                  <c:v>239.6296830421669</c:v>
                </c:pt>
                <c:pt idx="129">
                  <c:v>240.0966782436238</c:v>
                </c:pt>
                <c:pt idx="130">
                  <c:v>240.5504513651141</c:v>
                </c:pt>
                <c:pt idx="131">
                  <c:v>240.9913597620715</c:v>
                </c:pt>
                <c:pt idx="132">
                  <c:v>241.4197521448883</c:v>
                </c:pt>
                <c:pt idx="133">
                  <c:v>241.8359687253596</c:v>
                </c:pt>
                <c:pt idx="134">
                  <c:v>242.2403413649302</c:v>
                </c:pt>
                <c:pt idx="135">
                  <c:v>242.6331937243544</c:v>
                </c:pt>
                <c:pt idx="136">
                  <c:v>243.0148414144056</c:v>
                </c:pt>
                <c:pt idx="137">
                  <c:v>243.3855921473023</c:v>
                </c:pt>
                <c:pt idx="138">
                  <c:v>243.745745888542</c:v>
                </c:pt>
                <c:pt idx="139">
                  <c:v>244.0955950088611</c:v>
                </c:pt>
                <c:pt idx="140">
                  <c:v>244.4354244360585</c:v>
                </c:pt>
                <c:pt idx="141">
                  <c:v>244.7655118064458</c:v>
                </c:pt>
                <c:pt idx="142">
                  <c:v>245.0861276157057</c:v>
                </c:pt>
                <c:pt idx="143">
                  <c:v>245.3975353689571</c:v>
                </c:pt>
                <c:pt idx="144">
                  <c:v>245.6999917298484</c:v>
                </c:pt>
                <c:pt idx="145">
                  <c:v>245.9937466685107</c:v>
                </c:pt>
                <c:pt idx="146">
                  <c:v>246.2790436082241</c:v>
                </c:pt>
                <c:pt idx="147">
                  <c:v>246.5561195706587</c:v>
                </c:pt>
                <c:pt idx="148">
                  <c:v>246.8252053195722</c:v>
                </c:pt>
                <c:pt idx="149">
                  <c:v>247.0865255028525</c:v>
                </c:pt>
                <c:pt idx="150">
                  <c:v>247.3402987928095</c:v>
                </c:pt>
                <c:pt idx="151">
                  <c:v>247.5867380246293</c:v>
                </c:pt>
                <c:pt idx="152">
                  <c:v>247.8260503329144</c:v>
                </c:pt>
                <c:pt idx="153">
                  <c:v>248.0584372862441</c:v>
                </c:pt>
                <c:pt idx="154">
                  <c:v>248.2840950196976</c:v>
                </c:pt>
                <c:pt idx="155">
                  <c:v>248.5032143652877</c:v>
                </c:pt>
                <c:pt idx="156">
                  <c:v>248.7159809802679</c:v>
                </c:pt>
                <c:pt idx="157">
                  <c:v>248.9225754732722</c:v>
                </c:pt>
                <c:pt idx="158">
                  <c:v>249.1231735282643</c:v>
                </c:pt>
                <c:pt idx="159">
                  <c:v>249.3179460262699</c:v>
                </c:pt>
                <c:pt idx="160">
                  <c:v>249.5070591648785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7015384"/>
        <c:axId val="-2087009912"/>
      </c:lineChart>
      <c:catAx>
        <c:axId val="-2087015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 Age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87009912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-2087009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Live tree biomass</a:t>
                </a:r>
                <a:r>
                  <a:rPr lang="en-US" baseline="0"/>
                  <a:t> in tonnes of carbon per hectare</a:t>
                </a:r>
                <a:endParaRPr lang="en-US"/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-20870153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California Mixed Conifer</a:t>
            </a:r>
            <a:r>
              <a:rPr lang="en-US" baseline="0"/>
              <a:t> (Private) - Carbon stocks by age class 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'COLE2 live dead soil C ex'!$J$1</c:f>
              <c:strCache>
                <c:ptCount val="1"/>
                <c:pt idx="0">
                  <c:v>Soil C</c:v>
                </c:pt>
              </c:strCache>
            </c:strRef>
          </c:tx>
          <c:invertIfNegative val="0"/>
          <c:cat>
            <c:numRef>
              <c:f>'COLE2 live dead soil C ex'!$A$2:$A$12</c:f>
              <c:numCache>
                <c:formatCode>General</c:formatCode>
                <c:ptCount val="1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</c:numCache>
            </c:numRef>
          </c:cat>
          <c:val>
            <c:numRef>
              <c:f>'COLE2 live dead soil C ex'!$J$2:$J$12</c:f>
              <c:numCache>
                <c:formatCode>General</c:formatCode>
                <c:ptCount val="11"/>
                <c:pt idx="0">
                  <c:v>37.35</c:v>
                </c:pt>
                <c:pt idx="1">
                  <c:v>37.84</c:v>
                </c:pt>
                <c:pt idx="2">
                  <c:v>39.19</c:v>
                </c:pt>
                <c:pt idx="3">
                  <c:v>41.12</c:v>
                </c:pt>
                <c:pt idx="4">
                  <c:v>43.24</c:v>
                </c:pt>
                <c:pt idx="5">
                  <c:v>45.22</c:v>
                </c:pt>
                <c:pt idx="6">
                  <c:v>46.85</c:v>
                </c:pt>
                <c:pt idx="7">
                  <c:v>48.05</c:v>
                </c:pt>
                <c:pt idx="8">
                  <c:v>48.84</c:v>
                </c:pt>
                <c:pt idx="9">
                  <c:v>49.31</c:v>
                </c:pt>
                <c:pt idx="10">
                  <c:v>49.57</c:v>
                </c:pt>
              </c:numCache>
            </c:numRef>
          </c:val>
        </c:ser>
        <c:ser>
          <c:idx val="1"/>
          <c:order val="1"/>
          <c:tx>
            <c:strRef>
              <c:f>'COLE2 live dead soil C ex'!$F$1</c:f>
              <c:strCache>
                <c:ptCount val="1"/>
                <c:pt idx="0">
                  <c:v>Forest floor</c:v>
                </c:pt>
              </c:strCache>
            </c:strRef>
          </c:tx>
          <c:invertIfNegative val="0"/>
          <c:cat>
            <c:numRef>
              <c:f>'COLE2 live dead soil C ex'!$A$2:$A$12</c:f>
              <c:numCache>
                <c:formatCode>General</c:formatCode>
                <c:ptCount val="1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</c:numCache>
            </c:numRef>
          </c:cat>
          <c:val>
            <c:numRef>
              <c:f>'COLE2 live dead soil C ex'!$F$2:$F$12</c:f>
              <c:numCache>
                <c:formatCode>General</c:formatCode>
                <c:ptCount val="11"/>
                <c:pt idx="0">
                  <c:v>36.87</c:v>
                </c:pt>
                <c:pt idx="1">
                  <c:v>34.3</c:v>
                </c:pt>
                <c:pt idx="2">
                  <c:v>32.81</c:v>
                </c:pt>
                <c:pt idx="3">
                  <c:v>32.17</c:v>
                </c:pt>
                <c:pt idx="4">
                  <c:v>32.14</c:v>
                </c:pt>
                <c:pt idx="5">
                  <c:v>32.54</c:v>
                </c:pt>
                <c:pt idx="6">
                  <c:v>33.21</c:v>
                </c:pt>
                <c:pt idx="7">
                  <c:v>34.04</c:v>
                </c:pt>
                <c:pt idx="8">
                  <c:v>34.95</c:v>
                </c:pt>
                <c:pt idx="9">
                  <c:v>35.88</c:v>
                </c:pt>
                <c:pt idx="10">
                  <c:v>36.81</c:v>
                </c:pt>
              </c:numCache>
            </c:numRef>
          </c:val>
        </c:ser>
        <c:ser>
          <c:idx val="2"/>
          <c:order val="2"/>
          <c:tx>
            <c:strRef>
              <c:f>'COLE2 live dead soil C ex'!$I$1</c:f>
              <c:strCache>
                <c:ptCount val="1"/>
                <c:pt idx="0">
                  <c:v>Dead and Down Trees</c:v>
                </c:pt>
              </c:strCache>
            </c:strRef>
          </c:tx>
          <c:invertIfNegative val="0"/>
          <c:cat>
            <c:numRef>
              <c:f>'COLE2 live dead soil C ex'!$A$2:$A$12</c:f>
              <c:numCache>
                <c:formatCode>General</c:formatCode>
                <c:ptCount val="1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</c:numCache>
            </c:numRef>
          </c:cat>
          <c:val>
            <c:numRef>
              <c:f>'COLE2 live dead soil C ex'!$I$2:$I$12</c:f>
              <c:numCache>
                <c:formatCode>General</c:formatCode>
                <c:ptCount val="11"/>
                <c:pt idx="0">
                  <c:v>51.43</c:v>
                </c:pt>
                <c:pt idx="1">
                  <c:v>57.26</c:v>
                </c:pt>
                <c:pt idx="2">
                  <c:v>50.47</c:v>
                </c:pt>
                <c:pt idx="3">
                  <c:v>48.67</c:v>
                </c:pt>
                <c:pt idx="4">
                  <c:v>49.02</c:v>
                </c:pt>
                <c:pt idx="5">
                  <c:v>50.29</c:v>
                </c:pt>
                <c:pt idx="6">
                  <c:v>51.89</c:v>
                </c:pt>
                <c:pt idx="7">
                  <c:v>53.58</c:v>
                </c:pt>
                <c:pt idx="8">
                  <c:v>55.25</c:v>
                </c:pt>
                <c:pt idx="9">
                  <c:v>56.78</c:v>
                </c:pt>
                <c:pt idx="10">
                  <c:v>58.22</c:v>
                </c:pt>
              </c:numCache>
            </c:numRef>
          </c:val>
        </c:ser>
        <c:ser>
          <c:idx val="0"/>
          <c:order val="3"/>
          <c:tx>
            <c:strRef>
              <c:f>'COLE2 live dead soil C ex'!$B$1</c:f>
              <c:strCache>
                <c:ptCount val="1"/>
                <c:pt idx="0">
                  <c:v>Live tree</c:v>
                </c:pt>
              </c:strCache>
            </c:strRef>
          </c:tx>
          <c:invertIfNegative val="0"/>
          <c:cat>
            <c:numRef>
              <c:f>'COLE2 live dead soil C ex'!$A$2:$A$12</c:f>
              <c:numCache>
                <c:formatCode>General</c:formatCode>
                <c:ptCount val="1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</c:numCache>
            </c:numRef>
          </c:cat>
          <c:val>
            <c:numRef>
              <c:f>'COLE2 live dead soil C ex'!$B$2:$B$12</c:f>
              <c:numCache>
                <c:formatCode>General</c:formatCode>
                <c:ptCount val="11"/>
                <c:pt idx="0">
                  <c:v>0.0</c:v>
                </c:pt>
                <c:pt idx="1">
                  <c:v>3.01</c:v>
                </c:pt>
                <c:pt idx="2">
                  <c:v>14.76</c:v>
                </c:pt>
                <c:pt idx="3">
                  <c:v>31.5</c:v>
                </c:pt>
                <c:pt idx="4">
                  <c:v>48.68</c:v>
                </c:pt>
                <c:pt idx="5">
                  <c:v>63.82</c:v>
                </c:pt>
                <c:pt idx="6">
                  <c:v>76.07</c:v>
                </c:pt>
                <c:pt idx="7">
                  <c:v>85.51</c:v>
                </c:pt>
                <c:pt idx="8">
                  <c:v>92.55</c:v>
                </c:pt>
                <c:pt idx="9">
                  <c:v>97.7</c:v>
                </c:pt>
                <c:pt idx="10">
                  <c:v>101.41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086959512"/>
        <c:axId val="-2086953976"/>
      </c:barChart>
      <c:catAx>
        <c:axId val="-2086959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 Age 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86953976"/>
        <c:crosses val="autoZero"/>
        <c:auto val="1"/>
        <c:lblAlgn val="ctr"/>
        <c:lblOffset val="100"/>
        <c:noMultiLvlLbl val="0"/>
      </c:catAx>
      <c:valAx>
        <c:axId val="-2086953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Tonnes of carbon/hectare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869595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Comparison</a:t>
            </a:r>
            <a:r>
              <a:rPr lang="en-US" baseline="0"/>
              <a:t> of Sequestered Carbon with and without a fuels/forest health thinning treatment at year 40 before considering how treatment changes the probability of carbon losses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'Fuels-Health Tmt at Yr40'!$D$77</c:f>
              <c:strCache>
                <c:ptCount val="1"/>
                <c:pt idx="0">
                  <c:v>Logging slash left</c:v>
                </c:pt>
              </c:strCache>
            </c:strRef>
          </c:tx>
          <c:invertIfNegative val="0"/>
          <c:val>
            <c:numRef>
              <c:f>'Fuels-Health Tmt at Yr40'!$D$78:$D$158</c:f>
              <c:numCache>
                <c:formatCode>0</c:formatCode>
                <c:ptCount val="81"/>
                <c:pt idx="40" formatCode="0.0">
                  <c:v>2.805844054285563</c:v>
                </c:pt>
                <c:pt idx="41" formatCode="0.0">
                  <c:v>2.710266705332202</c:v>
                </c:pt>
                <c:pt idx="42" formatCode="0.0">
                  <c:v>2.617945071755823</c:v>
                </c:pt>
                <c:pt idx="43" formatCode="0.0">
                  <c:v>2.528768251938711</c:v>
                </c:pt>
                <c:pt idx="44" formatCode="0.0">
                  <c:v>2.442629121979378</c:v>
                </c:pt>
                <c:pt idx="45" formatCode="0.0">
                  <c:v>2.359424207009679</c:v>
                </c:pt>
                <c:pt idx="46" formatCode="0.0">
                  <c:v>2.279053556895344</c:v>
                </c:pt>
                <c:pt idx="47" formatCode="0.0">
                  <c:v>2.2014206261706</c:v>
                </c:pt>
                <c:pt idx="48" formatCode="0.0">
                  <c:v>2.126432158062665</c:v>
                </c:pt>
                <c:pt idx="49" formatCode="0.0">
                  <c:v>2.053998072466787</c:v>
                </c:pt>
                <c:pt idx="50" formatCode="0.0">
                  <c:v>1.984031357737277</c:v>
                </c:pt>
                <c:pt idx="51" formatCode="0.0">
                  <c:v>1.916447966164522</c:v>
                </c:pt>
                <c:pt idx="52" formatCode="0.0">
                  <c:v>1.851166713012445</c:v>
                </c:pt>
                <c:pt idx="53" formatCode="0.0">
                  <c:v>1.788109178995115</c:v>
                </c:pt>
                <c:pt idx="54" formatCode="0.0">
                  <c:v>1.727199616075361</c:v>
                </c:pt>
                <c:pt idx="55" formatCode="0.0">
                  <c:v>1.668364856472236</c:v>
                </c:pt>
                <c:pt idx="56" formatCode="0.0">
                  <c:v>1.61153422476802</c:v>
                </c:pt>
                <c:pt idx="57" formatCode="0.0">
                  <c:v>1.556639453009167</c:v>
                </c:pt>
                <c:pt idx="58" formatCode="0.0">
                  <c:v>1.503614598699254</c:v>
                </c:pt>
                <c:pt idx="59" formatCode="0.0">
                  <c:v>1.452395965585363</c:v>
                </c:pt>
                <c:pt idx="60" formatCode="0.0">
                  <c:v>1.402922027142782</c:v>
                </c:pt>
                <c:pt idx="61" formatCode="0.0">
                  <c:v>1.355133352666101</c:v>
                </c:pt>
                <c:pt idx="62" formatCode="0.0">
                  <c:v>1.308972535877912</c:v>
                </c:pt>
                <c:pt idx="63" formatCode="0.0">
                  <c:v>1.264384125969356</c:v>
                </c:pt>
                <c:pt idx="64" formatCode="0.0">
                  <c:v>1.221314560989689</c:v>
                </c:pt>
                <c:pt idx="65" formatCode="0.0">
                  <c:v>1.179712103504839</c:v>
                </c:pt>
                <c:pt idx="66" formatCode="0.0">
                  <c:v>1.139526778447672</c:v>
                </c:pt>
                <c:pt idx="67" formatCode="0.0">
                  <c:v>1.1007103130853</c:v>
                </c:pt>
                <c:pt idx="68" formatCode="0.0">
                  <c:v>1.063216079031332</c:v>
                </c:pt>
                <c:pt idx="69" formatCode="0.0">
                  <c:v>1.026999036233394</c:v>
                </c:pt>
                <c:pt idx="70" formatCode="0.0">
                  <c:v>0.992015678868639</c:v>
                </c:pt>
                <c:pt idx="71" formatCode="0.0">
                  <c:v>0.958223983082261</c:v>
                </c:pt>
                <c:pt idx="72" formatCode="0.0">
                  <c:v>0.925583356506223</c:v>
                </c:pt>
                <c:pt idx="73" formatCode="0.0">
                  <c:v>0.894054589497557</c:v>
                </c:pt>
                <c:pt idx="74" formatCode="0.0">
                  <c:v>0.86359980803768</c:v>
                </c:pt>
                <c:pt idx="75" formatCode="0.0">
                  <c:v>0.834182428236118</c:v>
                </c:pt>
                <c:pt idx="76" formatCode="0.0">
                  <c:v>0.80576711238401</c:v>
                </c:pt>
                <c:pt idx="77" formatCode="0.0">
                  <c:v>0.778319726504584</c:v>
                </c:pt>
                <c:pt idx="78" formatCode="0.0">
                  <c:v>0.751807299349627</c:v>
                </c:pt>
                <c:pt idx="79" formatCode="0.0">
                  <c:v>0.726197982792681</c:v>
                </c:pt>
                <c:pt idx="80" formatCode="0.0">
                  <c:v>0.701461013571391</c:v>
                </c:pt>
              </c:numCache>
            </c:numRef>
          </c:val>
        </c:ser>
        <c:ser>
          <c:idx val="2"/>
          <c:order val="2"/>
          <c:tx>
            <c:strRef>
              <c:f>'Fuels-Health Tmt at Yr40'!$E$77</c:f>
              <c:strCache>
                <c:ptCount val="1"/>
                <c:pt idx="0">
                  <c:v>Regenerated forest #1</c:v>
                </c:pt>
              </c:strCache>
            </c:strRef>
          </c:tx>
          <c:invertIfNegative val="0"/>
          <c:val>
            <c:numRef>
              <c:f>'Fuels-Health Tmt at Yr40'!$E$78:$E$158</c:f>
              <c:numCache>
                <c:formatCode>0</c:formatCode>
                <c:ptCount val="81"/>
                <c:pt idx="40">
                  <c:v>18.0</c:v>
                </c:pt>
                <c:pt idx="41">
                  <c:v>18.2171957703053</c:v>
                </c:pt>
                <c:pt idx="42">
                  <c:v>19.94036919288419</c:v>
                </c:pt>
                <c:pt idx="43">
                  <c:v>21.66354261546308</c:v>
                </c:pt>
                <c:pt idx="44">
                  <c:v>23.38671603804196</c:v>
                </c:pt>
                <c:pt idx="45">
                  <c:v>25.10988946062085</c:v>
                </c:pt>
                <c:pt idx="46">
                  <c:v>26.83306288319974</c:v>
                </c:pt>
                <c:pt idx="47">
                  <c:v>28.55623630577863</c:v>
                </c:pt>
                <c:pt idx="48">
                  <c:v>30.27940972835752</c:v>
                </c:pt>
                <c:pt idx="49">
                  <c:v>32.00258315093641</c:v>
                </c:pt>
                <c:pt idx="50">
                  <c:v>33.7257565735153</c:v>
                </c:pt>
                <c:pt idx="51">
                  <c:v>35.44892999609419</c:v>
                </c:pt>
                <c:pt idx="52">
                  <c:v>37.17210341867307</c:v>
                </c:pt>
                <c:pt idx="53">
                  <c:v>38.89527684125196</c:v>
                </c:pt>
                <c:pt idx="54">
                  <c:v>40.61845026383085</c:v>
                </c:pt>
                <c:pt idx="55">
                  <c:v>42.34162368640974</c:v>
                </c:pt>
                <c:pt idx="56">
                  <c:v>44.06479710898863</c:v>
                </c:pt>
                <c:pt idx="57">
                  <c:v>45.78797053156752</c:v>
                </c:pt>
                <c:pt idx="58">
                  <c:v>47.51114395414641</c:v>
                </c:pt>
                <c:pt idx="59">
                  <c:v>49.2343173767253</c:v>
                </c:pt>
                <c:pt idx="60">
                  <c:v>50.95749079930418</c:v>
                </c:pt>
                <c:pt idx="61">
                  <c:v>52.68066422188307</c:v>
                </c:pt>
                <c:pt idx="62">
                  <c:v>54.40383764446196</c:v>
                </c:pt>
                <c:pt idx="63">
                  <c:v>56.12701106704085</c:v>
                </c:pt>
                <c:pt idx="64">
                  <c:v>57.85018448961974</c:v>
                </c:pt>
                <c:pt idx="65">
                  <c:v>59.57335791219862</c:v>
                </c:pt>
                <c:pt idx="66">
                  <c:v>61.2965313347775</c:v>
                </c:pt>
                <c:pt idx="67">
                  <c:v>63.0197047573564</c:v>
                </c:pt>
                <c:pt idx="68">
                  <c:v>64.74287817993529</c:v>
                </c:pt>
                <c:pt idx="69">
                  <c:v>66.46605160251418</c:v>
                </c:pt>
                <c:pt idx="70">
                  <c:v>68.18922502509308</c:v>
                </c:pt>
                <c:pt idx="71">
                  <c:v>69.91239844767198</c:v>
                </c:pt>
                <c:pt idx="72">
                  <c:v>71.63557187025087</c:v>
                </c:pt>
                <c:pt idx="73">
                  <c:v>73.35874529282977</c:v>
                </c:pt>
                <c:pt idx="74">
                  <c:v>75.08191871540866</c:v>
                </c:pt>
                <c:pt idx="75">
                  <c:v>76.80509213798756</c:v>
                </c:pt>
                <c:pt idx="76">
                  <c:v>78.52826556056645</c:v>
                </c:pt>
                <c:pt idx="77">
                  <c:v>80.25143898314534</c:v>
                </c:pt>
                <c:pt idx="78">
                  <c:v>81.97461240572424</c:v>
                </c:pt>
                <c:pt idx="79">
                  <c:v>83.69778582830314</c:v>
                </c:pt>
                <c:pt idx="80">
                  <c:v>85.42095925088196</c:v>
                </c:pt>
              </c:numCache>
            </c:numRef>
          </c:val>
        </c:ser>
        <c:ser>
          <c:idx val="3"/>
          <c:order val="3"/>
          <c:tx>
            <c:strRef>
              <c:f>'Fuels-Health Tmt at Yr40'!$F$77</c:f>
              <c:strCache>
                <c:ptCount val="1"/>
                <c:pt idx="0">
                  <c:v>Energy from logging residues #1</c:v>
                </c:pt>
              </c:strCache>
            </c:strRef>
          </c:tx>
          <c:invertIfNegative val="0"/>
          <c:val>
            <c:numRef>
              <c:f>'Fuels-Health Tmt at Yr40'!$F$78:$F$158</c:f>
              <c:numCache>
                <c:formatCode>0</c:formatCode>
                <c:ptCount val="81"/>
                <c:pt idx="40" formatCode="0.0">
                  <c:v>3.272736504918681</c:v>
                </c:pt>
                <c:pt idx="41" formatCode="0.0">
                  <c:v>3.272736504918681</c:v>
                </c:pt>
                <c:pt idx="42" formatCode="0.0">
                  <c:v>3.272736504918681</c:v>
                </c:pt>
                <c:pt idx="43" formatCode="0.0">
                  <c:v>3.272736504918681</c:v>
                </c:pt>
                <c:pt idx="44" formatCode="0.0">
                  <c:v>3.272736504918681</c:v>
                </c:pt>
                <c:pt idx="45" formatCode="0.0">
                  <c:v>3.272736504918681</c:v>
                </c:pt>
                <c:pt idx="46" formatCode="0.0">
                  <c:v>3.272736504918681</c:v>
                </c:pt>
                <c:pt idx="47" formatCode="0.0">
                  <c:v>3.272736504918681</c:v>
                </c:pt>
                <c:pt idx="48" formatCode="0.0">
                  <c:v>3.272736504918681</c:v>
                </c:pt>
                <c:pt idx="49" formatCode="0.0">
                  <c:v>3.272736504918681</c:v>
                </c:pt>
                <c:pt idx="50" formatCode="0.0">
                  <c:v>3.272736504918681</c:v>
                </c:pt>
                <c:pt idx="51" formatCode="0.0">
                  <c:v>3.272736504918681</c:v>
                </c:pt>
                <c:pt idx="52" formatCode="0.0">
                  <c:v>3.272736504918681</c:v>
                </c:pt>
                <c:pt idx="53" formatCode="0.0">
                  <c:v>3.272736504918681</c:v>
                </c:pt>
                <c:pt idx="54" formatCode="0.0">
                  <c:v>3.272736504918681</c:v>
                </c:pt>
                <c:pt idx="55" formatCode="0.0">
                  <c:v>3.272736504918681</c:v>
                </c:pt>
                <c:pt idx="56" formatCode="0.0">
                  <c:v>3.272736504918681</c:v>
                </c:pt>
                <c:pt idx="57" formatCode="0.0">
                  <c:v>3.272736504918681</c:v>
                </c:pt>
                <c:pt idx="58" formatCode="0.0">
                  <c:v>3.272736504918681</c:v>
                </c:pt>
                <c:pt idx="59" formatCode="0.0">
                  <c:v>3.272736504918681</c:v>
                </c:pt>
                <c:pt idx="60" formatCode="0.0">
                  <c:v>3.272736504918681</c:v>
                </c:pt>
                <c:pt idx="61" formatCode="0.0">
                  <c:v>3.272736504918681</c:v>
                </c:pt>
                <c:pt idx="62" formatCode="0.0">
                  <c:v>3.272736504918681</c:v>
                </c:pt>
                <c:pt idx="63" formatCode="0.0">
                  <c:v>3.272736504918681</c:v>
                </c:pt>
                <c:pt idx="64" formatCode="0.0">
                  <c:v>3.272736504918681</c:v>
                </c:pt>
                <c:pt idx="65" formatCode="0.0">
                  <c:v>3.272736504918681</c:v>
                </c:pt>
                <c:pt idx="66" formatCode="0.0">
                  <c:v>3.272736504918681</c:v>
                </c:pt>
                <c:pt idx="67" formatCode="0.0">
                  <c:v>3.272736504918681</c:v>
                </c:pt>
                <c:pt idx="68" formatCode="0.0">
                  <c:v>3.272736504918681</c:v>
                </c:pt>
                <c:pt idx="69" formatCode="0.0">
                  <c:v>3.272736504918681</c:v>
                </c:pt>
                <c:pt idx="70" formatCode="0.0">
                  <c:v>3.272736504918681</c:v>
                </c:pt>
                <c:pt idx="71" formatCode="0.0">
                  <c:v>3.272736504918681</c:v>
                </c:pt>
                <c:pt idx="72" formatCode="0.0">
                  <c:v>3.272736504918681</c:v>
                </c:pt>
                <c:pt idx="73" formatCode="0.0">
                  <c:v>3.272736504918681</c:v>
                </c:pt>
                <c:pt idx="74" formatCode="0.0">
                  <c:v>3.272736504918681</c:v>
                </c:pt>
                <c:pt idx="75" formatCode="0.0">
                  <c:v>3.272736504918681</c:v>
                </c:pt>
                <c:pt idx="76" formatCode="0.0">
                  <c:v>3.272736504918681</c:v>
                </c:pt>
                <c:pt idx="77" formatCode="0.0">
                  <c:v>3.272736504918681</c:v>
                </c:pt>
                <c:pt idx="78" formatCode="0.0">
                  <c:v>3.272736504918681</c:v>
                </c:pt>
                <c:pt idx="79" formatCode="0.0">
                  <c:v>3.272736504918681</c:v>
                </c:pt>
                <c:pt idx="80" formatCode="0.0">
                  <c:v>3.272736504918681</c:v>
                </c:pt>
              </c:numCache>
            </c:numRef>
          </c:val>
        </c:ser>
        <c:ser>
          <c:idx val="4"/>
          <c:order val="4"/>
          <c:tx>
            <c:strRef>
              <c:f>'Fuels-Health Tmt at Yr40'!$G$77</c:f>
              <c:strCache>
                <c:ptCount val="1"/>
                <c:pt idx="0">
                  <c:v>Energy from sawmill residues #1</c:v>
                </c:pt>
              </c:strCache>
            </c:strRef>
          </c:tx>
          <c:invertIfNegative val="0"/>
          <c:val>
            <c:numRef>
              <c:f>'Fuels-Health Tmt at Yr40'!$G$78:$G$158</c:f>
              <c:numCache>
                <c:formatCode>0</c:formatCode>
                <c:ptCount val="81"/>
                <c:pt idx="40" formatCode="0.0">
                  <c:v>0.565658161343969</c:v>
                </c:pt>
                <c:pt idx="41" formatCode="0.0">
                  <c:v>0.565658161343969</c:v>
                </c:pt>
                <c:pt idx="42" formatCode="0.0">
                  <c:v>0.565658161343969</c:v>
                </c:pt>
                <c:pt idx="43" formatCode="0.0">
                  <c:v>0.565658161343969</c:v>
                </c:pt>
                <c:pt idx="44" formatCode="0.0">
                  <c:v>0.565658161343969</c:v>
                </c:pt>
                <c:pt idx="45" formatCode="0.0">
                  <c:v>0.565658161343969</c:v>
                </c:pt>
                <c:pt idx="46" formatCode="0.0">
                  <c:v>0.565658161343969</c:v>
                </c:pt>
                <c:pt idx="47" formatCode="0.0">
                  <c:v>0.565658161343969</c:v>
                </c:pt>
                <c:pt idx="48" formatCode="0.0">
                  <c:v>0.565658161343969</c:v>
                </c:pt>
                <c:pt idx="49" formatCode="0.0">
                  <c:v>0.565658161343969</c:v>
                </c:pt>
                <c:pt idx="50" formatCode="0.0">
                  <c:v>0.565658161343969</c:v>
                </c:pt>
                <c:pt idx="51" formatCode="0.0">
                  <c:v>0.565658161343969</c:v>
                </c:pt>
                <c:pt idx="52" formatCode="0.0">
                  <c:v>0.565658161343969</c:v>
                </c:pt>
                <c:pt idx="53" formatCode="0.0">
                  <c:v>0.565658161343969</c:v>
                </c:pt>
                <c:pt idx="54" formatCode="0.0">
                  <c:v>0.565658161343969</c:v>
                </c:pt>
                <c:pt idx="55" formatCode="0.0">
                  <c:v>0.565658161343969</c:v>
                </c:pt>
                <c:pt idx="56" formatCode="0.0">
                  <c:v>0.565658161343969</c:v>
                </c:pt>
                <c:pt idx="57" formatCode="0.0">
                  <c:v>0.565658161343969</c:v>
                </c:pt>
                <c:pt idx="58" formatCode="0.0">
                  <c:v>0.565658161343969</c:v>
                </c:pt>
                <c:pt idx="59" formatCode="0.0">
                  <c:v>0.565658161343969</c:v>
                </c:pt>
                <c:pt idx="60" formatCode="0.0">
                  <c:v>0.565658161343969</c:v>
                </c:pt>
                <c:pt idx="61" formatCode="0.0">
                  <c:v>0.565658161343969</c:v>
                </c:pt>
                <c:pt idx="62" formatCode="0.0">
                  <c:v>0.565658161343969</c:v>
                </c:pt>
                <c:pt idx="63" formatCode="0.0">
                  <c:v>0.565658161343969</c:v>
                </c:pt>
                <c:pt idx="64" formatCode="0.0">
                  <c:v>0.565658161343969</c:v>
                </c:pt>
                <c:pt idx="65" formatCode="0.0">
                  <c:v>0.565658161343969</c:v>
                </c:pt>
                <c:pt idx="66" formatCode="0.0">
                  <c:v>0.565658161343969</c:v>
                </c:pt>
                <c:pt idx="67" formatCode="0.0">
                  <c:v>0.565658161343969</c:v>
                </c:pt>
                <c:pt idx="68" formatCode="0.0">
                  <c:v>0.565658161343969</c:v>
                </c:pt>
                <c:pt idx="69" formatCode="0.0">
                  <c:v>0.565658161343969</c:v>
                </c:pt>
                <c:pt idx="70" formatCode="0.0">
                  <c:v>0.565658161343969</c:v>
                </c:pt>
                <c:pt idx="71" formatCode="0.0">
                  <c:v>0.565658161343969</c:v>
                </c:pt>
                <c:pt idx="72" formatCode="0.0">
                  <c:v>0.565658161343969</c:v>
                </c:pt>
                <c:pt idx="73" formatCode="0.0">
                  <c:v>0.565658161343969</c:v>
                </c:pt>
                <c:pt idx="74" formatCode="0.0">
                  <c:v>0.565658161343969</c:v>
                </c:pt>
                <c:pt idx="75" formatCode="0.0">
                  <c:v>0.565658161343969</c:v>
                </c:pt>
                <c:pt idx="76" formatCode="0.0">
                  <c:v>0.565658161343969</c:v>
                </c:pt>
                <c:pt idx="77" formatCode="0.0">
                  <c:v>0.565658161343969</c:v>
                </c:pt>
                <c:pt idx="78" formatCode="0.0">
                  <c:v>0.565658161343969</c:v>
                </c:pt>
                <c:pt idx="79" formatCode="0.0">
                  <c:v>0.565658161343969</c:v>
                </c:pt>
                <c:pt idx="80" formatCode="0.0">
                  <c:v>0.565658161343969</c:v>
                </c:pt>
              </c:numCache>
            </c:numRef>
          </c:val>
        </c:ser>
        <c:ser>
          <c:idx val="5"/>
          <c:order val="5"/>
          <c:tx>
            <c:strRef>
              <c:f>'Fuels-Health Tmt at Yr40'!$H$77</c:f>
              <c:strCache>
                <c:ptCount val="1"/>
                <c:pt idx="0">
                  <c:v>Wood products #1</c:v>
                </c:pt>
              </c:strCache>
            </c:strRef>
          </c:tx>
          <c:invertIfNegative val="0"/>
          <c:val>
            <c:numRef>
              <c:f>'Fuels-Health Tmt at Yr40'!$H$78:$H$158</c:f>
              <c:numCache>
                <c:formatCode>0</c:formatCode>
                <c:ptCount val="81"/>
                <c:pt idx="25">
                  <c:v>0.0</c:v>
                </c:pt>
                <c:pt idx="40" formatCode="0.0">
                  <c:v>1.767681754199905</c:v>
                </c:pt>
                <c:pt idx="41" formatCode="0.0">
                  <c:v>1.740662301853661</c:v>
                </c:pt>
                <c:pt idx="42" formatCode="0.0">
                  <c:v>1.714055848512106</c:v>
                </c:pt>
                <c:pt idx="43" formatCode="0.0">
                  <c:v>1.687856081383416</c:v>
                </c:pt>
                <c:pt idx="44" formatCode="0.0">
                  <c:v>1.662056784168347</c:v>
                </c:pt>
                <c:pt idx="45" formatCode="0.0">
                  <c:v>1.63665183558533</c:v>
                </c:pt>
                <c:pt idx="46" formatCode="0.0">
                  <c:v>1.611635207918091</c:v>
                </c:pt>
                <c:pt idx="47" formatCode="0.0">
                  <c:v>1.587000965585494</c:v>
                </c:pt>
                <c:pt idx="48" formatCode="0.0">
                  <c:v>1.562743263733224</c:v>
                </c:pt>
                <c:pt idx="49" formatCode="0.0">
                  <c:v>1.538856346847008</c:v>
                </c:pt>
                <c:pt idx="50" formatCode="0.0">
                  <c:v>1.515334547387033</c:v>
                </c:pt>
                <c:pt idx="51" formatCode="0.0">
                  <c:v>1.49217228444323</c:v>
                </c:pt>
                <c:pt idx="52" formatCode="0.0">
                  <c:v>1.469364062411121</c:v>
                </c:pt>
                <c:pt idx="53" formatCode="0.0">
                  <c:v>1.4469044696879</c:v>
                </c:pt>
                <c:pt idx="54" formatCode="0.0">
                  <c:v>1.424788177388444</c:v>
                </c:pt>
                <c:pt idx="55" formatCode="0.0">
                  <c:v>1.403009938080961</c:v>
                </c:pt>
                <c:pt idx="56" formatCode="0.0">
                  <c:v>1.381564584541945</c:v>
                </c:pt>
                <c:pt idx="57" formatCode="0.0">
                  <c:v>1.360447028530181</c:v>
                </c:pt>
                <c:pt idx="58" formatCode="0.0">
                  <c:v>1.339652259579479</c:v>
                </c:pt>
                <c:pt idx="59" formatCode="0.0">
                  <c:v>1.319175343809859</c:v>
                </c:pt>
                <c:pt idx="60" formatCode="0.0">
                  <c:v>1.299011422756918</c:v>
                </c:pt>
                <c:pt idx="61" formatCode="0.0">
                  <c:v>1.279155712219083</c:v>
                </c:pt>
                <c:pt idx="62" formatCode="0.0">
                  <c:v>1.259603501122481</c:v>
                </c:pt>
                <c:pt idx="63" formatCode="0.0">
                  <c:v>1.240350150403168</c:v>
                </c:pt>
                <c:pt idx="64" formatCode="0.0">
                  <c:v>1.22139109190644</c:v>
                </c:pt>
                <c:pt idx="65" formatCode="0.0">
                  <c:v>1.202721827302966</c:v>
                </c:pt>
                <c:pt idx="66" formatCode="0.0">
                  <c:v>1.184337927021488</c:v>
                </c:pt>
                <c:pt idx="67" formatCode="0.0">
                  <c:v>1.16623502919784</c:v>
                </c:pt>
                <c:pt idx="68" formatCode="0.0">
                  <c:v>1.148408838640031</c:v>
                </c:pt>
                <c:pt idx="69" formatCode="0.0">
                  <c:v>1.130855125809135</c:v>
                </c:pt>
                <c:pt idx="70" formatCode="0.0">
                  <c:v>1.113569725815778</c:v>
                </c:pt>
                <c:pt idx="71" formatCode="0.0">
                  <c:v>1.096548537431946</c:v>
                </c:pt>
                <c:pt idx="72" formatCode="0.0">
                  <c:v>1.079787522117911</c:v>
                </c:pt>
                <c:pt idx="73" formatCode="0.0">
                  <c:v>1.06328270306402</c:v>
                </c:pt>
                <c:pt idx="74" formatCode="0.0">
                  <c:v>1.047030164247141</c:v>
                </c:pt>
                <c:pt idx="75" formatCode="0.0">
                  <c:v>1.03102604950152</c:v>
                </c:pt>
                <c:pt idx="76" formatCode="0.0">
                  <c:v>1.015266561603852</c:v>
                </c:pt>
                <c:pt idx="77" formatCode="0.0">
                  <c:v>0.999747961372327</c:v>
                </c:pt>
                <c:pt idx="78" formatCode="0.0">
                  <c:v>0.984466566779452</c:v>
                </c:pt>
                <c:pt idx="79" formatCode="0.0">
                  <c:v>0.969418752078436</c:v>
                </c:pt>
                <c:pt idx="80" formatCode="0.0">
                  <c:v>0.954600946942921</c:v>
                </c:pt>
              </c:numCache>
            </c:numRef>
          </c:val>
        </c:ser>
        <c:ser>
          <c:idx val="6"/>
          <c:order val="6"/>
          <c:tx>
            <c:strRef>
              <c:f>'Fuels-Health Tmt at Yr40'!$I$77</c:f>
              <c:strCache>
                <c:ptCount val="1"/>
                <c:pt idx="0">
                  <c:v>Landfill #1</c:v>
                </c:pt>
              </c:strCache>
            </c:strRef>
          </c:tx>
          <c:invertIfNegative val="0"/>
          <c:val>
            <c:numRef>
              <c:f>'Fuels-Health Tmt at Yr40'!$I$78:$I$158</c:f>
              <c:numCache>
                <c:formatCode>0</c:formatCode>
                <c:ptCount val="81"/>
                <c:pt idx="40" formatCode="0.0">
                  <c:v>0.0</c:v>
                </c:pt>
                <c:pt idx="41" formatCode="0.0">
                  <c:v>0.0180309811990599</c:v>
                </c:pt>
                <c:pt idx="42" formatCode="0.0">
                  <c:v>0.0357863543956574</c:v>
                </c:pt>
                <c:pt idx="43" formatCode="0.0">
                  <c:v>0.0532703323262037</c:v>
                </c:pt>
                <c:pt idx="44" formatCode="0.0">
                  <c:v>0.0704870633343924</c:v>
                </c:pt>
                <c:pt idx="45" formatCode="0.0">
                  <c:v>0.0874406323554598</c:v>
                </c:pt>
                <c:pt idx="46" formatCode="0.0">
                  <c:v>0.104135061885397</c:v>
                </c:pt>
                <c:pt idx="47" formatCode="0.0">
                  <c:v>0.12057431293535</c:v>
                </c:pt>
                <c:pt idx="48" formatCode="0.0">
                  <c:v>0.136762285971432</c:v>
                </c:pt>
                <c:pt idx="49" formatCode="0.0">
                  <c:v>0.152702821840166</c:v>
                </c:pt>
                <c:pt idx="50" formatCode="0.0">
                  <c:v>0.16839970267979</c:v>
                </c:pt>
                <c:pt idx="51" formatCode="0.0">
                  <c:v>0.183856652817621</c:v>
                </c:pt>
                <c:pt idx="52" formatCode="0.0">
                  <c:v>0.199077339653715</c:v>
                </c:pt>
                <c:pt idx="53" formatCode="0.0">
                  <c:v>0.214065374531011</c:v>
                </c:pt>
                <c:pt idx="54" formatCode="0.0">
                  <c:v>0.228824313592181</c:v>
                </c:pt>
                <c:pt idx="55" formatCode="0.0">
                  <c:v>0.243357658623375</c:v>
                </c:pt>
                <c:pt idx="56" formatCode="0.0">
                  <c:v>0.257668857885079</c:v>
                </c:pt>
                <c:pt idx="57" formatCode="0.0">
                  <c:v>0.271761306930262</c:v>
                </c:pt>
                <c:pt idx="58" formatCode="0.0">
                  <c:v>0.285638349410031</c:v>
                </c:pt>
                <c:pt idx="59" formatCode="0.0">
                  <c:v>0.299303277866957</c:v>
                </c:pt>
                <c:pt idx="60" formatCode="0.0">
                  <c:v>0.312759334516286</c:v>
                </c:pt>
                <c:pt idx="61" formatCode="0.0">
                  <c:v>0.326009712015202</c:v>
                </c:pt>
                <c:pt idx="62" formatCode="0.0">
                  <c:v>0.339057554220334</c:v>
                </c:pt>
                <c:pt idx="63" formatCode="0.0">
                  <c:v>0.351905956933689</c:v>
                </c:pt>
                <c:pt idx="64" formatCode="0.0">
                  <c:v>0.364557968637172</c:v>
                </c:pt>
                <c:pt idx="65" formatCode="0.0">
                  <c:v>0.377016591215891</c:v>
                </c:pt>
                <c:pt idx="66" formatCode="0.0">
                  <c:v>0.389284780670397</c:v>
                </c:pt>
                <c:pt idx="67" formatCode="0.0">
                  <c:v>0.401365447818044</c:v>
                </c:pt>
                <c:pt idx="68" formatCode="0.0">
                  <c:v>0.413261458983623</c:v>
                </c:pt>
                <c:pt idx="69" formatCode="0.0">
                  <c:v>0.42497563667944</c:v>
                </c:pt>
                <c:pt idx="70" formatCode="0.0">
                  <c:v>0.436510760275008</c:v>
                </c:pt>
                <c:pt idx="71" formatCode="0.0">
                  <c:v>0.447869566656485</c:v>
                </c:pt>
                <c:pt idx="72" formatCode="0.0">
                  <c:v>0.459054750876051</c:v>
                </c:pt>
                <c:pt idx="73" formatCode="0.0">
                  <c:v>0.470068966791347</c:v>
                </c:pt>
                <c:pt idx="74" formatCode="0.0">
                  <c:v>0.480914827695145</c:v>
                </c:pt>
                <c:pt idx="75" formatCode="0.0">
                  <c:v>0.491594906935389</c:v>
                </c:pt>
                <c:pt idx="76" formatCode="0.0">
                  <c:v>0.502111738525766</c:v>
                </c:pt>
                <c:pt idx="77" formatCode="0.0">
                  <c:v>0.512467817746937</c:v>
                </c:pt>
                <c:pt idx="78" formatCode="0.0">
                  <c:v>0.522665601738582</c:v>
                </c:pt>
                <c:pt idx="79" formatCode="0.0">
                  <c:v>0.532707510082394</c:v>
                </c:pt>
                <c:pt idx="80" formatCode="0.0">
                  <c:v>0.54259592537616</c:v>
                </c:pt>
              </c:numCache>
            </c:numRef>
          </c:val>
        </c:ser>
        <c:ser>
          <c:idx val="8"/>
          <c:order val="7"/>
          <c:tx>
            <c:strRef>
              <c:f>'Fuels-Health Tmt at Yr40'!$K$77</c:f>
              <c:strCache>
                <c:ptCount val="1"/>
                <c:pt idx="0">
                  <c:v>Substitution Benefits #1</c:v>
                </c:pt>
              </c:strCache>
            </c:strRef>
          </c:tx>
          <c:invertIfNegative val="0"/>
          <c:val>
            <c:numRef>
              <c:f>'Fuels-Health Tmt at Yr40'!$K$78:$K$158</c:f>
              <c:numCache>
                <c:formatCode>0</c:formatCode>
                <c:ptCount val="81"/>
                <c:pt idx="40" formatCode="0.0">
                  <c:v>1.007578599893946</c:v>
                </c:pt>
                <c:pt idx="41" formatCode="0.0">
                  <c:v>1.007578599893946</c:v>
                </c:pt>
                <c:pt idx="42" formatCode="0.0">
                  <c:v>1.007578599893946</c:v>
                </c:pt>
                <c:pt idx="43" formatCode="0.0">
                  <c:v>1.007578599893946</c:v>
                </c:pt>
                <c:pt idx="44" formatCode="0.0">
                  <c:v>1.007578599893946</c:v>
                </c:pt>
                <c:pt idx="45" formatCode="0.0">
                  <c:v>1.007578599893946</c:v>
                </c:pt>
                <c:pt idx="46" formatCode="0.0">
                  <c:v>1.007578599893946</c:v>
                </c:pt>
                <c:pt idx="47" formatCode="0.0">
                  <c:v>1.007578599893946</c:v>
                </c:pt>
                <c:pt idx="48" formatCode="0.0">
                  <c:v>1.007578599893946</c:v>
                </c:pt>
                <c:pt idx="49" formatCode="0.0">
                  <c:v>1.007578599893946</c:v>
                </c:pt>
                <c:pt idx="50" formatCode="0.0">
                  <c:v>1.007578599893946</c:v>
                </c:pt>
                <c:pt idx="51" formatCode="0.0">
                  <c:v>1.007578599893946</c:v>
                </c:pt>
                <c:pt idx="52" formatCode="0.0">
                  <c:v>1.007578599893946</c:v>
                </c:pt>
                <c:pt idx="53" formatCode="0.0">
                  <c:v>1.007578599893946</c:v>
                </c:pt>
                <c:pt idx="54" formatCode="0.0">
                  <c:v>1.007578599893946</c:v>
                </c:pt>
                <c:pt idx="55" formatCode="0.0">
                  <c:v>1.007578599893946</c:v>
                </c:pt>
                <c:pt idx="56" formatCode="0.0">
                  <c:v>1.007578599893946</c:v>
                </c:pt>
                <c:pt idx="57" formatCode="0.0">
                  <c:v>1.007578599893946</c:v>
                </c:pt>
                <c:pt idx="58" formatCode="0.0">
                  <c:v>1.007578599893946</c:v>
                </c:pt>
                <c:pt idx="59" formatCode="0.0">
                  <c:v>1.007578599893946</c:v>
                </c:pt>
                <c:pt idx="60" formatCode="0.0">
                  <c:v>1.007578599893946</c:v>
                </c:pt>
                <c:pt idx="61" formatCode="0.0">
                  <c:v>1.007578599893946</c:v>
                </c:pt>
                <c:pt idx="62" formatCode="0.0">
                  <c:v>1.007578599893946</c:v>
                </c:pt>
                <c:pt idx="63" formatCode="0.0">
                  <c:v>1.007578599893946</c:v>
                </c:pt>
                <c:pt idx="64" formatCode="0.0">
                  <c:v>1.007578599893946</c:v>
                </c:pt>
                <c:pt idx="65" formatCode="0.0">
                  <c:v>1.007578599893946</c:v>
                </c:pt>
                <c:pt idx="66" formatCode="0.0">
                  <c:v>1.007578599893946</c:v>
                </c:pt>
                <c:pt idx="67" formatCode="0.0">
                  <c:v>1.007578599893946</c:v>
                </c:pt>
                <c:pt idx="68" formatCode="0.0">
                  <c:v>1.007578599893946</c:v>
                </c:pt>
                <c:pt idx="69" formatCode="0.0">
                  <c:v>1.007578599893946</c:v>
                </c:pt>
                <c:pt idx="70" formatCode="0.0">
                  <c:v>1.007578599893946</c:v>
                </c:pt>
                <c:pt idx="71" formatCode="0.0">
                  <c:v>1.007578599893946</c:v>
                </c:pt>
                <c:pt idx="72" formatCode="0.0">
                  <c:v>1.007578599893946</c:v>
                </c:pt>
                <c:pt idx="73" formatCode="0.0">
                  <c:v>1.007578599893946</c:v>
                </c:pt>
                <c:pt idx="74" formatCode="0.0">
                  <c:v>1.007578599893946</c:v>
                </c:pt>
                <c:pt idx="75" formatCode="0.0">
                  <c:v>1.007578599893946</c:v>
                </c:pt>
                <c:pt idx="76" formatCode="0.0">
                  <c:v>1.007578599893946</c:v>
                </c:pt>
                <c:pt idx="77" formatCode="0.0">
                  <c:v>1.007578599893946</c:v>
                </c:pt>
                <c:pt idx="78" formatCode="0.0">
                  <c:v>1.007578599893946</c:v>
                </c:pt>
                <c:pt idx="79" formatCode="0.0">
                  <c:v>1.007578599893946</c:v>
                </c:pt>
                <c:pt idx="80" formatCode="0.0">
                  <c:v>1.007578599893946</c:v>
                </c:pt>
              </c:numCache>
            </c:numRef>
          </c:val>
        </c:ser>
        <c:ser>
          <c:idx val="7"/>
          <c:order val="8"/>
          <c:tx>
            <c:strRef>
              <c:f>'Fuels-Health Tmt at Yr40'!$J$77</c:f>
              <c:strCache>
                <c:ptCount val="1"/>
                <c:pt idx="0">
                  <c:v>Energy from post-consumer residues #1</c:v>
                </c:pt>
              </c:strCache>
            </c:strRef>
          </c:tx>
          <c:invertIfNegative val="0"/>
          <c:val>
            <c:numRef>
              <c:f>'Fuels-Health Tmt at Yr40'!$J$78:$J$158</c:f>
              <c:numCache>
                <c:formatCode>0</c:formatCode>
                <c:ptCount val="81"/>
                <c:pt idx="40" formatCode="0.0">
                  <c:v>0.0</c:v>
                </c:pt>
                <c:pt idx="41" formatCode="0.0">
                  <c:v>0.00900648411541453</c:v>
                </c:pt>
                <c:pt idx="42" formatCode="0.0">
                  <c:v>0.0178753018959328</c:v>
                </c:pt>
                <c:pt idx="43" formatCode="0.0">
                  <c:v>0.0266085576054963</c:v>
                </c:pt>
                <c:pt idx="44" formatCode="0.0">
                  <c:v>0.0352083233438524</c:v>
                </c:pt>
                <c:pt idx="45" formatCode="0.0">
                  <c:v>0.0436766395381917</c:v>
                </c:pt>
                <c:pt idx="46" formatCode="0.0">
                  <c:v>0.0520155154272712</c:v>
                </c:pt>
                <c:pt idx="47" formatCode="0.0">
                  <c:v>0.0602269295381369</c:v>
                </c:pt>
                <c:pt idx="48" formatCode="0.0">
                  <c:v>0.0683128301555604</c:v>
                </c:pt>
                <c:pt idx="49" formatCode="0.0">
                  <c:v>0.0762751357842989</c:v>
                </c:pt>
                <c:pt idx="50" formatCode="0.0">
                  <c:v>0.0841157356042907</c:v>
                </c:pt>
                <c:pt idx="51" formatCode="0.0">
                  <c:v>0.0918364899188915</c:v>
                </c:pt>
                <c:pt idx="52" formatCode="0.0">
                  <c:v>0.0994392305962611</c:v>
                </c:pt>
                <c:pt idx="53" formatCode="0.0">
                  <c:v>0.106925761504002</c:v>
                </c:pt>
                <c:pt idx="54" formatCode="0.0">
                  <c:v>0.114297858937153</c:v>
                </c:pt>
                <c:pt idx="55" formatCode="0.0">
                  <c:v>0.121557272039648</c:v>
                </c:pt>
                <c:pt idx="56" formatCode="0.0">
                  <c:v>0.12870572321932</c:v>
                </c:pt>
                <c:pt idx="57" formatCode="0.0">
                  <c:v>0.135744908556574</c:v>
                </c:pt>
                <c:pt idx="58" formatCode="0.0">
                  <c:v>0.142676498206809</c:v>
                </c:pt>
                <c:pt idx="59" formatCode="0.0">
                  <c:v>0.149502136796682</c:v>
                </c:pt>
                <c:pt idx="60" formatCode="0.0">
                  <c:v>0.156223443814329</c:v>
                </c:pt>
                <c:pt idx="61" formatCode="0.0">
                  <c:v>0.162842013993607</c:v>
                </c:pt>
                <c:pt idx="62" formatCode="0.0">
                  <c:v>0.169359417692475</c:v>
                </c:pt>
                <c:pt idx="63" formatCode="0.0">
                  <c:v>0.175777201265579</c:v>
                </c:pt>
                <c:pt idx="64" formatCode="0.0">
                  <c:v>0.182096887431155</c:v>
                </c:pt>
                <c:pt idx="65" formatCode="0.0">
                  <c:v>0.188319975632313</c:v>
                </c:pt>
                <c:pt idx="66" formatCode="0.0">
                  <c:v>0.194447942392806</c:v>
                </c:pt>
                <c:pt idx="67" formatCode="0.0">
                  <c:v>0.200482241667355</c:v>
                </c:pt>
                <c:pt idx="68" formatCode="0.0">
                  <c:v>0.206424305186625</c:v>
                </c:pt>
                <c:pt idx="69" formatCode="0.0">
                  <c:v>0.212275542796923</c:v>
                </c:pt>
                <c:pt idx="70" formatCode="0.0">
                  <c:v>0.218037342794709</c:v>
                </c:pt>
                <c:pt idx="71" formatCode="0.0">
                  <c:v>0.223711072255986</c:v>
                </c:pt>
                <c:pt idx="72" formatCode="0.0">
                  <c:v>0.229298077360665</c:v>
                </c:pt>
                <c:pt idx="73" formatCode="0.0">
                  <c:v>0.234799683711962</c:v>
                </c:pt>
                <c:pt idx="74" formatCode="0.0">
                  <c:v>0.240217196650921</c:v>
                </c:pt>
                <c:pt idx="75" formatCode="0.0">
                  <c:v>0.245551901566128</c:v>
                </c:pt>
                <c:pt idx="76" formatCode="0.0">
                  <c:v>0.250805064198684</c:v>
                </c:pt>
                <c:pt idx="77" formatCode="0.0">
                  <c:v>0.255977930942526</c:v>
                </c:pt>
                <c:pt idx="78" formatCode="0.0">
                  <c:v>0.261071729140151</c:v>
                </c:pt>
                <c:pt idx="79" formatCode="0.0">
                  <c:v>0.266087667373823</c:v>
                </c:pt>
                <c:pt idx="80" formatCode="0.0">
                  <c:v>0.271026935752328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086800968"/>
        <c:axId val="-2086795272"/>
      </c:barChart>
      <c:lineChart>
        <c:grouping val="standard"/>
        <c:varyColors val="0"/>
        <c:ser>
          <c:idx val="0"/>
          <c:order val="1"/>
          <c:tx>
            <c:strRef>
              <c:f>'Fuels-Health Tmt at Yr40'!$C$77</c:f>
              <c:strCache>
                <c:ptCount val="1"/>
                <c:pt idx="0">
                  <c:v>Let Grow Forest</c:v>
                </c:pt>
              </c:strCache>
            </c:strRef>
          </c:tx>
          <c:marker>
            <c:symbol val="none"/>
          </c:marker>
          <c:cat>
            <c:numRef>
              <c:f>'Fuels-Health Tmt at Yr40'!$B$78:$B$198</c:f>
              <c:numCache>
                <c:formatCode>General</c:formatCode>
                <c:ptCount val="121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  <c:pt idx="53">
                  <c:v>53.0</c:v>
                </c:pt>
                <c:pt idx="54">
                  <c:v>54.0</c:v>
                </c:pt>
                <c:pt idx="55">
                  <c:v>55.0</c:v>
                </c:pt>
                <c:pt idx="56">
                  <c:v>56.0</c:v>
                </c:pt>
                <c:pt idx="57">
                  <c:v>57.0</c:v>
                </c:pt>
                <c:pt idx="58">
                  <c:v>58.0</c:v>
                </c:pt>
                <c:pt idx="59">
                  <c:v>59.0</c:v>
                </c:pt>
                <c:pt idx="60">
                  <c:v>60.0</c:v>
                </c:pt>
                <c:pt idx="61">
                  <c:v>61.0</c:v>
                </c:pt>
                <c:pt idx="62">
                  <c:v>62.0</c:v>
                </c:pt>
                <c:pt idx="63">
                  <c:v>63.0</c:v>
                </c:pt>
                <c:pt idx="64">
                  <c:v>64.0</c:v>
                </c:pt>
                <c:pt idx="65">
                  <c:v>65.0</c:v>
                </c:pt>
                <c:pt idx="66">
                  <c:v>66.0</c:v>
                </c:pt>
                <c:pt idx="67">
                  <c:v>67.0</c:v>
                </c:pt>
                <c:pt idx="68">
                  <c:v>68.0</c:v>
                </c:pt>
                <c:pt idx="69">
                  <c:v>69.0</c:v>
                </c:pt>
                <c:pt idx="70">
                  <c:v>70.0</c:v>
                </c:pt>
                <c:pt idx="71">
                  <c:v>71.0</c:v>
                </c:pt>
                <c:pt idx="72">
                  <c:v>72.0</c:v>
                </c:pt>
                <c:pt idx="73">
                  <c:v>73.0</c:v>
                </c:pt>
                <c:pt idx="74">
                  <c:v>74.0</c:v>
                </c:pt>
                <c:pt idx="75">
                  <c:v>75.0</c:v>
                </c:pt>
                <c:pt idx="76">
                  <c:v>76.0</c:v>
                </c:pt>
                <c:pt idx="77">
                  <c:v>77.0</c:v>
                </c:pt>
                <c:pt idx="78">
                  <c:v>78.0</c:v>
                </c:pt>
                <c:pt idx="79">
                  <c:v>79.0</c:v>
                </c:pt>
                <c:pt idx="80">
                  <c:v>80.0</c:v>
                </c:pt>
                <c:pt idx="81">
                  <c:v>81.0</c:v>
                </c:pt>
                <c:pt idx="82">
                  <c:v>82.0</c:v>
                </c:pt>
                <c:pt idx="83">
                  <c:v>83.0</c:v>
                </c:pt>
                <c:pt idx="84">
                  <c:v>84.0</c:v>
                </c:pt>
                <c:pt idx="85">
                  <c:v>85.0</c:v>
                </c:pt>
                <c:pt idx="86">
                  <c:v>86.0</c:v>
                </c:pt>
                <c:pt idx="87">
                  <c:v>87.0</c:v>
                </c:pt>
                <c:pt idx="88">
                  <c:v>88.0</c:v>
                </c:pt>
                <c:pt idx="89">
                  <c:v>89.0</c:v>
                </c:pt>
                <c:pt idx="90">
                  <c:v>90.0</c:v>
                </c:pt>
                <c:pt idx="91">
                  <c:v>91.0</c:v>
                </c:pt>
                <c:pt idx="92">
                  <c:v>92.0</c:v>
                </c:pt>
                <c:pt idx="93">
                  <c:v>93.0</c:v>
                </c:pt>
                <c:pt idx="94">
                  <c:v>94.0</c:v>
                </c:pt>
                <c:pt idx="95">
                  <c:v>95.0</c:v>
                </c:pt>
                <c:pt idx="96">
                  <c:v>96.0</c:v>
                </c:pt>
                <c:pt idx="97">
                  <c:v>97.0</c:v>
                </c:pt>
                <c:pt idx="98">
                  <c:v>98.0</c:v>
                </c:pt>
                <c:pt idx="99">
                  <c:v>99.0</c:v>
                </c:pt>
                <c:pt idx="100">
                  <c:v>100.0</c:v>
                </c:pt>
                <c:pt idx="101">
                  <c:v>101.0</c:v>
                </c:pt>
                <c:pt idx="102">
                  <c:v>102.0</c:v>
                </c:pt>
                <c:pt idx="103">
                  <c:v>103.0</c:v>
                </c:pt>
                <c:pt idx="104">
                  <c:v>104.0</c:v>
                </c:pt>
                <c:pt idx="105">
                  <c:v>105.0</c:v>
                </c:pt>
                <c:pt idx="106">
                  <c:v>106.0</c:v>
                </c:pt>
                <c:pt idx="107">
                  <c:v>107.0</c:v>
                </c:pt>
                <c:pt idx="108">
                  <c:v>108.0</c:v>
                </c:pt>
                <c:pt idx="109">
                  <c:v>109.0</c:v>
                </c:pt>
                <c:pt idx="110">
                  <c:v>110.0</c:v>
                </c:pt>
                <c:pt idx="111">
                  <c:v>111.0</c:v>
                </c:pt>
                <c:pt idx="112">
                  <c:v>112.0</c:v>
                </c:pt>
                <c:pt idx="113">
                  <c:v>113.0</c:v>
                </c:pt>
                <c:pt idx="114">
                  <c:v>114.0</c:v>
                </c:pt>
                <c:pt idx="115">
                  <c:v>115.0</c:v>
                </c:pt>
                <c:pt idx="116">
                  <c:v>116.0</c:v>
                </c:pt>
                <c:pt idx="117">
                  <c:v>117.0</c:v>
                </c:pt>
                <c:pt idx="118">
                  <c:v>118.0</c:v>
                </c:pt>
                <c:pt idx="119">
                  <c:v>119.0</c:v>
                </c:pt>
                <c:pt idx="120">
                  <c:v>120.0</c:v>
                </c:pt>
              </c:numCache>
            </c:numRef>
          </c:cat>
          <c:val>
            <c:numRef>
              <c:f>'Fuels-Health Tmt at Yr40'!$C$78:$C$158</c:f>
              <c:numCache>
                <c:formatCode>0</c:formatCode>
                <c:ptCount val="8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29.44057198744755</c:v>
                </c:pt>
                <c:pt idx="42">
                  <c:v>30.83867210421746</c:v>
                </c:pt>
                <c:pt idx="43">
                  <c:v>32.25137452919189</c:v>
                </c:pt>
                <c:pt idx="44">
                  <c:v>33.67734333143365</c:v>
                </c:pt>
                <c:pt idx="45">
                  <c:v>35.1152744793208</c:v>
                </c:pt>
                <c:pt idx="46">
                  <c:v>36.56389706847449</c:v>
                </c:pt>
                <c:pt idx="47">
                  <c:v>38.02197433172761</c:v>
                </c:pt>
                <c:pt idx="48">
                  <c:v>39.48830445007449</c:v>
                </c:pt>
                <c:pt idx="49">
                  <c:v>40.96172118218256</c:v>
                </c:pt>
                <c:pt idx="50">
                  <c:v>42.44109432877955</c:v>
                </c:pt>
                <c:pt idx="51">
                  <c:v>43.925330047044</c:v>
                </c:pt>
                <c:pt idx="52">
                  <c:v>45.41337102902094</c:v>
                </c:pt>
                <c:pt idx="53">
                  <c:v>46.90419655705084</c:v>
                </c:pt>
                <c:pt idx="54">
                  <c:v>48.39682244823677</c:v>
                </c:pt>
                <c:pt idx="55">
                  <c:v>49.89030089907362</c:v>
                </c:pt>
                <c:pt idx="56">
                  <c:v>51.38372024052516</c:v>
                </c:pt>
                <c:pt idx="57">
                  <c:v>52.87620461305117</c:v>
                </c:pt>
                <c:pt idx="58">
                  <c:v>54.36691357035694</c:v>
                </c:pt>
                <c:pt idx="59">
                  <c:v>55.85504161995822</c:v>
                </c:pt>
                <c:pt idx="60">
                  <c:v>57.3398177080194</c:v>
                </c:pt>
                <c:pt idx="61">
                  <c:v>58.82050465533355</c:v>
                </c:pt>
                <c:pt idx="62">
                  <c:v>60.29639855076253</c:v>
                </c:pt>
                <c:pt idx="63">
                  <c:v>61.76682810794416</c:v>
                </c:pt>
                <c:pt idx="64">
                  <c:v>63.23115399059686</c:v>
                </c:pt>
                <c:pt idx="65">
                  <c:v>64.68876811130966</c:v>
                </c:pt>
                <c:pt idx="66">
                  <c:v>66.13909290829365</c:v>
                </c:pt>
                <c:pt idx="67">
                  <c:v>67.58158060418875</c:v>
                </c:pt>
                <c:pt idx="68">
                  <c:v>69.01571245066343</c:v>
                </c:pt>
                <c:pt idx="69">
                  <c:v>70.44099796221553</c:v>
                </c:pt>
                <c:pt idx="70">
                  <c:v>71.85697414227685</c:v>
                </c:pt>
                <c:pt idx="71">
                  <c:v>73.26320470443828</c:v>
                </c:pt>
                <c:pt idx="72">
                  <c:v>74.65927929135088</c:v>
                </c:pt>
                <c:pt idx="73">
                  <c:v>76.0448126936132</c:v>
                </c:pt>
                <c:pt idx="74">
                  <c:v>77.41944407072935</c:v>
                </c:pt>
                <c:pt idx="75">
                  <c:v>78.7828361760137</c:v>
                </c:pt>
                <c:pt idx="76">
                  <c:v>80.13467458712451</c:v>
                </c:pt>
                <c:pt idx="77">
                  <c:v>81.47466694373007</c:v>
                </c:pt>
                <c:pt idx="78">
                  <c:v>82.80254219364599</c:v>
                </c:pt>
                <c:pt idx="79">
                  <c:v>84.11804984863019</c:v>
                </c:pt>
                <c:pt idx="80">
                  <c:v>85.42095925088196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6800968"/>
        <c:axId val="-2086795272"/>
      </c:lineChart>
      <c:catAx>
        <c:axId val="-2086800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</a:t>
                </a:r>
                <a:r>
                  <a:rPr lang="en-US" baseline="0"/>
                  <a:t> Age in Years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-2086795272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-2086795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Sequestered Carbon (tonnes</a:t>
                </a:r>
                <a:r>
                  <a:rPr lang="en-US" baseline="0"/>
                  <a:t> per hectare)</a:t>
                </a:r>
                <a:endParaRPr lang="en-US"/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-20868009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 Climate</a:t>
            </a:r>
            <a:r>
              <a:rPr lang="en-US" baseline="0"/>
              <a:t> Benefits of California Mixed Conifer Forest:</a:t>
            </a:r>
          </a:p>
          <a:p>
            <a:pPr>
              <a:defRPr/>
            </a:pPr>
            <a:r>
              <a:rPr lang="en-US" baseline="0"/>
              <a:t>Forest&amp;Products v Let-grow Forest</a:t>
            </a:r>
            <a:endParaRPr lang="en-US"/>
          </a:p>
        </c:rich>
      </c:tx>
      <c:layout>
        <c:manualLayout>
          <c:xMode val="edge"/>
          <c:yMode val="edge"/>
          <c:x val="0.0296907004271525"/>
          <c:y val="0.0310344589063995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'Mixed conifer Even '!$Y$77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cat>
            <c:numRef>
              <c:f>'Mixed conifer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'Mixed conifer Even '!$Y$78:$Y$318</c:f>
              <c:numCache>
                <c:formatCode>General</c:formatCode>
                <c:ptCount val="241"/>
                <c:pt idx="80" formatCode="0">
                  <c:v>8.542095925088196</c:v>
                </c:pt>
                <c:pt idx="81" formatCode="0">
                  <c:v>8.251120779203575</c:v>
                </c:pt>
                <c:pt idx="82" formatCode="0">
                  <c:v>7.970057314979412</c:v>
                </c:pt>
                <c:pt idx="83" formatCode="0">
                  <c:v>7.698567904151824</c:v>
                </c:pt>
                <c:pt idx="84" formatCode="0">
                  <c:v>7.436326419315055</c:v>
                </c:pt>
                <c:pt idx="85" formatCode="0">
                  <c:v>7.183017842160027</c:v>
                </c:pt>
                <c:pt idx="86" formatCode="0">
                  <c:v>6.93833788505772</c:v>
                </c:pt>
                <c:pt idx="87" formatCode="0">
                  <c:v>6.701992625532833</c:v>
                </c:pt>
                <c:pt idx="88" formatCode="0">
                  <c:v>6.47369815318857</c:v>
                </c:pt>
                <c:pt idx="89" formatCode="0">
                  <c:v>6.253180228658521</c:v>
                </c:pt>
                <c:pt idx="90" formatCode="0">
                  <c:v>6.04017395417584</c:v>
                </c:pt>
                <c:pt idx="91" formatCode="0">
                  <c:v>5.834423455364077</c:v>
                </c:pt>
                <c:pt idx="92" formatCode="0">
                  <c:v>5.635681573867389</c:v>
                </c:pt>
                <c:pt idx="93" formatCode="0">
                  <c:v>5.443709570450862</c:v>
                </c:pt>
                <c:pt idx="94" formatCode="0">
                  <c:v>5.258276838214353</c:v>
                </c:pt>
                <c:pt idx="95" formatCode="0">
                  <c:v>5.079160625575316</c:v>
                </c:pt>
                <c:pt idx="96" formatCode="0">
                  <c:v>4.906145768687844</c:v>
                </c:pt>
                <c:pt idx="97" formatCode="0">
                  <c:v>4.7390244329765</c:v>
                </c:pt>
                <c:pt idx="98" formatCode="0">
                  <c:v>4.577595863474468</c:v>
                </c:pt>
                <c:pt idx="99" formatCode="0">
                  <c:v>4.421666143666086</c:v>
                </c:pt>
                <c:pt idx="100" formatCode="0">
                  <c:v>4.271047962544098</c:v>
                </c:pt>
                <c:pt idx="101" formatCode="0">
                  <c:v>4.125560389601787</c:v>
                </c:pt>
                <c:pt idx="102" formatCode="0">
                  <c:v>3.985028657489706</c:v>
                </c:pt>
                <c:pt idx="103" formatCode="0">
                  <c:v>3.849283952075912</c:v>
                </c:pt>
                <c:pt idx="104" formatCode="0">
                  <c:v>3.718163209657528</c:v>
                </c:pt>
                <c:pt idx="105" formatCode="0">
                  <c:v>3.591508921080013</c:v>
                </c:pt>
                <c:pt idx="106" formatCode="0">
                  <c:v>3.469168942528861</c:v>
                </c:pt>
                <c:pt idx="107" formatCode="0">
                  <c:v>3.350996312766416</c:v>
                </c:pt>
                <c:pt idx="108" formatCode="0">
                  <c:v>3.236849076594286</c:v>
                </c:pt>
                <c:pt idx="109" formatCode="0">
                  <c:v>3.126590114329262</c:v>
                </c:pt>
                <c:pt idx="110" formatCode="0">
                  <c:v>3.02008697708792</c:v>
                </c:pt>
                <c:pt idx="111" formatCode="0">
                  <c:v>2.91721172768204</c:v>
                </c:pt>
                <c:pt idx="112" formatCode="0">
                  <c:v>2.817840786933695</c:v>
                </c:pt>
                <c:pt idx="113" formatCode="0">
                  <c:v>2.721854785225431</c:v>
                </c:pt>
                <c:pt idx="114" formatCode="0">
                  <c:v>2.629138419107177</c:v>
                </c:pt>
                <c:pt idx="115" formatCode="0">
                  <c:v>2.539580312787659</c:v>
                </c:pt>
                <c:pt idx="116" formatCode="0">
                  <c:v>2.453072884343922</c:v>
                </c:pt>
                <c:pt idx="117" formatCode="0">
                  <c:v>2.36951221648825</c:v>
                </c:pt>
                <c:pt idx="118" formatCode="0">
                  <c:v>2.288797931737233</c:v>
                </c:pt>
                <c:pt idx="119" formatCode="0">
                  <c:v>2.210833071833043</c:v>
                </c:pt>
                <c:pt idx="120" formatCode="0">
                  <c:v>2.135523981272049</c:v>
                </c:pt>
                <c:pt idx="121" formatCode="0">
                  <c:v>2.062780194800894</c:v>
                </c:pt>
                <c:pt idx="122" formatCode="0">
                  <c:v>1.992514328744853</c:v>
                </c:pt>
                <c:pt idx="123" formatCode="0">
                  <c:v>1.924641976037956</c:v>
                </c:pt>
                <c:pt idx="124" formatCode="0">
                  <c:v>1.859081604828764</c:v>
                </c:pt>
                <c:pt idx="125" formatCode="0">
                  <c:v>1.795754460540007</c:v>
                </c:pt>
                <c:pt idx="126" formatCode="0">
                  <c:v>1.734584471264431</c:v>
                </c:pt>
                <c:pt idx="127" formatCode="0">
                  <c:v>1.675498156383208</c:v>
                </c:pt>
                <c:pt idx="128" formatCode="0">
                  <c:v>1.618424538297143</c:v>
                </c:pt>
                <c:pt idx="129" formatCode="0">
                  <c:v>1.56329505716463</c:v>
                </c:pt>
                <c:pt idx="130" formatCode="0">
                  <c:v>1.51004348854396</c:v>
                </c:pt>
                <c:pt idx="131" formatCode="0">
                  <c:v>1.45860586384102</c:v>
                </c:pt>
                <c:pt idx="132" formatCode="0">
                  <c:v>1.408920393466847</c:v>
                </c:pt>
                <c:pt idx="133" formatCode="0">
                  <c:v>1.360927392612716</c:v>
                </c:pt>
                <c:pt idx="134" formatCode="0">
                  <c:v>1.314569209553588</c:v>
                </c:pt>
                <c:pt idx="135" formatCode="0">
                  <c:v>1.269790156393829</c:v>
                </c:pt>
                <c:pt idx="136" formatCode="0">
                  <c:v>1.226536442171961</c:v>
                </c:pt>
                <c:pt idx="137" formatCode="0">
                  <c:v>1.184756108244125</c:v>
                </c:pt>
                <c:pt idx="138" formatCode="0">
                  <c:v>1.144398965868617</c:v>
                </c:pt>
                <c:pt idx="139" formatCode="0">
                  <c:v>1.105416535916521</c:v>
                </c:pt>
                <c:pt idx="140" formatCode="0">
                  <c:v>1.067761990636024</c:v>
                </c:pt>
                <c:pt idx="141" formatCode="0">
                  <c:v>1.031390097400447</c:v>
                </c:pt>
                <c:pt idx="142" formatCode="0">
                  <c:v>0.996257164372427</c:v>
                </c:pt>
                <c:pt idx="143" formatCode="0">
                  <c:v>0.962320988018978</c:v>
                </c:pt>
                <c:pt idx="144" formatCode="0">
                  <c:v>0.929540802414382</c:v>
                </c:pt>
                <c:pt idx="145" formatCode="0">
                  <c:v>0.897877230270003</c:v>
                </c:pt>
                <c:pt idx="146" formatCode="0">
                  <c:v>0.867292235632215</c:v>
                </c:pt>
                <c:pt idx="147" formatCode="0">
                  <c:v>0.837749078191604</c:v>
                </c:pt>
                <c:pt idx="148" formatCode="0">
                  <c:v>0.809212269148571</c:v>
                </c:pt>
                <c:pt idx="149" formatCode="0">
                  <c:v>0.781647528582315</c:v>
                </c:pt>
                <c:pt idx="150" formatCode="0">
                  <c:v>0.75502174427198</c:v>
                </c:pt>
                <c:pt idx="151" formatCode="0">
                  <c:v>0.72930293192051</c:v>
                </c:pt>
                <c:pt idx="152" formatCode="0">
                  <c:v>0.704460196733424</c:v>
                </c:pt>
                <c:pt idx="153" formatCode="0">
                  <c:v>0.680463696306358</c:v>
                </c:pt>
                <c:pt idx="154" formatCode="0">
                  <c:v>0.657284604776794</c:v>
                </c:pt>
                <c:pt idx="155" formatCode="0">
                  <c:v>0.634895078196915</c:v>
                </c:pt>
                <c:pt idx="156" formatCode="0">
                  <c:v>0.61326822108598</c:v>
                </c:pt>
                <c:pt idx="157" formatCode="0">
                  <c:v>0.592378054122063</c:v>
                </c:pt>
                <c:pt idx="158" formatCode="0">
                  <c:v>0.572199482934309</c:v>
                </c:pt>
                <c:pt idx="159" formatCode="0">
                  <c:v>0.552708267958261</c:v>
                </c:pt>
                <c:pt idx="160" formatCode="0">
                  <c:v>0.533880995318012</c:v>
                </c:pt>
                <c:pt idx="161" formatCode="0">
                  <c:v>10.30759594245539</c:v>
                </c:pt>
                <c:pt idx="162" formatCode="0">
                  <c:v>9.956481384695988</c:v>
                </c:pt>
                <c:pt idx="163" formatCode="0">
                  <c:v>9.617327077741805</c:v>
                </c:pt>
                <c:pt idx="164" formatCode="0">
                  <c:v>9.289725611543433</c:v>
                </c:pt>
                <c:pt idx="165" formatCode="0">
                  <c:v>8.97328345393338</c:v>
                </c:pt>
                <c:pt idx="166" formatCode="0">
                  <c:v>8.667620477894468</c:v>
                </c:pt>
                <c:pt idx="167" formatCode="0">
                  <c:v>8.372369504931196</c:v>
                </c:pt>
                <c:pt idx="168" formatCode="0">
                  <c:v>8.087175863995567</c:v>
                </c:pt>
                <c:pt idx="169" formatCode="0">
                  <c:v>7.811696965437495</c:v>
                </c:pt>
                <c:pt idx="170" formatCode="0">
                  <c:v>7.545601889468049</c:v>
                </c:pt>
                <c:pt idx="171" formatCode="0">
                  <c:v>7.288570988641145</c:v>
                </c:pt>
                <c:pt idx="172" formatCode="0">
                  <c:v>7.04029550387616</c:v>
                </c:pt>
                <c:pt idx="173" formatCode="0">
                  <c:v>6.800477193560233</c:v>
                </c:pt>
                <c:pt idx="174" formatCode="0">
                  <c:v>6.56882797528471</c:v>
                </c:pt>
                <c:pt idx="175" formatCode="0">
                  <c:v>6.345069579785338</c:v>
                </c:pt>
                <c:pt idx="176" formatCode="0">
                  <c:v>6.128933216670561</c:v>
                </c:pt>
                <c:pt idx="177" formatCode="0">
                  <c:v>5.920159251536308</c:v>
                </c:pt>
                <c:pt idx="178" formatCode="0">
                  <c:v>5.718496894079442</c:v>
                </c:pt>
                <c:pt idx="179" formatCode="0">
                  <c:v>5.523703896835228</c:v>
                </c:pt>
                <c:pt idx="180" formatCode="0">
                  <c:v>5.335546264176884</c:v>
                </c:pt>
                <c:pt idx="181" formatCode="0">
                  <c:v>5.153797971227693</c:v>
                </c:pt>
                <c:pt idx="182" formatCode="0">
                  <c:v>4.978240692347994</c:v>
                </c:pt>
                <c:pt idx="183" formatCode="0">
                  <c:v>4.808663538870903</c:v>
                </c:pt>
                <c:pt idx="184" formatCode="0">
                  <c:v>4.644862805771718</c:v>
                </c:pt>
                <c:pt idx="185" formatCode="0">
                  <c:v>4.48664172696669</c:v>
                </c:pt>
                <c:pt idx="186" formatCode="0">
                  <c:v>4.333810238947234</c:v>
                </c:pt>
                <c:pt idx="187" formatCode="0">
                  <c:v>4.186184752465598</c:v>
                </c:pt>
                <c:pt idx="188" formatCode="0">
                  <c:v>4.043587931997783</c:v>
                </c:pt>
                <c:pt idx="189" formatCode="0">
                  <c:v>3.905848482718747</c:v>
                </c:pt>
                <c:pt idx="190" formatCode="0">
                  <c:v>3.772800944734026</c:v>
                </c:pt>
                <c:pt idx="191" formatCode="0">
                  <c:v>3.644285494320573</c:v>
                </c:pt>
                <c:pt idx="192" formatCode="0">
                  <c:v>3.52014775193808</c:v>
                </c:pt>
                <c:pt idx="193" formatCode="0">
                  <c:v>3.400238596780118</c:v>
                </c:pt>
                <c:pt idx="194" formatCode="0">
                  <c:v>3.284413987642354</c:v>
                </c:pt>
                <c:pt idx="195" formatCode="0">
                  <c:v>3.172534789892669</c:v>
                </c:pt>
                <c:pt idx="196" formatCode="0">
                  <c:v>3.064466608335282</c:v>
                </c:pt>
                <c:pt idx="197" formatCode="0">
                  <c:v>2.960079625768154</c:v>
                </c:pt>
                <c:pt idx="198" formatCode="0">
                  <c:v>2.859248447039721</c:v>
                </c:pt>
                <c:pt idx="199" formatCode="0">
                  <c:v>2.761851948417613</c:v>
                </c:pt>
                <c:pt idx="200" formatCode="0">
                  <c:v>2.667773132088442</c:v>
                </c:pt>
                <c:pt idx="201" formatCode="0">
                  <c:v>2.576898985613846</c:v>
                </c:pt>
                <c:pt idx="202" formatCode="0">
                  <c:v>2.489120346173998</c:v>
                </c:pt>
                <c:pt idx="203" formatCode="0">
                  <c:v>2.404331769435451</c:v>
                </c:pt>
                <c:pt idx="204" formatCode="0">
                  <c:v>2.322431402885859</c:v>
                </c:pt>
                <c:pt idx="205" formatCode="0">
                  <c:v>2.243320863483345</c:v>
                </c:pt>
                <c:pt idx="206" formatCode="0">
                  <c:v>2.166905119473617</c:v>
                </c:pt>
                <c:pt idx="207" formatCode="0">
                  <c:v>2.0930923762328</c:v>
                </c:pt>
                <c:pt idx="208" formatCode="0">
                  <c:v>2.021793965998892</c:v>
                </c:pt>
                <c:pt idx="209" formatCode="0">
                  <c:v>1.952924241359373</c:v>
                </c:pt>
                <c:pt idx="210" formatCode="0">
                  <c:v>1.886400472367012</c:v>
                </c:pt>
                <c:pt idx="211" formatCode="0">
                  <c:v>1.822142747160286</c:v>
                </c:pt>
                <c:pt idx="212" formatCode="0">
                  <c:v>1.760073875969041</c:v>
                </c:pt>
                <c:pt idx="213" formatCode="0">
                  <c:v>1.700119298390058</c:v>
                </c:pt>
                <c:pt idx="214" formatCode="0">
                  <c:v>1.642206993821178</c:v>
                </c:pt>
                <c:pt idx="215" formatCode="0">
                  <c:v>1.586267394946334</c:v>
                </c:pt>
                <c:pt idx="216" formatCode="0">
                  <c:v>1.53223330416764</c:v>
                </c:pt>
                <c:pt idx="217" formatCode="0">
                  <c:v>1.480039812884077</c:v>
                </c:pt>
                <c:pt idx="218" formatCode="0">
                  <c:v>1.429624223519861</c:v>
                </c:pt>
                <c:pt idx="219" formatCode="0">
                  <c:v>1.380925974208807</c:v>
                </c:pt>
                <c:pt idx="220" formatCode="0">
                  <c:v>1.33388656604422</c:v>
                </c:pt>
                <c:pt idx="221" formatCode="0">
                  <c:v>1.288449492806923</c:v>
                </c:pt>
                <c:pt idx="222" formatCode="0">
                  <c:v>1.244560173087</c:v>
                </c:pt>
                <c:pt idx="223" formatCode="0">
                  <c:v>1.202165884717726</c:v>
                </c:pt>
                <c:pt idx="224" formatCode="0">
                  <c:v>1.161215701442929</c:v>
                </c:pt>
                <c:pt idx="225" formatCode="0">
                  <c:v>1.121660431741673</c:v>
                </c:pt>
                <c:pt idx="226" formatCode="0">
                  <c:v>1.083452559736809</c:v>
                </c:pt>
                <c:pt idx="227" formatCode="0">
                  <c:v>1.0465461881164</c:v>
                </c:pt>
                <c:pt idx="228" formatCode="0">
                  <c:v>1.010896982999446</c:v>
                </c:pt>
                <c:pt idx="229" formatCode="0">
                  <c:v>0.976462120679687</c:v>
                </c:pt>
                <c:pt idx="230" formatCode="0">
                  <c:v>0.943200236183506</c:v>
                </c:pt>
                <c:pt idx="231" formatCode="0">
                  <c:v>0.911071373580143</c:v>
                </c:pt>
                <c:pt idx="232" formatCode="0">
                  <c:v>0.88003693798452</c:v>
                </c:pt>
                <c:pt idx="233" formatCode="0">
                  <c:v>0.850059649195029</c:v>
                </c:pt>
                <c:pt idx="234" formatCode="0">
                  <c:v>0.821103496910589</c:v>
                </c:pt>
                <c:pt idx="235" formatCode="0">
                  <c:v>0.793133697473167</c:v>
                </c:pt>
                <c:pt idx="236" formatCode="0">
                  <c:v>0.76611665208382</c:v>
                </c:pt>
                <c:pt idx="237" formatCode="0">
                  <c:v>0.740019906442038</c:v>
                </c:pt>
                <c:pt idx="238" formatCode="0">
                  <c:v>0.71481211175993</c:v>
                </c:pt>
                <c:pt idx="239" formatCode="0">
                  <c:v>0.690462987104403</c:v>
                </c:pt>
                <c:pt idx="240" formatCode="0">
                  <c:v>0.66694328302211</c:v>
                </c:pt>
              </c:numCache>
            </c:numRef>
          </c:val>
        </c:ser>
        <c:ser>
          <c:idx val="2"/>
          <c:order val="2"/>
          <c:tx>
            <c:strRef>
              <c:f>'Mixed conifer Even '!$Z$77</c:f>
              <c:strCache>
                <c:ptCount val="1"/>
                <c:pt idx="0">
                  <c:v>Regenerated forest 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'Mixed conifer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'Mixed conifer Even '!$Z$78:$Z$318</c:f>
              <c:numCache>
                <c:formatCode>General</c:formatCode>
                <c:ptCount val="241"/>
                <c:pt idx="80" formatCode="0">
                  <c:v>0.0</c:v>
                </c:pt>
                <c:pt idx="81" formatCode="0">
                  <c:v>0.00668801632245595</c:v>
                </c:pt>
                <c:pt idx="82" formatCode="0">
                  <c:v>0.0504185326109012</c:v>
                </c:pt>
                <c:pt idx="83" formatCode="0">
                  <c:v>0.160413357645756</c:v>
                </c:pt>
                <c:pt idx="84" formatCode="0">
                  <c:v>0.35859718815809</c:v>
                </c:pt>
                <c:pt idx="85" formatCode="0">
                  <c:v>0.660785573896258</c:v>
                </c:pt>
                <c:pt idx="86" formatCode="0">
                  <c:v>1.077708464550237</c:v>
                </c:pt>
                <c:pt idx="87" formatCode="0">
                  <c:v>1.615890329645917</c:v>
                </c:pt>
                <c:pt idx="88" formatCode="0">
                  <c:v>2.278405281062679</c:v>
                </c:pt>
                <c:pt idx="89" formatCode="0">
                  <c:v>3.06552337058766</c:v>
                </c:pt>
                <c:pt idx="90" formatCode="0">
                  <c:v>3.975262246372517</c:v>
                </c:pt>
                <c:pt idx="91" formatCode="0">
                  <c:v>5.003856600881361</c:v>
                </c:pt>
                <c:pt idx="92" formatCode="0">
                  <c:v>6.146156301122398</c:v>
                </c:pt>
                <c:pt idx="93" formatCode="0">
                  <c:v>7.395962735068286</c:v>
                </c:pt>
                <c:pt idx="94" formatCode="0">
                  <c:v>8.746311714465289</c:v>
                </c:pt>
                <c:pt idx="95" formatCode="0">
                  <c:v>10.18971022450242</c:v>
                </c:pt>
                <c:pt idx="96" formatCode="0">
                  <c:v>11.71833338808361</c:v>
                </c:pt>
                <c:pt idx="97" formatCode="0">
                  <c:v>13.32418720171437</c:v>
                </c:pt>
                <c:pt idx="98" formatCode="0">
                  <c:v>14.99924188802333</c:v>
                </c:pt>
                <c:pt idx="99" formatCode="0">
                  <c:v>16.7355400849764</c:v>
                </c:pt>
                <c:pt idx="100" formatCode="0">
                  <c:v>18.5252835435601</c:v>
                </c:pt>
                <c:pt idx="101" formatCode="0">
                  <c:v>20.360901524977</c:v>
                </c:pt>
                <c:pt idx="102" formatCode="0">
                  <c:v>22.2351036671383</c:v>
                </c:pt>
                <c:pt idx="103" formatCode="0">
                  <c:v>24.14091972133881</c:v>
                </c:pt>
                <c:pt idx="104" formatCode="0">
                  <c:v>26.07172823716755</c:v>
                </c:pt>
                <c:pt idx="105" formatCode="0">
                  <c:v>28.02127599139918</c:v>
                </c:pt>
                <c:pt idx="106" formatCode="0">
                  <c:v>29.98368970993027</c:v>
                </c:pt>
                <c:pt idx="107" formatCode="0">
                  <c:v>31.9534814164577</c:v>
                </c:pt>
                <c:pt idx="108" formatCode="0">
                  <c:v>33.92554855373363</c:v>
                </c:pt>
                <c:pt idx="109" formatCode="0">
                  <c:v>35.89516985952151</c:v>
                </c:pt>
                <c:pt idx="110" formatCode="0">
                  <c:v>37.85799783686052</c:v>
                </c:pt>
                <c:pt idx="111" formatCode="0">
                  <c:v>39.81004853431885</c:v>
                </c:pt>
                <c:pt idx="112" formatCode="0">
                  <c:v>41.74768924428267</c:v>
                </c:pt>
                <c:pt idx="113" formatCode="0">
                  <c:v>43.6676246339707</c:v>
                </c:pt>
                <c:pt idx="114" formatCode="0">
                  <c:v>45.56688174300185</c:v>
                </c:pt>
                <c:pt idx="115" formatCode="0">
                  <c:v>47.44279421141578</c:v>
                </c:pt>
                <c:pt idx="116" formatCode="0">
                  <c:v>49.2929860416739</c:v>
                </c:pt>
                <c:pt idx="117" formatCode="0">
                  <c:v>51.11535514614482</c:v>
                </c:pt>
                <c:pt idx="118" formatCode="0">
                  <c:v>52.90805688683921</c:v>
                </c:pt>
                <c:pt idx="119" formatCode="0">
                  <c:v>54.6694877757727</c:v>
                </c:pt>
                <c:pt idx="120" formatCode="0">
                  <c:v>56.39826947148036</c:v>
                </c:pt>
                <c:pt idx="121" formatCode="0">
                  <c:v>58.09323317916701</c:v>
                </c:pt>
                <c:pt idx="122" formatCode="0">
                  <c:v>59.75340453812044</c:v>
                </c:pt>
                <c:pt idx="123" formatCode="0">
                  <c:v>61.37798905978897</c:v>
                </c:pt>
                <c:pt idx="124" formatCode="0">
                  <c:v>62.9663581628481</c:v>
                </c:pt>
                <c:pt idx="125" formatCode="0">
                  <c:v>64.51803583722602</c:v>
                </c:pt>
                <c:pt idx="126" formatCode="0">
                  <c:v>66.03268595705948</c:v>
                </c:pt>
                <c:pt idx="127" formatCode="0">
                  <c:v>67.51010025258091</c:v>
                </c:pt>
                <c:pt idx="128" formatCode="0">
                  <c:v>68.95018694271826</c:v>
                </c:pt>
                <c:pt idx="129" formatCode="0">
                  <c:v>70.35296002346652</c:v>
                </c:pt>
                <c:pt idx="130" formatCode="0">
                  <c:v>71.7185292016597</c:v>
                </c:pt>
                <c:pt idx="131" formatCode="0">
                  <c:v>73.0470904594357</c:v>
                </c:pt>
                <c:pt idx="132" formatCode="0">
                  <c:v>74.33891723129203</c:v>
                </c:pt>
                <c:pt idx="133" formatCode="0">
                  <c:v>75.59435217302817</c:v>
                </c:pt>
                <c:pt idx="134" formatCode="0">
                  <c:v>76.81379949994392</c:v>
                </c:pt>
                <c:pt idx="135" formatCode="0">
                  <c:v>77.99771787030171</c:v>
                </c:pt>
                <c:pt idx="136" formatCode="0">
                  <c:v>79.146613789177</c:v>
                </c:pt>
                <c:pt idx="137" formatCode="0">
                  <c:v>80.26103550733013</c:v>
                </c:pt>
                <c:pt idx="138" formatCode="0">
                  <c:v>81.34156738957395</c:v>
                </c:pt>
                <c:pt idx="139" formatCode="0">
                  <c:v>82.38882472721718</c:v>
                </c:pt>
                <c:pt idx="140" formatCode="0">
                  <c:v>83.40344896949128</c:v>
                </c:pt>
                <c:pt idx="141" formatCode="0">
                  <c:v>84.38610334936986</c:v>
                </c:pt>
                <c:pt idx="142" formatCode="0">
                  <c:v>85.33746887983068</c:v>
                </c:pt>
                <c:pt idx="143" formatCode="0">
                  <c:v>86.25824069735708</c:v>
                </c:pt>
                <c:pt idx="144" formatCode="0">
                  <c:v>87.14912473030602</c:v>
                </c:pt>
                <c:pt idx="145" formatCode="0">
                  <c:v>88.01083467065497</c:v>
                </c:pt>
                <c:pt idx="146" formatCode="0">
                  <c:v>88.84408922856835</c:v>
                </c:pt>
                <c:pt idx="147" formatCode="0">
                  <c:v>89.64960965017287</c:v>
                </c:pt>
                <c:pt idx="148" formatCode="0">
                  <c:v>90.42811747989307</c:v>
                </c:pt>
                <c:pt idx="149" formatCode="0">
                  <c:v>91.18033254965907</c:v>
                </c:pt>
                <c:pt idx="150" formatCode="0">
                  <c:v>91.90697117825042</c:v>
                </c:pt>
                <c:pt idx="151" formatCode="0">
                  <c:v>92.60874456497581</c:v>
                </c:pt>
                <c:pt idx="152" formatCode="0">
                  <c:v>93.28635736280309</c:v>
                </c:pt>
                <c:pt idx="153" formatCode="0">
                  <c:v>93.94050641694188</c:v>
                </c:pt>
                <c:pt idx="154" formatCode="0">
                  <c:v>94.57187965573975</c:v>
                </c:pt>
                <c:pt idx="155" formatCode="0">
                  <c:v>95.18115512158023</c:v>
                </c:pt>
                <c:pt idx="156" formatCode="0">
                  <c:v>95.76900013026282</c:v>
                </c:pt>
                <c:pt idx="157" formatCode="0">
                  <c:v>96.33607054810381</c:v>
                </c:pt>
                <c:pt idx="158" formatCode="0">
                  <c:v>96.88301017671954</c:v>
                </c:pt>
                <c:pt idx="159" formatCode="0">
                  <c:v>97.41045023613991</c:v>
                </c:pt>
                <c:pt idx="160" formatCode="0">
                  <c:v>97.91900893755162</c:v>
                </c:pt>
                <c:pt idx="161" formatCode="0">
                  <c:v>0.0</c:v>
                </c:pt>
                <c:pt idx="162" formatCode="0">
                  <c:v>0.00668801632245595</c:v>
                </c:pt>
                <c:pt idx="163" formatCode="0">
                  <c:v>0.0504185326109012</c:v>
                </c:pt>
                <c:pt idx="164" formatCode="0">
                  <c:v>0.160413357645756</c:v>
                </c:pt>
                <c:pt idx="165" formatCode="0">
                  <c:v>0.35859718815809</c:v>
                </c:pt>
                <c:pt idx="166" formatCode="0">
                  <c:v>0.660785573896258</c:v>
                </c:pt>
                <c:pt idx="167" formatCode="0">
                  <c:v>1.077708464550237</c:v>
                </c:pt>
                <c:pt idx="168" formatCode="0">
                  <c:v>1.615890329645917</c:v>
                </c:pt>
                <c:pt idx="169" formatCode="0">
                  <c:v>2.278405281062679</c:v>
                </c:pt>
                <c:pt idx="170" formatCode="0">
                  <c:v>3.06552337058766</c:v>
                </c:pt>
                <c:pt idx="171" formatCode="0">
                  <c:v>3.975262246372517</c:v>
                </c:pt>
                <c:pt idx="172" formatCode="0">
                  <c:v>5.003856600881361</c:v>
                </c:pt>
                <c:pt idx="173" formatCode="0">
                  <c:v>6.146156301122398</c:v>
                </c:pt>
                <c:pt idx="174" formatCode="0">
                  <c:v>7.395962735068286</c:v>
                </c:pt>
                <c:pt idx="175" formatCode="0">
                  <c:v>8.746311714465289</c:v>
                </c:pt>
                <c:pt idx="176" formatCode="0">
                  <c:v>10.18971022450242</c:v>
                </c:pt>
                <c:pt idx="177" formatCode="0">
                  <c:v>11.71833338808361</c:v>
                </c:pt>
                <c:pt idx="178" formatCode="0">
                  <c:v>13.32418720171437</c:v>
                </c:pt>
                <c:pt idx="179" formatCode="0">
                  <c:v>14.99924188802333</c:v>
                </c:pt>
                <c:pt idx="180" formatCode="0">
                  <c:v>16.7355400849764</c:v>
                </c:pt>
                <c:pt idx="181" formatCode="0">
                  <c:v>18.5252835435601</c:v>
                </c:pt>
                <c:pt idx="182" formatCode="0">
                  <c:v>20.360901524977</c:v>
                </c:pt>
                <c:pt idx="183" formatCode="0">
                  <c:v>22.2351036671383</c:v>
                </c:pt>
                <c:pt idx="184" formatCode="0">
                  <c:v>24.14091972133881</c:v>
                </c:pt>
                <c:pt idx="185" formatCode="0">
                  <c:v>26.07172823716755</c:v>
                </c:pt>
                <c:pt idx="186" formatCode="0">
                  <c:v>28.02127599139918</c:v>
                </c:pt>
                <c:pt idx="187" formatCode="0">
                  <c:v>29.98368970993027</c:v>
                </c:pt>
                <c:pt idx="188" formatCode="0">
                  <c:v>31.9534814164577</c:v>
                </c:pt>
                <c:pt idx="189" formatCode="0">
                  <c:v>33.92554855373363</c:v>
                </c:pt>
                <c:pt idx="190" formatCode="0">
                  <c:v>35.89516985952151</c:v>
                </c:pt>
                <c:pt idx="191" formatCode="0">
                  <c:v>37.85799783686052</c:v>
                </c:pt>
                <c:pt idx="192" formatCode="0">
                  <c:v>39.81004853431885</c:v>
                </c:pt>
                <c:pt idx="193" formatCode="0">
                  <c:v>41.74768924428267</c:v>
                </c:pt>
                <c:pt idx="194" formatCode="0">
                  <c:v>43.6676246339707</c:v>
                </c:pt>
                <c:pt idx="195" formatCode="0">
                  <c:v>45.56688174300185</c:v>
                </c:pt>
                <c:pt idx="196" formatCode="0">
                  <c:v>47.44279421141578</c:v>
                </c:pt>
                <c:pt idx="197" formatCode="0">
                  <c:v>49.2929860416739</c:v>
                </c:pt>
                <c:pt idx="198" formatCode="0">
                  <c:v>51.11535514614482</c:v>
                </c:pt>
                <c:pt idx="199" formatCode="0">
                  <c:v>52.90805688683921</c:v>
                </c:pt>
                <c:pt idx="200" formatCode="0">
                  <c:v>54.6694877757727</c:v>
                </c:pt>
                <c:pt idx="201" formatCode="0">
                  <c:v>56.39826947148036</c:v>
                </c:pt>
                <c:pt idx="202" formatCode="0">
                  <c:v>58.09323317916701</c:v>
                </c:pt>
                <c:pt idx="203" formatCode="0">
                  <c:v>59.75340453812044</c:v>
                </c:pt>
                <c:pt idx="204" formatCode="0">
                  <c:v>61.37798905978897</c:v>
                </c:pt>
                <c:pt idx="205" formatCode="0">
                  <c:v>62.9663581628481</c:v>
                </c:pt>
                <c:pt idx="206" formatCode="0">
                  <c:v>64.51803583722602</c:v>
                </c:pt>
                <c:pt idx="207" formatCode="0">
                  <c:v>66.03268595705948</c:v>
                </c:pt>
                <c:pt idx="208" formatCode="0">
                  <c:v>67.51010025258091</c:v>
                </c:pt>
                <c:pt idx="209" formatCode="0">
                  <c:v>68.95018694271826</c:v>
                </c:pt>
                <c:pt idx="210" formatCode="0">
                  <c:v>70.35296002346652</c:v>
                </c:pt>
                <c:pt idx="211" formatCode="0">
                  <c:v>71.7185292016597</c:v>
                </c:pt>
                <c:pt idx="212" formatCode="0">
                  <c:v>73.0470904594357</c:v>
                </c:pt>
                <c:pt idx="213" formatCode="0">
                  <c:v>74.33891723129203</c:v>
                </c:pt>
                <c:pt idx="214" formatCode="0">
                  <c:v>75.59435217302817</c:v>
                </c:pt>
                <c:pt idx="215" formatCode="0">
                  <c:v>76.81379949994392</c:v>
                </c:pt>
                <c:pt idx="216" formatCode="0">
                  <c:v>77.99771787030171</c:v>
                </c:pt>
                <c:pt idx="217" formatCode="0">
                  <c:v>79.146613789177</c:v>
                </c:pt>
                <c:pt idx="218" formatCode="0">
                  <c:v>80.26103550733013</c:v>
                </c:pt>
                <c:pt idx="219" formatCode="0">
                  <c:v>81.34156738957395</c:v>
                </c:pt>
                <c:pt idx="220" formatCode="0">
                  <c:v>82.38882472721718</c:v>
                </c:pt>
                <c:pt idx="221" formatCode="0">
                  <c:v>83.40344896949128</c:v>
                </c:pt>
                <c:pt idx="222" formatCode="0">
                  <c:v>84.38610334936986</c:v>
                </c:pt>
                <c:pt idx="223" formatCode="0">
                  <c:v>85.33746887983068</c:v>
                </c:pt>
                <c:pt idx="224" formatCode="0">
                  <c:v>86.25824069735708</c:v>
                </c:pt>
                <c:pt idx="225" formatCode="0">
                  <c:v>87.14912473030602</c:v>
                </c:pt>
                <c:pt idx="226" formatCode="0">
                  <c:v>88.01083467065497</c:v>
                </c:pt>
                <c:pt idx="227" formatCode="0">
                  <c:v>88.84408922856835</c:v>
                </c:pt>
                <c:pt idx="228" formatCode="0">
                  <c:v>89.64960965017287</c:v>
                </c:pt>
                <c:pt idx="229" formatCode="0">
                  <c:v>90.42811747989307</c:v>
                </c:pt>
                <c:pt idx="230" formatCode="0">
                  <c:v>91.18033254965907</c:v>
                </c:pt>
                <c:pt idx="231" formatCode="0">
                  <c:v>91.90697117825042</c:v>
                </c:pt>
                <c:pt idx="232" formatCode="0">
                  <c:v>92.60874456497581</c:v>
                </c:pt>
                <c:pt idx="233" formatCode="0">
                  <c:v>93.28635736280309</c:v>
                </c:pt>
                <c:pt idx="234" formatCode="0">
                  <c:v>93.94050641694188</c:v>
                </c:pt>
                <c:pt idx="235" formatCode="0">
                  <c:v>94.57187965573975</c:v>
                </c:pt>
                <c:pt idx="236" formatCode="0">
                  <c:v>95.18115512158023</c:v>
                </c:pt>
                <c:pt idx="237" formatCode="0">
                  <c:v>95.76900013026282</c:v>
                </c:pt>
                <c:pt idx="238" formatCode="0">
                  <c:v>96.33607054810381</c:v>
                </c:pt>
                <c:pt idx="239" formatCode="0">
                  <c:v>96.88301017671954</c:v>
                </c:pt>
                <c:pt idx="240" formatCode="0">
                  <c:v>97.41045023613991</c:v>
                </c:pt>
              </c:numCache>
            </c:numRef>
          </c:val>
        </c:ser>
        <c:ser>
          <c:idx val="3"/>
          <c:order val="3"/>
          <c:tx>
            <c:strRef>
              <c:f>'Mixed conifer Even '!$AA$77</c:f>
              <c:strCache>
                <c:ptCount val="1"/>
                <c:pt idx="0">
                  <c:v>Energy from logging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75000"/>
                </a:schemeClr>
              </a:bgClr>
            </a:pattFill>
          </c:spPr>
          <c:invertIfNegative val="0"/>
          <c:cat>
            <c:numRef>
              <c:f>'Mixed conifer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'Mixed conifer Even '!$AA$78:$AA$318</c:f>
              <c:numCache>
                <c:formatCode>General</c:formatCode>
                <c:ptCount val="241"/>
                <c:pt idx="80" formatCode="0">
                  <c:v>23.06365899773813</c:v>
                </c:pt>
                <c:pt idx="81" formatCode="0">
                  <c:v>23.06365899773813</c:v>
                </c:pt>
                <c:pt idx="82" formatCode="0">
                  <c:v>23.06365899773813</c:v>
                </c:pt>
                <c:pt idx="83" formatCode="0">
                  <c:v>23.06365899773813</c:v>
                </c:pt>
                <c:pt idx="84" formatCode="0">
                  <c:v>23.06365899773813</c:v>
                </c:pt>
                <c:pt idx="85" formatCode="0">
                  <c:v>23.06365899773813</c:v>
                </c:pt>
                <c:pt idx="86" formatCode="0">
                  <c:v>23.06365899773813</c:v>
                </c:pt>
                <c:pt idx="87" formatCode="0">
                  <c:v>23.06365899773813</c:v>
                </c:pt>
                <c:pt idx="88" formatCode="0">
                  <c:v>23.06365899773813</c:v>
                </c:pt>
                <c:pt idx="89" formatCode="0">
                  <c:v>23.06365899773813</c:v>
                </c:pt>
                <c:pt idx="90" formatCode="0">
                  <c:v>23.06365899773813</c:v>
                </c:pt>
                <c:pt idx="91" formatCode="0">
                  <c:v>23.06365899773813</c:v>
                </c:pt>
                <c:pt idx="92" formatCode="0">
                  <c:v>23.06365899773813</c:v>
                </c:pt>
                <c:pt idx="93" formatCode="0">
                  <c:v>23.06365899773813</c:v>
                </c:pt>
                <c:pt idx="94" formatCode="0">
                  <c:v>23.06365899773813</c:v>
                </c:pt>
                <c:pt idx="95" formatCode="0">
                  <c:v>23.06365899773813</c:v>
                </c:pt>
                <c:pt idx="96" formatCode="0">
                  <c:v>23.06365899773813</c:v>
                </c:pt>
                <c:pt idx="97" formatCode="0">
                  <c:v>23.06365899773813</c:v>
                </c:pt>
                <c:pt idx="98" formatCode="0">
                  <c:v>23.06365899773813</c:v>
                </c:pt>
                <c:pt idx="99" formatCode="0">
                  <c:v>23.06365899773813</c:v>
                </c:pt>
                <c:pt idx="100" formatCode="0">
                  <c:v>23.06365899773813</c:v>
                </c:pt>
                <c:pt idx="101" formatCode="0">
                  <c:v>23.06365899773813</c:v>
                </c:pt>
                <c:pt idx="102" formatCode="0">
                  <c:v>23.06365899773813</c:v>
                </c:pt>
                <c:pt idx="103" formatCode="0">
                  <c:v>23.06365899773813</c:v>
                </c:pt>
                <c:pt idx="104" formatCode="0">
                  <c:v>23.06365899773813</c:v>
                </c:pt>
                <c:pt idx="105" formatCode="0">
                  <c:v>23.06365899773813</c:v>
                </c:pt>
                <c:pt idx="106" formatCode="0">
                  <c:v>23.06365899773813</c:v>
                </c:pt>
                <c:pt idx="107" formatCode="0">
                  <c:v>23.06365899773813</c:v>
                </c:pt>
                <c:pt idx="108" formatCode="0">
                  <c:v>23.06365899773813</c:v>
                </c:pt>
                <c:pt idx="109" formatCode="0">
                  <c:v>23.06365899773813</c:v>
                </c:pt>
                <c:pt idx="110" formatCode="0">
                  <c:v>23.06365899773813</c:v>
                </c:pt>
                <c:pt idx="111" formatCode="0">
                  <c:v>23.06365899773813</c:v>
                </c:pt>
                <c:pt idx="112" formatCode="0">
                  <c:v>23.06365899773813</c:v>
                </c:pt>
                <c:pt idx="113" formatCode="0">
                  <c:v>23.06365899773813</c:v>
                </c:pt>
                <c:pt idx="114" formatCode="0">
                  <c:v>23.06365899773813</c:v>
                </c:pt>
                <c:pt idx="115" formatCode="0">
                  <c:v>23.06365899773813</c:v>
                </c:pt>
                <c:pt idx="116" formatCode="0">
                  <c:v>23.06365899773813</c:v>
                </c:pt>
                <c:pt idx="117" formatCode="0">
                  <c:v>23.06365899773813</c:v>
                </c:pt>
                <c:pt idx="118" formatCode="0">
                  <c:v>23.06365899773813</c:v>
                </c:pt>
                <c:pt idx="119" formatCode="0">
                  <c:v>23.06365899773813</c:v>
                </c:pt>
                <c:pt idx="120" formatCode="0">
                  <c:v>23.06365899773813</c:v>
                </c:pt>
                <c:pt idx="121" formatCode="0">
                  <c:v>23.06365899773813</c:v>
                </c:pt>
                <c:pt idx="122" formatCode="0">
                  <c:v>23.06365899773813</c:v>
                </c:pt>
                <c:pt idx="123" formatCode="0">
                  <c:v>23.06365899773813</c:v>
                </c:pt>
                <c:pt idx="124" formatCode="0">
                  <c:v>23.06365899773813</c:v>
                </c:pt>
                <c:pt idx="125" formatCode="0">
                  <c:v>23.06365899773813</c:v>
                </c:pt>
                <c:pt idx="126" formatCode="0">
                  <c:v>23.06365899773813</c:v>
                </c:pt>
                <c:pt idx="127" formatCode="0">
                  <c:v>23.06365899773813</c:v>
                </c:pt>
                <c:pt idx="128" formatCode="0">
                  <c:v>23.06365899773813</c:v>
                </c:pt>
                <c:pt idx="129" formatCode="0">
                  <c:v>23.06365899773813</c:v>
                </c:pt>
                <c:pt idx="130" formatCode="0">
                  <c:v>23.06365899773813</c:v>
                </c:pt>
                <c:pt idx="131" formatCode="0">
                  <c:v>23.06365899773813</c:v>
                </c:pt>
                <c:pt idx="132" formatCode="0">
                  <c:v>23.06365899773813</c:v>
                </c:pt>
                <c:pt idx="133" formatCode="0">
                  <c:v>23.06365899773813</c:v>
                </c:pt>
                <c:pt idx="134" formatCode="0">
                  <c:v>23.06365899773813</c:v>
                </c:pt>
                <c:pt idx="135" formatCode="0">
                  <c:v>23.06365899773813</c:v>
                </c:pt>
                <c:pt idx="136" formatCode="0">
                  <c:v>23.06365899773813</c:v>
                </c:pt>
                <c:pt idx="137" formatCode="0">
                  <c:v>23.06365899773813</c:v>
                </c:pt>
                <c:pt idx="138" formatCode="0">
                  <c:v>23.06365899773813</c:v>
                </c:pt>
                <c:pt idx="139" formatCode="0">
                  <c:v>23.06365899773813</c:v>
                </c:pt>
                <c:pt idx="140" formatCode="0">
                  <c:v>23.06365899773813</c:v>
                </c:pt>
                <c:pt idx="141" formatCode="0">
                  <c:v>23.06365899773813</c:v>
                </c:pt>
                <c:pt idx="142" formatCode="0">
                  <c:v>23.06365899773813</c:v>
                </c:pt>
                <c:pt idx="143" formatCode="0">
                  <c:v>23.06365899773813</c:v>
                </c:pt>
                <c:pt idx="144" formatCode="0">
                  <c:v>23.06365899773813</c:v>
                </c:pt>
                <c:pt idx="145" formatCode="0">
                  <c:v>23.06365899773813</c:v>
                </c:pt>
                <c:pt idx="146" formatCode="0">
                  <c:v>23.06365899773813</c:v>
                </c:pt>
                <c:pt idx="147" formatCode="0">
                  <c:v>23.06365899773813</c:v>
                </c:pt>
                <c:pt idx="148" formatCode="0">
                  <c:v>23.06365899773813</c:v>
                </c:pt>
                <c:pt idx="149" formatCode="0">
                  <c:v>23.06365899773813</c:v>
                </c:pt>
                <c:pt idx="150" formatCode="0">
                  <c:v>23.06365899773813</c:v>
                </c:pt>
                <c:pt idx="151" formatCode="0">
                  <c:v>23.06365899773813</c:v>
                </c:pt>
                <c:pt idx="152" formatCode="0">
                  <c:v>23.06365899773813</c:v>
                </c:pt>
                <c:pt idx="153" formatCode="0">
                  <c:v>23.06365899773813</c:v>
                </c:pt>
                <c:pt idx="154" formatCode="0">
                  <c:v>23.06365899773813</c:v>
                </c:pt>
                <c:pt idx="155" formatCode="0">
                  <c:v>23.06365899773813</c:v>
                </c:pt>
                <c:pt idx="156" formatCode="0">
                  <c:v>23.06365899773813</c:v>
                </c:pt>
                <c:pt idx="157" formatCode="0">
                  <c:v>23.06365899773813</c:v>
                </c:pt>
                <c:pt idx="158" formatCode="0">
                  <c:v>23.06365899773813</c:v>
                </c:pt>
                <c:pt idx="159" formatCode="0">
                  <c:v>23.06365899773813</c:v>
                </c:pt>
                <c:pt idx="160" formatCode="0">
                  <c:v>23.06365899773813</c:v>
                </c:pt>
                <c:pt idx="161" formatCode="0">
                  <c:v>49.50179141087708</c:v>
                </c:pt>
                <c:pt idx="162" formatCode="0">
                  <c:v>49.50179141087708</c:v>
                </c:pt>
                <c:pt idx="163" formatCode="0">
                  <c:v>49.50179141087708</c:v>
                </c:pt>
                <c:pt idx="164" formatCode="0">
                  <c:v>49.50179141087708</c:v>
                </c:pt>
                <c:pt idx="165" formatCode="0">
                  <c:v>49.50179141087708</c:v>
                </c:pt>
                <c:pt idx="166" formatCode="0">
                  <c:v>49.50179141087708</c:v>
                </c:pt>
                <c:pt idx="167" formatCode="0">
                  <c:v>49.50179141087708</c:v>
                </c:pt>
                <c:pt idx="168" formatCode="0">
                  <c:v>49.50179141087708</c:v>
                </c:pt>
                <c:pt idx="169" formatCode="0">
                  <c:v>49.50179141087708</c:v>
                </c:pt>
                <c:pt idx="170" formatCode="0">
                  <c:v>49.50179141087708</c:v>
                </c:pt>
                <c:pt idx="171" formatCode="0">
                  <c:v>49.50179141087708</c:v>
                </c:pt>
                <c:pt idx="172" formatCode="0">
                  <c:v>49.50179141087708</c:v>
                </c:pt>
                <c:pt idx="173" formatCode="0">
                  <c:v>49.50179141087708</c:v>
                </c:pt>
                <c:pt idx="174" formatCode="0">
                  <c:v>49.50179141087708</c:v>
                </c:pt>
                <c:pt idx="175" formatCode="0">
                  <c:v>49.50179141087708</c:v>
                </c:pt>
                <c:pt idx="176" formatCode="0">
                  <c:v>49.50179141087708</c:v>
                </c:pt>
                <c:pt idx="177" formatCode="0">
                  <c:v>49.50179141087708</c:v>
                </c:pt>
                <c:pt idx="178" formatCode="0">
                  <c:v>49.50179141087708</c:v>
                </c:pt>
                <c:pt idx="179" formatCode="0">
                  <c:v>49.50179141087708</c:v>
                </c:pt>
                <c:pt idx="180" formatCode="0">
                  <c:v>49.50179141087708</c:v>
                </c:pt>
                <c:pt idx="181" formatCode="0">
                  <c:v>49.50179141087708</c:v>
                </c:pt>
                <c:pt idx="182" formatCode="0">
                  <c:v>49.50179141087708</c:v>
                </c:pt>
                <c:pt idx="183" formatCode="0">
                  <c:v>49.50179141087708</c:v>
                </c:pt>
                <c:pt idx="184" formatCode="0">
                  <c:v>49.50179141087708</c:v>
                </c:pt>
                <c:pt idx="185" formatCode="0">
                  <c:v>49.50179141087708</c:v>
                </c:pt>
                <c:pt idx="186" formatCode="0">
                  <c:v>49.50179141087708</c:v>
                </c:pt>
                <c:pt idx="187" formatCode="0">
                  <c:v>49.50179141087708</c:v>
                </c:pt>
                <c:pt idx="188" formatCode="0">
                  <c:v>49.50179141087708</c:v>
                </c:pt>
                <c:pt idx="189" formatCode="0">
                  <c:v>49.50179141087708</c:v>
                </c:pt>
                <c:pt idx="190" formatCode="0">
                  <c:v>49.50179141087708</c:v>
                </c:pt>
                <c:pt idx="191" formatCode="0">
                  <c:v>49.50179141087708</c:v>
                </c:pt>
                <c:pt idx="192" formatCode="0">
                  <c:v>49.50179141087708</c:v>
                </c:pt>
                <c:pt idx="193" formatCode="0">
                  <c:v>49.50179141087708</c:v>
                </c:pt>
                <c:pt idx="194" formatCode="0">
                  <c:v>49.50179141087708</c:v>
                </c:pt>
                <c:pt idx="195" formatCode="0">
                  <c:v>49.50179141087708</c:v>
                </c:pt>
                <c:pt idx="196" formatCode="0">
                  <c:v>49.50179141087708</c:v>
                </c:pt>
                <c:pt idx="197" formatCode="0">
                  <c:v>49.50179141087708</c:v>
                </c:pt>
                <c:pt idx="198" formatCode="0">
                  <c:v>49.50179141087708</c:v>
                </c:pt>
                <c:pt idx="199" formatCode="0">
                  <c:v>49.50179141087708</c:v>
                </c:pt>
                <c:pt idx="200" formatCode="0">
                  <c:v>49.50179141087708</c:v>
                </c:pt>
                <c:pt idx="201" formatCode="0">
                  <c:v>49.50179141087708</c:v>
                </c:pt>
                <c:pt idx="202" formatCode="0">
                  <c:v>49.50179141087708</c:v>
                </c:pt>
                <c:pt idx="203" formatCode="0">
                  <c:v>49.50179141087708</c:v>
                </c:pt>
                <c:pt idx="204" formatCode="0">
                  <c:v>49.50179141087708</c:v>
                </c:pt>
                <c:pt idx="205" formatCode="0">
                  <c:v>49.50179141087708</c:v>
                </c:pt>
                <c:pt idx="206" formatCode="0">
                  <c:v>49.50179141087708</c:v>
                </c:pt>
                <c:pt idx="207" formatCode="0">
                  <c:v>49.50179141087708</c:v>
                </c:pt>
                <c:pt idx="208" formatCode="0">
                  <c:v>49.50179141087708</c:v>
                </c:pt>
                <c:pt idx="209" formatCode="0">
                  <c:v>49.50179141087708</c:v>
                </c:pt>
                <c:pt idx="210" formatCode="0">
                  <c:v>49.50179141087708</c:v>
                </c:pt>
                <c:pt idx="211" formatCode="0">
                  <c:v>49.50179141087708</c:v>
                </c:pt>
                <c:pt idx="212" formatCode="0">
                  <c:v>49.50179141087708</c:v>
                </c:pt>
                <c:pt idx="213" formatCode="0">
                  <c:v>49.50179141087708</c:v>
                </c:pt>
                <c:pt idx="214" formatCode="0">
                  <c:v>49.50179141087708</c:v>
                </c:pt>
                <c:pt idx="215" formatCode="0">
                  <c:v>49.50179141087708</c:v>
                </c:pt>
                <c:pt idx="216" formatCode="0">
                  <c:v>49.50179141087708</c:v>
                </c:pt>
                <c:pt idx="217" formatCode="0">
                  <c:v>49.50179141087708</c:v>
                </c:pt>
                <c:pt idx="218" formatCode="0">
                  <c:v>49.50179141087708</c:v>
                </c:pt>
                <c:pt idx="219" formatCode="0">
                  <c:v>49.50179141087708</c:v>
                </c:pt>
                <c:pt idx="220" formatCode="0">
                  <c:v>49.50179141087708</c:v>
                </c:pt>
                <c:pt idx="221" formatCode="0">
                  <c:v>49.50179141087708</c:v>
                </c:pt>
                <c:pt idx="222" formatCode="0">
                  <c:v>49.50179141087708</c:v>
                </c:pt>
                <c:pt idx="223" formatCode="0">
                  <c:v>49.50179141087708</c:v>
                </c:pt>
                <c:pt idx="224" formatCode="0">
                  <c:v>49.50179141087708</c:v>
                </c:pt>
                <c:pt idx="225" formatCode="0">
                  <c:v>49.50179141087708</c:v>
                </c:pt>
                <c:pt idx="226" formatCode="0">
                  <c:v>49.50179141087708</c:v>
                </c:pt>
                <c:pt idx="227" formatCode="0">
                  <c:v>49.50179141087708</c:v>
                </c:pt>
                <c:pt idx="228" formatCode="0">
                  <c:v>49.50179141087708</c:v>
                </c:pt>
                <c:pt idx="229" formatCode="0">
                  <c:v>49.50179141087708</c:v>
                </c:pt>
                <c:pt idx="230" formatCode="0">
                  <c:v>49.50179141087708</c:v>
                </c:pt>
                <c:pt idx="231" formatCode="0">
                  <c:v>49.50179141087708</c:v>
                </c:pt>
                <c:pt idx="232" formatCode="0">
                  <c:v>49.50179141087708</c:v>
                </c:pt>
                <c:pt idx="233" formatCode="0">
                  <c:v>49.50179141087708</c:v>
                </c:pt>
                <c:pt idx="234" formatCode="0">
                  <c:v>49.50179141087708</c:v>
                </c:pt>
                <c:pt idx="235" formatCode="0">
                  <c:v>49.50179141087708</c:v>
                </c:pt>
                <c:pt idx="236" formatCode="0">
                  <c:v>49.50179141087708</c:v>
                </c:pt>
                <c:pt idx="237" formatCode="0">
                  <c:v>49.50179141087708</c:v>
                </c:pt>
                <c:pt idx="238" formatCode="0">
                  <c:v>49.50179141087708</c:v>
                </c:pt>
                <c:pt idx="239" formatCode="0">
                  <c:v>49.50179141087708</c:v>
                </c:pt>
                <c:pt idx="240" formatCode="0">
                  <c:v>49.50179141087708</c:v>
                </c:pt>
              </c:numCache>
            </c:numRef>
          </c:val>
        </c:ser>
        <c:ser>
          <c:idx val="4"/>
          <c:order val="4"/>
          <c:tx>
            <c:strRef>
              <c:f>'Mixed conifer Even '!$AB$77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cat>
            <c:numRef>
              <c:f>'Mixed conifer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'Mixed conifer Even '!$AB$78:$AB$318</c:f>
              <c:numCache>
                <c:formatCode>General</c:formatCode>
                <c:ptCount val="241"/>
                <c:pt idx="80" formatCode="0">
                  <c:v>12.300618132127</c:v>
                </c:pt>
                <c:pt idx="81" formatCode="0">
                  <c:v>12.300618132127</c:v>
                </c:pt>
                <c:pt idx="82" formatCode="0">
                  <c:v>12.300618132127</c:v>
                </c:pt>
                <c:pt idx="83" formatCode="0">
                  <c:v>12.300618132127</c:v>
                </c:pt>
                <c:pt idx="84" formatCode="0">
                  <c:v>12.300618132127</c:v>
                </c:pt>
                <c:pt idx="85" formatCode="0">
                  <c:v>12.300618132127</c:v>
                </c:pt>
                <c:pt idx="86" formatCode="0">
                  <c:v>12.300618132127</c:v>
                </c:pt>
                <c:pt idx="87" formatCode="0">
                  <c:v>12.300618132127</c:v>
                </c:pt>
                <c:pt idx="88" formatCode="0">
                  <c:v>12.300618132127</c:v>
                </c:pt>
                <c:pt idx="89" formatCode="0">
                  <c:v>12.300618132127</c:v>
                </c:pt>
                <c:pt idx="90" formatCode="0">
                  <c:v>12.300618132127</c:v>
                </c:pt>
                <c:pt idx="91" formatCode="0">
                  <c:v>12.300618132127</c:v>
                </c:pt>
                <c:pt idx="92" formatCode="0">
                  <c:v>12.300618132127</c:v>
                </c:pt>
                <c:pt idx="93" formatCode="0">
                  <c:v>12.300618132127</c:v>
                </c:pt>
                <c:pt idx="94" formatCode="0">
                  <c:v>12.300618132127</c:v>
                </c:pt>
                <c:pt idx="95" formatCode="0">
                  <c:v>12.300618132127</c:v>
                </c:pt>
                <c:pt idx="96" formatCode="0">
                  <c:v>12.300618132127</c:v>
                </c:pt>
                <c:pt idx="97" formatCode="0">
                  <c:v>12.300618132127</c:v>
                </c:pt>
                <c:pt idx="98" formatCode="0">
                  <c:v>12.300618132127</c:v>
                </c:pt>
                <c:pt idx="99" formatCode="0">
                  <c:v>12.300618132127</c:v>
                </c:pt>
                <c:pt idx="100" formatCode="0">
                  <c:v>12.300618132127</c:v>
                </c:pt>
                <c:pt idx="101" formatCode="0">
                  <c:v>12.300618132127</c:v>
                </c:pt>
                <c:pt idx="102" formatCode="0">
                  <c:v>12.300618132127</c:v>
                </c:pt>
                <c:pt idx="103" formatCode="0">
                  <c:v>12.300618132127</c:v>
                </c:pt>
                <c:pt idx="104" formatCode="0">
                  <c:v>12.300618132127</c:v>
                </c:pt>
                <c:pt idx="105" formatCode="0">
                  <c:v>12.300618132127</c:v>
                </c:pt>
                <c:pt idx="106" formatCode="0">
                  <c:v>12.300618132127</c:v>
                </c:pt>
                <c:pt idx="107" formatCode="0">
                  <c:v>12.300618132127</c:v>
                </c:pt>
                <c:pt idx="108" formatCode="0">
                  <c:v>12.300618132127</c:v>
                </c:pt>
                <c:pt idx="109" formatCode="0">
                  <c:v>12.300618132127</c:v>
                </c:pt>
                <c:pt idx="110" formatCode="0">
                  <c:v>12.300618132127</c:v>
                </c:pt>
                <c:pt idx="111" formatCode="0">
                  <c:v>12.300618132127</c:v>
                </c:pt>
                <c:pt idx="112" formatCode="0">
                  <c:v>12.300618132127</c:v>
                </c:pt>
                <c:pt idx="113" formatCode="0">
                  <c:v>12.300618132127</c:v>
                </c:pt>
                <c:pt idx="114" formatCode="0">
                  <c:v>12.300618132127</c:v>
                </c:pt>
                <c:pt idx="115" formatCode="0">
                  <c:v>12.300618132127</c:v>
                </c:pt>
                <c:pt idx="116" formatCode="0">
                  <c:v>12.300618132127</c:v>
                </c:pt>
                <c:pt idx="117" formatCode="0">
                  <c:v>12.300618132127</c:v>
                </c:pt>
                <c:pt idx="118" formatCode="0">
                  <c:v>12.300618132127</c:v>
                </c:pt>
                <c:pt idx="119" formatCode="0">
                  <c:v>12.300618132127</c:v>
                </c:pt>
                <c:pt idx="120" formatCode="0">
                  <c:v>12.300618132127</c:v>
                </c:pt>
                <c:pt idx="121" formatCode="0">
                  <c:v>12.300618132127</c:v>
                </c:pt>
                <c:pt idx="122" formatCode="0">
                  <c:v>12.300618132127</c:v>
                </c:pt>
                <c:pt idx="123" formatCode="0">
                  <c:v>12.300618132127</c:v>
                </c:pt>
                <c:pt idx="124" formatCode="0">
                  <c:v>12.300618132127</c:v>
                </c:pt>
                <c:pt idx="125" formatCode="0">
                  <c:v>12.300618132127</c:v>
                </c:pt>
                <c:pt idx="126" formatCode="0">
                  <c:v>12.300618132127</c:v>
                </c:pt>
                <c:pt idx="127" formatCode="0">
                  <c:v>12.300618132127</c:v>
                </c:pt>
                <c:pt idx="128" formatCode="0">
                  <c:v>12.300618132127</c:v>
                </c:pt>
                <c:pt idx="129" formatCode="0">
                  <c:v>12.300618132127</c:v>
                </c:pt>
                <c:pt idx="130" formatCode="0">
                  <c:v>12.300618132127</c:v>
                </c:pt>
                <c:pt idx="131" formatCode="0">
                  <c:v>12.300618132127</c:v>
                </c:pt>
                <c:pt idx="132" formatCode="0">
                  <c:v>12.300618132127</c:v>
                </c:pt>
                <c:pt idx="133" formatCode="0">
                  <c:v>12.300618132127</c:v>
                </c:pt>
                <c:pt idx="134" formatCode="0">
                  <c:v>12.300618132127</c:v>
                </c:pt>
                <c:pt idx="135" formatCode="0">
                  <c:v>12.300618132127</c:v>
                </c:pt>
                <c:pt idx="136" formatCode="0">
                  <c:v>12.300618132127</c:v>
                </c:pt>
                <c:pt idx="137" formatCode="0">
                  <c:v>12.300618132127</c:v>
                </c:pt>
                <c:pt idx="138" formatCode="0">
                  <c:v>12.300618132127</c:v>
                </c:pt>
                <c:pt idx="139" formatCode="0">
                  <c:v>12.300618132127</c:v>
                </c:pt>
                <c:pt idx="140" formatCode="0">
                  <c:v>12.300618132127</c:v>
                </c:pt>
                <c:pt idx="141" formatCode="0">
                  <c:v>12.300618132127</c:v>
                </c:pt>
                <c:pt idx="142" formatCode="0">
                  <c:v>12.300618132127</c:v>
                </c:pt>
                <c:pt idx="143" formatCode="0">
                  <c:v>12.300618132127</c:v>
                </c:pt>
                <c:pt idx="144" formatCode="0">
                  <c:v>12.300618132127</c:v>
                </c:pt>
                <c:pt idx="145" formatCode="0">
                  <c:v>12.300618132127</c:v>
                </c:pt>
                <c:pt idx="146" formatCode="0">
                  <c:v>12.300618132127</c:v>
                </c:pt>
                <c:pt idx="147" formatCode="0">
                  <c:v>12.300618132127</c:v>
                </c:pt>
                <c:pt idx="148" formatCode="0">
                  <c:v>12.300618132127</c:v>
                </c:pt>
                <c:pt idx="149" formatCode="0">
                  <c:v>12.300618132127</c:v>
                </c:pt>
                <c:pt idx="150" formatCode="0">
                  <c:v>12.300618132127</c:v>
                </c:pt>
                <c:pt idx="151" formatCode="0">
                  <c:v>12.300618132127</c:v>
                </c:pt>
                <c:pt idx="152" formatCode="0">
                  <c:v>12.300618132127</c:v>
                </c:pt>
                <c:pt idx="153" formatCode="0">
                  <c:v>12.300618132127</c:v>
                </c:pt>
                <c:pt idx="154" formatCode="0">
                  <c:v>12.300618132127</c:v>
                </c:pt>
                <c:pt idx="155" formatCode="0">
                  <c:v>12.300618132127</c:v>
                </c:pt>
                <c:pt idx="156" formatCode="0">
                  <c:v>12.300618132127</c:v>
                </c:pt>
                <c:pt idx="157" formatCode="0">
                  <c:v>12.300618132127</c:v>
                </c:pt>
                <c:pt idx="158" formatCode="0">
                  <c:v>12.300618132127</c:v>
                </c:pt>
                <c:pt idx="159" formatCode="0">
                  <c:v>12.300618132127</c:v>
                </c:pt>
                <c:pt idx="160" formatCode="0">
                  <c:v>12.300618132127</c:v>
                </c:pt>
                <c:pt idx="161" formatCode="0">
                  <c:v>26.40095541913443</c:v>
                </c:pt>
                <c:pt idx="162" formatCode="0">
                  <c:v>26.40095541913443</c:v>
                </c:pt>
                <c:pt idx="163" formatCode="0">
                  <c:v>26.40095541913443</c:v>
                </c:pt>
                <c:pt idx="164" formatCode="0">
                  <c:v>26.40095541913443</c:v>
                </c:pt>
                <c:pt idx="165" formatCode="0">
                  <c:v>26.40095541913443</c:v>
                </c:pt>
                <c:pt idx="166" formatCode="0">
                  <c:v>26.40095541913443</c:v>
                </c:pt>
                <c:pt idx="167" formatCode="0">
                  <c:v>26.40095541913443</c:v>
                </c:pt>
                <c:pt idx="168" formatCode="0">
                  <c:v>26.40095541913443</c:v>
                </c:pt>
                <c:pt idx="169" formatCode="0">
                  <c:v>26.40095541913443</c:v>
                </c:pt>
                <c:pt idx="170" formatCode="0">
                  <c:v>26.40095541913443</c:v>
                </c:pt>
                <c:pt idx="171" formatCode="0">
                  <c:v>26.40095541913443</c:v>
                </c:pt>
                <c:pt idx="172" formatCode="0">
                  <c:v>26.40095541913443</c:v>
                </c:pt>
                <c:pt idx="173" formatCode="0">
                  <c:v>26.40095541913443</c:v>
                </c:pt>
                <c:pt idx="174" formatCode="0">
                  <c:v>26.40095541913443</c:v>
                </c:pt>
                <c:pt idx="175" formatCode="0">
                  <c:v>26.40095541913443</c:v>
                </c:pt>
                <c:pt idx="176" formatCode="0">
                  <c:v>26.40095541913443</c:v>
                </c:pt>
                <c:pt idx="177" formatCode="0">
                  <c:v>26.40095541913443</c:v>
                </c:pt>
                <c:pt idx="178" formatCode="0">
                  <c:v>26.40095541913443</c:v>
                </c:pt>
                <c:pt idx="179" formatCode="0">
                  <c:v>26.40095541913443</c:v>
                </c:pt>
                <c:pt idx="180" formatCode="0">
                  <c:v>26.40095541913443</c:v>
                </c:pt>
                <c:pt idx="181" formatCode="0">
                  <c:v>26.40095541913443</c:v>
                </c:pt>
                <c:pt idx="182" formatCode="0">
                  <c:v>26.40095541913443</c:v>
                </c:pt>
                <c:pt idx="183" formatCode="0">
                  <c:v>26.40095541913443</c:v>
                </c:pt>
                <c:pt idx="184" formatCode="0">
                  <c:v>26.40095541913443</c:v>
                </c:pt>
                <c:pt idx="185" formatCode="0">
                  <c:v>26.40095541913443</c:v>
                </c:pt>
                <c:pt idx="186" formatCode="0">
                  <c:v>26.40095541913443</c:v>
                </c:pt>
                <c:pt idx="187" formatCode="0">
                  <c:v>26.40095541913443</c:v>
                </c:pt>
                <c:pt idx="188" formatCode="0">
                  <c:v>26.40095541913443</c:v>
                </c:pt>
                <c:pt idx="189" formatCode="0">
                  <c:v>26.40095541913443</c:v>
                </c:pt>
                <c:pt idx="190" formatCode="0">
                  <c:v>26.40095541913443</c:v>
                </c:pt>
                <c:pt idx="191" formatCode="0">
                  <c:v>26.40095541913443</c:v>
                </c:pt>
                <c:pt idx="192" formatCode="0">
                  <c:v>26.40095541913443</c:v>
                </c:pt>
                <c:pt idx="193" formatCode="0">
                  <c:v>26.40095541913443</c:v>
                </c:pt>
                <c:pt idx="194" formatCode="0">
                  <c:v>26.40095541913443</c:v>
                </c:pt>
                <c:pt idx="195" formatCode="0">
                  <c:v>26.40095541913443</c:v>
                </c:pt>
                <c:pt idx="196" formatCode="0">
                  <c:v>26.40095541913443</c:v>
                </c:pt>
                <c:pt idx="197" formatCode="0">
                  <c:v>26.40095541913443</c:v>
                </c:pt>
                <c:pt idx="198" formatCode="0">
                  <c:v>26.40095541913443</c:v>
                </c:pt>
                <c:pt idx="199" formatCode="0">
                  <c:v>26.40095541913443</c:v>
                </c:pt>
                <c:pt idx="200" formatCode="0">
                  <c:v>26.40095541913443</c:v>
                </c:pt>
                <c:pt idx="201" formatCode="0">
                  <c:v>26.40095541913443</c:v>
                </c:pt>
                <c:pt idx="202" formatCode="0">
                  <c:v>26.40095541913443</c:v>
                </c:pt>
                <c:pt idx="203" formatCode="0">
                  <c:v>26.40095541913443</c:v>
                </c:pt>
                <c:pt idx="204" formatCode="0">
                  <c:v>26.40095541913443</c:v>
                </c:pt>
                <c:pt idx="205" formatCode="0">
                  <c:v>26.40095541913443</c:v>
                </c:pt>
                <c:pt idx="206" formatCode="0">
                  <c:v>26.40095541913443</c:v>
                </c:pt>
                <c:pt idx="207" formatCode="0">
                  <c:v>26.40095541913443</c:v>
                </c:pt>
                <c:pt idx="208" formatCode="0">
                  <c:v>26.40095541913443</c:v>
                </c:pt>
                <c:pt idx="209" formatCode="0">
                  <c:v>26.40095541913443</c:v>
                </c:pt>
                <c:pt idx="210" formatCode="0">
                  <c:v>26.40095541913443</c:v>
                </c:pt>
                <c:pt idx="211" formatCode="0">
                  <c:v>26.40095541913443</c:v>
                </c:pt>
                <c:pt idx="212" formatCode="0">
                  <c:v>26.40095541913443</c:v>
                </c:pt>
                <c:pt idx="213" formatCode="0">
                  <c:v>26.40095541913443</c:v>
                </c:pt>
                <c:pt idx="214" formatCode="0">
                  <c:v>26.40095541913443</c:v>
                </c:pt>
                <c:pt idx="215" formatCode="0">
                  <c:v>26.40095541913443</c:v>
                </c:pt>
                <c:pt idx="216" formatCode="0">
                  <c:v>26.40095541913443</c:v>
                </c:pt>
                <c:pt idx="217" formatCode="0">
                  <c:v>26.40095541913443</c:v>
                </c:pt>
                <c:pt idx="218" formatCode="0">
                  <c:v>26.40095541913443</c:v>
                </c:pt>
                <c:pt idx="219" formatCode="0">
                  <c:v>26.40095541913443</c:v>
                </c:pt>
                <c:pt idx="220" formatCode="0">
                  <c:v>26.40095541913443</c:v>
                </c:pt>
                <c:pt idx="221" formatCode="0">
                  <c:v>26.40095541913443</c:v>
                </c:pt>
                <c:pt idx="222" formatCode="0">
                  <c:v>26.40095541913443</c:v>
                </c:pt>
                <c:pt idx="223" formatCode="0">
                  <c:v>26.40095541913443</c:v>
                </c:pt>
                <c:pt idx="224" formatCode="0">
                  <c:v>26.40095541913443</c:v>
                </c:pt>
                <c:pt idx="225" formatCode="0">
                  <c:v>26.40095541913443</c:v>
                </c:pt>
                <c:pt idx="226" formatCode="0">
                  <c:v>26.40095541913443</c:v>
                </c:pt>
                <c:pt idx="227" formatCode="0">
                  <c:v>26.40095541913443</c:v>
                </c:pt>
                <c:pt idx="228" formatCode="0">
                  <c:v>26.40095541913443</c:v>
                </c:pt>
                <c:pt idx="229" formatCode="0">
                  <c:v>26.40095541913443</c:v>
                </c:pt>
                <c:pt idx="230" formatCode="0">
                  <c:v>26.40095541913443</c:v>
                </c:pt>
                <c:pt idx="231" formatCode="0">
                  <c:v>26.40095541913443</c:v>
                </c:pt>
                <c:pt idx="232" formatCode="0">
                  <c:v>26.40095541913443</c:v>
                </c:pt>
                <c:pt idx="233" formatCode="0">
                  <c:v>26.40095541913443</c:v>
                </c:pt>
                <c:pt idx="234" formatCode="0">
                  <c:v>26.40095541913443</c:v>
                </c:pt>
                <c:pt idx="235" formatCode="0">
                  <c:v>26.40095541913443</c:v>
                </c:pt>
                <c:pt idx="236" formatCode="0">
                  <c:v>26.40095541913443</c:v>
                </c:pt>
                <c:pt idx="237" formatCode="0">
                  <c:v>26.40095541913443</c:v>
                </c:pt>
                <c:pt idx="238" formatCode="0">
                  <c:v>26.40095541913443</c:v>
                </c:pt>
                <c:pt idx="239" formatCode="0">
                  <c:v>26.40095541913443</c:v>
                </c:pt>
                <c:pt idx="240" formatCode="0">
                  <c:v>26.40095541913443</c:v>
                </c:pt>
              </c:numCache>
            </c:numRef>
          </c:val>
        </c:ser>
        <c:ser>
          <c:idx val="5"/>
          <c:order val="5"/>
          <c:tx>
            <c:strRef>
              <c:f>'Mixed conifer Even '!$AC$77</c:f>
              <c:strCache>
                <c:ptCount val="1"/>
                <c:pt idx="0">
                  <c:v>Wood products 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'Mixed conifer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'Mixed conifer Even '!$AC$78:$AC$318</c:f>
              <c:numCache>
                <c:formatCode>General</c:formatCode>
                <c:ptCount val="241"/>
                <c:pt idx="80" formatCode="0">
                  <c:v>38.43943166289688</c:v>
                </c:pt>
                <c:pt idx="81" formatCode="0">
                  <c:v>37.85187545286945</c:v>
                </c:pt>
                <c:pt idx="82" formatCode="0">
                  <c:v>37.27330018467721</c:v>
                </c:pt>
                <c:pt idx="83" formatCode="0">
                  <c:v>36.7035685824053</c:v>
                </c:pt>
                <c:pt idx="84" formatCode="0">
                  <c:v>36.1425454684352</c:v>
                </c:pt>
                <c:pt idx="85" formatCode="0">
                  <c:v>35.59009773137161</c:v>
                </c:pt>
                <c:pt idx="86" formatCode="0">
                  <c:v>35.04609429445985</c:v>
                </c:pt>
                <c:pt idx="87" formatCode="0">
                  <c:v>34.51040608448582</c:v>
                </c:pt>
                <c:pt idx="88" formatCode="0">
                  <c:v>33.98290600115135</c:v>
                </c:pt>
                <c:pt idx="89" formatCode="0">
                  <c:v>33.46346888691774</c:v>
                </c:pt>
                <c:pt idx="90" formatCode="0">
                  <c:v>32.95197149731023</c:v>
                </c:pt>
                <c:pt idx="91" formatCode="0">
                  <c:v>32.44829247167627</c:v>
                </c:pt>
                <c:pt idx="92" formatCode="0">
                  <c:v>31.95231230439086</c:v>
                </c:pt>
                <c:pt idx="93" formatCode="0">
                  <c:v>31.46391331650204</c:v>
                </c:pt>
                <c:pt idx="94" formatCode="0">
                  <c:v>30.98297962780967</c:v>
                </c:pt>
                <c:pt idx="95" formatCode="0">
                  <c:v>30.50939712937111</c:v>
                </c:pt>
                <c:pt idx="96" formatCode="0">
                  <c:v>30.04305345642712</c:v>
                </c:pt>
                <c:pt idx="97" formatCode="0">
                  <c:v>29.58383796174154</c:v>
                </c:pt>
                <c:pt idx="98" formatCode="0">
                  <c:v>29.13164168934857</c:v>
                </c:pt>
                <c:pt idx="99" formatCode="0">
                  <c:v>28.68635734870126</c:v>
                </c:pt>
                <c:pt idx="100" formatCode="0">
                  <c:v>28.24787928921516</c:v>
                </c:pt>
                <c:pt idx="101" formatCode="0">
                  <c:v>27.81610347520114</c:v>
                </c:pt>
                <c:pt idx="102" formatCode="0">
                  <c:v>27.39092746118127</c:v>
                </c:pt>
                <c:pt idx="103" formatCode="0">
                  <c:v>26.97225036758204</c:v>
                </c:pt>
                <c:pt idx="104" formatCode="0">
                  <c:v>26.55997285679917</c:v>
                </c:pt>
                <c:pt idx="105" formatCode="0">
                  <c:v>26.1539971096282</c:v>
                </c:pt>
                <c:pt idx="106" formatCode="0">
                  <c:v>25.75422680205536</c:v>
                </c:pt>
                <c:pt idx="107" formatCode="0">
                  <c:v>25.36056708240325</c:v>
                </c:pt>
                <c:pt idx="108" formatCode="0">
                  <c:v>24.97292454882579</c:v>
                </c:pt>
                <c:pt idx="109" formatCode="0">
                  <c:v>24.59120722714718</c:v>
                </c:pt>
                <c:pt idx="110" formatCode="0">
                  <c:v>24.21532454903963</c:v>
                </c:pt>
                <c:pt idx="111" formatCode="0">
                  <c:v>23.84518733053463</c:v>
                </c:pt>
                <c:pt idx="112" formatCode="0">
                  <c:v>23.48070775086264</c:v>
                </c:pt>
                <c:pt idx="113" formatCode="0">
                  <c:v>23.12179933161629</c:v>
                </c:pt>
                <c:pt idx="114" formatCode="0">
                  <c:v>22.76837691623203</c:v>
                </c:pt>
                <c:pt idx="115" formatCode="0">
                  <c:v>22.42035664978543</c:v>
                </c:pt>
                <c:pt idx="116" formatCode="0">
                  <c:v>22.0776559590953</c:v>
                </c:pt>
                <c:pt idx="117" formatCode="0">
                  <c:v>21.7401935331319</c:v>
                </c:pt>
                <c:pt idx="118" formatCode="0">
                  <c:v>21.40788930372469</c:v>
                </c:pt>
                <c:pt idx="119" formatCode="0">
                  <c:v>21.08066442656492</c:v>
                </c:pt>
                <c:pt idx="120" formatCode="0">
                  <c:v>20.75844126249853</c:v>
                </c:pt>
                <c:pt idx="121" formatCode="0">
                  <c:v>20.44114335910514</c:v>
                </c:pt>
                <c:pt idx="122" formatCode="0">
                  <c:v>20.12869543255851</c:v>
                </c:pt>
                <c:pt idx="123" formatCode="0">
                  <c:v>19.82102334976426</c:v>
                </c:pt>
                <c:pt idx="124" formatCode="0">
                  <c:v>19.51805411077071</c:v>
                </c:pt>
                <c:pt idx="125" formatCode="0">
                  <c:v>19.21971583144844</c:v>
                </c:pt>
                <c:pt idx="126" formatCode="0">
                  <c:v>18.92593772643473</c:v>
                </c:pt>
                <c:pt idx="127" formatCode="0">
                  <c:v>18.63665009233861</c:v>
                </c:pt>
                <c:pt idx="128" formatCode="0">
                  <c:v>18.35178429120265</c:v>
                </c:pt>
                <c:pt idx="129" formatCode="0">
                  <c:v>18.0712727342176</c:v>
                </c:pt>
                <c:pt idx="130" formatCode="0">
                  <c:v>17.79504886568581</c:v>
                </c:pt>
                <c:pt idx="131" formatCode="0">
                  <c:v>17.52304714722993</c:v>
                </c:pt>
                <c:pt idx="132" formatCode="0">
                  <c:v>17.25520304224291</c:v>
                </c:pt>
                <c:pt idx="133" formatCode="0">
                  <c:v>16.99145300057567</c:v>
                </c:pt>
                <c:pt idx="134" formatCode="0">
                  <c:v>16.73173444345887</c:v>
                </c:pt>
                <c:pt idx="135" formatCode="0">
                  <c:v>16.47598574865512</c:v>
                </c:pt>
                <c:pt idx="136" formatCode="0">
                  <c:v>16.22414623583813</c:v>
                </c:pt>
                <c:pt idx="137" formatCode="0">
                  <c:v>15.97615615219543</c:v>
                </c:pt>
                <c:pt idx="138" formatCode="0">
                  <c:v>15.73195665825102</c:v>
                </c:pt>
                <c:pt idx="139" formatCode="0">
                  <c:v>15.49148981390483</c:v>
                </c:pt>
                <c:pt idx="140" formatCode="0">
                  <c:v>15.25469856468556</c:v>
                </c:pt>
                <c:pt idx="141" formatCode="0">
                  <c:v>15.02152672821356</c:v>
                </c:pt>
                <c:pt idx="142" formatCode="0">
                  <c:v>14.79191898087077</c:v>
                </c:pt>
                <c:pt idx="143" formatCode="0">
                  <c:v>14.56582084467429</c:v>
                </c:pt>
                <c:pt idx="144" formatCode="0">
                  <c:v>14.34317867435063</c:v>
                </c:pt>
                <c:pt idx="145" formatCode="0">
                  <c:v>14.12393964460758</c:v>
                </c:pt>
                <c:pt idx="146" formatCode="0">
                  <c:v>13.90805173760057</c:v>
                </c:pt>
                <c:pt idx="147" formatCode="0">
                  <c:v>13.69546373059064</c:v>
                </c:pt>
                <c:pt idx="148" formatCode="0">
                  <c:v>13.48612518379102</c:v>
                </c:pt>
                <c:pt idx="149" formatCode="0">
                  <c:v>13.27998642839958</c:v>
                </c:pt>
                <c:pt idx="150" formatCode="0">
                  <c:v>13.0769985548141</c:v>
                </c:pt>
                <c:pt idx="151" formatCode="0">
                  <c:v>12.87711340102768</c:v>
                </c:pt>
                <c:pt idx="152" formatCode="0">
                  <c:v>12.68028354120163</c:v>
                </c:pt>
                <c:pt idx="153" formatCode="0">
                  <c:v>12.48646227441289</c:v>
                </c:pt>
                <c:pt idx="154" formatCode="0">
                  <c:v>12.29560361357359</c:v>
                </c:pt>
                <c:pt idx="155" formatCode="0">
                  <c:v>12.10766227451982</c:v>
                </c:pt>
                <c:pt idx="156" formatCode="0">
                  <c:v>11.92259366526732</c:v>
                </c:pt>
                <c:pt idx="157" formatCode="0">
                  <c:v>11.74035387543132</c:v>
                </c:pt>
                <c:pt idx="158" formatCode="0">
                  <c:v>11.56089966580814</c:v>
                </c:pt>
                <c:pt idx="159" formatCode="0">
                  <c:v>11.38418845811602</c:v>
                </c:pt>
                <c:pt idx="160" formatCode="0">
                  <c:v>11.21017832489271</c:v>
                </c:pt>
                <c:pt idx="161" formatCode="0">
                  <c:v>55.10238200144587</c:v>
                </c:pt>
                <c:pt idx="162" formatCode="0">
                  <c:v>54.26012847865243</c:v>
                </c:pt>
                <c:pt idx="163" formatCode="0">
                  <c:v>53.43074900904672</c:v>
                </c:pt>
                <c:pt idx="164" formatCode="0">
                  <c:v>52.61404680954504</c:v>
                </c:pt>
                <c:pt idx="165" formatCode="0">
                  <c:v>51.80982810494175</c:v>
                </c:pt>
                <c:pt idx="166" formatCode="0">
                  <c:v>51.01790208193307</c:v>
                </c:pt>
                <c:pt idx="167" formatCode="0">
                  <c:v>50.23808084384373</c:v>
                </c:pt>
                <c:pt idx="168" formatCode="0">
                  <c:v>49.47017936604556</c:v>
                </c:pt>
                <c:pt idx="169" formatCode="0">
                  <c:v>48.71401545205755</c:v>
                </c:pt>
                <c:pt idx="170" formatCode="0">
                  <c:v>47.96940969031692</c:v>
                </c:pt>
                <c:pt idx="171" formatCode="0">
                  <c:v>47.23618541161093</c:v>
                </c:pt>
                <c:pt idx="172" formatCode="0">
                  <c:v>46.51416864715945</c:v>
                </c:pt>
                <c:pt idx="173" formatCode="0">
                  <c:v>45.80318808733808</c:v>
                </c:pt>
                <c:pt idx="174" formatCode="0">
                  <c:v>45.1030750410324</c:v>
                </c:pt>
                <c:pt idx="175" formatCode="0">
                  <c:v>44.41366339561334</c:v>
                </c:pt>
                <c:pt idx="176" formatCode="0">
                  <c:v>43.73478957752438</c:v>
                </c:pt>
                <c:pt idx="177" formatCode="0">
                  <c:v>43.06629251347127</c:v>
                </c:pt>
                <c:pt idx="178" formatCode="0">
                  <c:v>42.4080135922048</c:v>
                </c:pt>
                <c:pt idx="179" formatCode="0">
                  <c:v>41.75979662688795</c:v>
                </c:pt>
                <c:pt idx="180" formatCode="0">
                  <c:v>41.12148781803806</c:v>
                </c:pt>
                <c:pt idx="181" formatCode="0">
                  <c:v>40.49293571703557</c:v>
                </c:pt>
                <c:pt idx="182" formatCode="0">
                  <c:v>39.87399119019049</c:v>
                </c:pt>
                <c:pt idx="183" formatCode="0">
                  <c:v>39.26450738335812</c:v>
                </c:pt>
                <c:pt idx="184" formatCode="0">
                  <c:v>38.66433968709564</c:v>
                </c:pt>
                <c:pt idx="185" formatCode="0">
                  <c:v>38.0733457023513</c:v>
                </c:pt>
                <c:pt idx="186" formatCode="0">
                  <c:v>37.49138520667806</c:v>
                </c:pt>
                <c:pt idx="187" formatCode="0">
                  <c:v>36.91832012096358</c:v>
                </c:pt>
                <c:pt idx="188" formatCode="0">
                  <c:v>36.35401447666889</c:v>
                </c:pt>
                <c:pt idx="189" formatCode="0">
                  <c:v>35.79833438356774</c:v>
                </c:pt>
                <c:pt idx="190" formatCode="0">
                  <c:v>35.25114799797906</c:v>
                </c:pt>
                <c:pt idx="191" formatCode="0">
                  <c:v>34.71232549148502</c:v>
                </c:pt>
                <c:pt idx="192" formatCode="0">
                  <c:v>34.18173902012724</c:v>
                </c:pt>
                <c:pt idx="193" formatCode="0">
                  <c:v>33.6592626940738</c:v>
                </c:pt>
                <c:pt idx="194" formatCode="0">
                  <c:v>33.14477254775</c:v>
                </c:pt>
                <c:pt idx="195" formatCode="0">
                  <c:v>32.63814651042556</c:v>
                </c:pt>
                <c:pt idx="196" formatCode="0">
                  <c:v>32.13926437725147</c:v>
                </c:pt>
                <c:pt idx="197" formatCode="0">
                  <c:v>31.64800778073955</c:v>
                </c:pt>
                <c:pt idx="198" formatCode="0">
                  <c:v>31.16426016267791</c:v>
                </c:pt>
                <c:pt idx="199" formatCode="0">
                  <c:v>30.68790674647571</c:v>
                </c:pt>
                <c:pt idx="200" formatCode="0">
                  <c:v>30.21883450993069</c:v>
                </c:pt>
                <c:pt idx="201" formatCode="0">
                  <c:v>29.75693215841287</c:v>
                </c:pt>
                <c:pt idx="202" formatCode="0">
                  <c:v>29.30209009845817</c:v>
                </c:pt>
                <c:pt idx="203" formatCode="0">
                  <c:v>28.85420041176567</c:v>
                </c:pt>
                <c:pt idx="204" formatCode="0">
                  <c:v>28.4131568295924</c:v>
                </c:pt>
                <c:pt idx="205" formatCode="0">
                  <c:v>27.97885470753933</c:v>
                </c:pt>
                <c:pt idx="206" formatCode="0">
                  <c:v>27.55119100072294</c:v>
                </c:pt>
                <c:pt idx="207" formatCode="0">
                  <c:v>27.13006423932622</c:v>
                </c:pt>
                <c:pt idx="208" formatCode="0">
                  <c:v>26.71537450452336</c:v>
                </c:pt>
                <c:pt idx="209" formatCode="0">
                  <c:v>26.30702340477253</c:v>
                </c:pt>
                <c:pt idx="210" formatCode="0">
                  <c:v>25.90491405247088</c:v>
                </c:pt>
                <c:pt idx="211" formatCode="0">
                  <c:v>25.50895104096654</c:v>
                </c:pt>
                <c:pt idx="212" formatCode="0">
                  <c:v>25.11904042192187</c:v>
                </c:pt>
                <c:pt idx="213" formatCode="0">
                  <c:v>24.73508968302278</c:v>
                </c:pt>
                <c:pt idx="214" formatCode="0">
                  <c:v>24.35700772602877</c:v>
                </c:pt>
                <c:pt idx="215" formatCode="0">
                  <c:v>23.98470484515846</c:v>
                </c:pt>
                <c:pt idx="216" formatCode="0">
                  <c:v>23.61809270580547</c:v>
                </c:pt>
                <c:pt idx="217" formatCode="0">
                  <c:v>23.25708432357973</c:v>
                </c:pt>
                <c:pt idx="218" formatCode="0">
                  <c:v>22.90159404366904</c:v>
                </c:pt>
                <c:pt idx="219" formatCode="0">
                  <c:v>22.5515375205162</c:v>
                </c:pt>
                <c:pt idx="220" formatCode="0">
                  <c:v>22.20683169780667</c:v>
                </c:pt>
                <c:pt idx="221" formatCode="0">
                  <c:v>21.86739478876219</c:v>
                </c:pt>
                <c:pt idx="222" formatCode="0">
                  <c:v>21.53314625673563</c:v>
                </c:pt>
                <c:pt idx="223" formatCode="0">
                  <c:v>21.2040067961024</c:v>
                </c:pt>
                <c:pt idx="224" formatCode="0">
                  <c:v>20.87989831344398</c:v>
                </c:pt>
                <c:pt idx="225" formatCode="0">
                  <c:v>20.56074390901903</c:v>
                </c:pt>
                <c:pt idx="226" formatCode="0">
                  <c:v>20.24646785851779</c:v>
                </c:pt>
                <c:pt idx="227" formatCode="0">
                  <c:v>19.93699559509524</c:v>
                </c:pt>
                <c:pt idx="228" formatCode="0">
                  <c:v>19.63225369167906</c:v>
                </c:pt>
                <c:pt idx="229" formatCode="0">
                  <c:v>19.33216984354783</c:v>
                </c:pt>
                <c:pt idx="230" formatCode="0">
                  <c:v>19.03667285117565</c:v>
                </c:pt>
                <c:pt idx="231" formatCode="0">
                  <c:v>18.74569260333903</c:v>
                </c:pt>
                <c:pt idx="232" formatCode="0">
                  <c:v>18.45916006048179</c:v>
                </c:pt>
                <c:pt idx="233" formatCode="0">
                  <c:v>18.17700723833445</c:v>
                </c:pt>
                <c:pt idx="234" formatCode="0">
                  <c:v>17.89916719178387</c:v>
                </c:pt>
                <c:pt idx="235" formatCode="0">
                  <c:v>17.62557399898953</c:v>
                </c:pt>
                <c:pt idx="236" formatCode="0">
                  <c:v>17.35616274574251</c:v>
                </c:pt>
                <c:pt idx="237" formatCode="0">
                  <c:v>17.09086951006362</c:v>
                </c:pt>
                <c:pt idx="238" formatCode="0">
                  <c:v>16.8296313470369</c:v>
                </c:pt>
                <c:pt idx="239" formatCode="0">
                  <c:v>16.572386273875</c:v>
                </c:pt>
                <c:pt idx="240" formatCode="0">
                  <c:v>16.31907325521278</c:v>
                </c:pt>
              </c:numCache>
            </c:numRef>
          </c:val>
        </c:ser>
        <c:ser>
          <c:idx val="6"/>
          <c:order val="6"/>
          <c:tx>
            <c:strRef>
              <c:f>'Mixed conifer Even '!$AD$77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'Mixed conifer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'Mixed conifer Even '!$AD$78:$AD$318</c:f>
              <c:numCache>
                <c:formatCode>General</c:formatCode>
                <c:ptCount val="241"/>
                <c:pt idx="80" formatCode="0">
                  <c:v>0.0</c:v>
                </c:pt>
                <c:pt idx="81" formatCode="0">
                  <c:v>0.392095844158303</c:v>
                </c:pt>
                <c:pt idx="82" formatCode="0">
                  <c:v>0.778198406465261</c:v>
                </c:pt>
                <c:pt idx="83" formatCode="0">
                  <c:v>1.15839929571471</c:v>
                </c:pt>
                <c:pt idx="84" formatCode="0">
                  <c:v>1.53278872043743</c:v>
                </c:pt>
                <c:pt idx="85" formatCode="0">
                  <c:v>1.90145551030453</c:v>
                </c:pt>
                <c:pt idx="86" formatCode="0">
                  <c:v>2.26448713720364</c:v>
                </c:pt>
                <c:pt idx="87" formatCode="0">
                  <c:v>2.621969735992981</c:v>
                </c:pt>
                <c:pt idx="88" formatCode="0">
                  <c:v>2.973988124938185</c:v>
                </c:pt>
                <c:pt idx="89" formatCode="0">
                  <c:v>3.320625825836741</c:v>
                </c:pt>
                <c:pt idx="90" formatCode="0">
                  <c:v>3.661965083834822</c:v>
                </c:pt>
                <c:pt idx="91" formatCode="0">
                  <c:v>3.99808688694122</c:v>
                </c:pt>
                <c:pt idx="92" formatCode="0">
                  <c:v>4.329070985243014</c:v>
                </c:pt>
                <c:pt idx="93" formatCode="0">
                  <c:v>4.654995909827491</c:v>
                </c:pt>
                <c:pt idx="94" formatCode="0">
                  <c:v>4.975938991414866</c:v>
                </c:pt>
                <c:pt idx="95" formatCode="0">
                  <c:v>5.291976378706195</c:v>
                </c:pt>
                <c:pt idx="96" formatCode="0">
                  <c:v>5.603183056450819</c:v>
                </c:pt>
                <c:pt idx="97" formatCode="0">
                  <c:v>5.90963286323766</c:v>
                </c:pt>
                <c:pt idx="98" formatCode="0">
                  <c:v>6.21139850901457</c:v>
                </c:pt>
                <c:pt idx="99" formatCode="0">
                  <c:v>6.508551592339882</c:v>
                </c:pt>
                <c:pt idx="100" formatCode="0">
                  <c:v>6.801162617370267</c:v>
                </c:pt>
                <c:pt idx="101" formatCode="0">
                  <c:v>7.089301010588955</c:v>
                </c:pt>
                <c:pt idx="102" formatCode="0">
                  <c:v>7.373035137278216</c:v>
                </c:pt>
                <c:pt idx="103" formatCode="0">
                  <c:v>7.652432317740103</c:v>
                </c:pt>
                <c:pt idx="104" formatCode="0">
                  <c:v>7.927558843269207</c:v>
                </c:pt>
                <c:pt idx="105" formatCode="0">
                  <c:v>8.198479991881303</c:v>
                </c:pt>
                <c:pt idx="106" formatCode="0">
                  <c:v>8.465260043801573</c:v>
                </c:pt>
                <c:pt idx="107" formatCode="0">
                  <c:v>8.727962296716086</c:v>
                </c:pt>
                <c:pt idx="108" formatCode="0">
                  <c:v>8.986649080790108</c:v>
                </c:pt>
                <c:pt idx="109" formatCode="0">
                  <c:v>9.24138177345697</c:v>
                </c:pt>
                <c:pt idx="110" formatCode="0">
                  <c:v>9.492220813980738</c:v>
                </c:pt>
                <c:pt idx="111" formatCode="0">
                  <c:v>9.73922571779641</c:v>
                </c:pt>
                <c:pt idx="112" formatCode="0">
                  <c:v>9.982455090630851</c:v>
                </c:pt>
                <c:pt idx="113" formatCode="0">
                  <c:v>10.22196664240792</c:v>
                </c:pt>
                <c:pt idx="114" formatCode="0">
                  <c:v>10.45781720094101</c:v>
                </c:pt>
                <c:pt idx="115" formatCode="0">
                  <c:v>10.69006272541638</c:v>
                </c:pt>
                <c:pt idx="116" formatCode="0">
                  <c:v>10.91875831967026</c:v>
                </c:pt>
                <c:pt idx="117" formatCode="0">
                  <c:v>11.14395824526317</c:v>
                </c:pt>
                <c:pt idx="118" formatCode="0">
                  <c:v>11.36571593435424</c:v>
                </c:pt>
                <c:pt idx="119" formatCode="0">
                  <c:v>11.58408400237887</c:v>
                </c:pt>
                <c:pt idx="120" formatCode="0">
                  <c:v>11.79911426053251</c:v>
                </c:pt>
                <c:pt idx="121" formatCode="0">
                  <c:v>12.01085772806369</c:v>
                </c:pt>
                <c:pt idx="122" formatCode="0">
                  <c:v>12.21936464437915</c:v>
                </c:pt>
                <c:pt idx="123" formatCode="0">
                  <c:v>12.42468448096384</c:v>
                </c:pt>
                <c:pt idx="124" formatCode="0">
                  <c:v>12.62686595311887</c:v>
                </c:pt>
                <c:pt idx="125" formatCode="0">
                  <c:v>12.82595703151993</c:v>
                </c:pt>
                <c:pt idx="126" formatCode="0">
                  <c:v>13.02200495359908</c:v>
                </c:pt>
                <c:pt idx="127" formatCode="0">
                  <c:v>13.21505623475256</c:v>
                </c:pt>
                <c:pt idx="128" formatCode="0">
                  <c:v>13.40515667937729</c:v>
                </c:pt>
                <c:pt idx="129" formatCode="0">
                  <c:v>13.59235139173865</c:v>
                </c:pt>
                <c:pt idx="130" formatCode="0">
                  <c:v>13.7766847866722</c:v>
                </c:pt>
                <c:pt idx="131" formatCode="0">
                  <c:v>13.95820060012175</c:v>
                </c:pt>
                <c:pt idx="132" formatCode="0">
                  <c:v>14.13694189951642</c:v>
                </c:pt>
                <c:pt idx="133" formatCode="0">
                  <c:v>14.31295109398903</c:v>
                </c:pt>
                <c:pt idx="134" formatCode="0">
                  <c:v>14.4862699444383</c:v>
                </c:pt>
                <c:pt idx="135" formatCode="0">
                  <c:v>14.65693957343734</c:v>
                </c:pt>
                <c:pt idx="136" formatCode="0">
                  <c:v>14.82500047499054</c:v>
                </c:pt>
                <c:pt idx="137" formatCode="0">
                  <c:v>14.99049252414144</c:v>
                </c:pt>
                <c:pt idx="138" formatCode="0">
                  <c:v>15.15345498643368</c:v>
                </c:pt>
                <c:pt idx="139" formatCode="0">
                  <c:v>15.31392652722737</c:v>
                </c:pt>
                <c:pt idx="140" formatCode="0">
                  <c:v>15.47194522087303</c:v>
                </c:pt>
                <c:pt idx="141" formatCode="0">
                  <c:v>15.62754855974534</c:v>
                </c:pt>
                <c:pt idx="142" formatCode="0">
                  <c:v>15.78077346313876</c:v>
                </c:pt>
                <c:pt idx="143" formatCode="0">
                  <c:v>15.93165628602722</c:v>
                </c:pt>
                <c:pt idx="144" formatCode="0">
                  <c:v>16.08023282768987</c:v>
                </c:pt>
                <c:pt idx="145" formatCode="0">
                  <c:v>16.22653834020507</c:v>
                </c:pt>
                <c:pt idx="146" formatCode="0">
                  <c:v>16.37060753681441</c:v>
                </c:pt>
                <c:pt idx="147" formatCode="0">
                  <c:v>16.51247460015904</c:v>
                </c:pt>
                <c:pt idx="148" formatCode="0">
                  <c:v>16.65217319038998</c:v>
                </c:pt>
                <c:pt idx="149" formatCode="0">
                  <c:v>16.78973645315454</c:v>
                </c:pt>
                <c:pt idx="150" formatCode="0">
                  <c:v>16.92519702746058</c:v>
                </c:pt>
                <c:pt idx="151" formatCode="0">
                  <c:v>17.05858705342072</c:v>
                </c:pt>
                <c:pt idx="152" formatCode="0">
                  <c:v>17.18993817987797</c:v>
                </c:pt>
                <c:pt idx="153" formatCode="0">
                  <c:v>17.31928157191499</c:v>
                </c:pt>
                <c:pt idx="154" formatCode="0">
                  <c:v>17.44664791824841</c:v>
                </c:pt>
                <c:pt idx="155" formatCode="0">
                  <c:v>17.5720674385103</c:v>
                </c:pt>
                <c:pt idx="156" formatCode="0">
                  <c:v>17.69556989041813</c:v>
                </c:pt>
                <c:pt idx="157" formatCode="0">
                  <c:v>17.81718457683536</c:v>
                </c:pt>
                <c:pt idx="158" formatCode="0">
                  <c:v>17.93694035272389</c:v>
                </c:pt>
                <c:pt idx="159" formatCode="0">
                  <c:v>18.05486563199043</c:v>
                </c:pt>
                <c:pt idx="160" formatCode="0">
                  <c:v>18.17098839422811</c:v>
                </c:pt>
                <c:pt idx="161" formatCode="0">
                  <c:v>18.28533619135505</c:v>
                </c:pt>
                <c:pt idx="162" formatCode="0">
                  <c:v>18.84740004223255</c:v>
                </c:pt>
                <c:pt idx="163" formatCode="0">
                  <c:v>19.40087260828276</c:v>
                </c:pt>
                <c:pt idx="164" formatCode="0">
                  <c:v>19.94588520941688</c:v>
                </c:pt>
                <c:pt idx="165" formatCode="0">
                  <c:v>20.48256715828881</c:v>
                </c:pt>
                <c:pt idx="166" formatCode="0">
                  <c:v>21.01104579097661</c:v>
                </c:pt>
                <c:pt idx="167" formatCode="0">
                  <c:v>21.53144649719489</c:v>
                </c:pt>
                <c:pt idx="168" formatCode="0">
                  <c:v>22.04389275004554</c:v>
                </c:pt>
                <c:pt idx="169" formatCode="0">
                  <c:v>22.54850613531353</c:v>
                </c:pt>
                <c:pt idx="170" formatCode="0">
                  <c:v>23.04540638031511</c:v>
                </c:pt>
                <c:pt idx="171" formatCode="0">
                  <c:v>23.53471138230491</c:v>
                </c:pt>
                <c:pt idx="172" formatCode="0">
                  <c:v>24.01653723644887</c:v>
                </c:pt>
                <c:pt idx="173" formatCode="0">
                  <c:v>24.49099826336966</c:v>
                </c:pt>
                <c:pt idx="174" formatCode="0">
                  <c:v>24.95820703627098</c:v>
                </c:pt>
                <c:pt idx="175" formatCode="0">
                  <c:v>25.4182744076473</c:v>
                </c:pt>
                <c:pt idx="176" formatCode="0">
                  <c:v>25.87130953558533</c:v>
                </c:pt>
                <c:pt idx="177" formatCode="0">
                  <c:v>26.31741990966345</c:v>
                </c:pt>
                <c:pt idx="178" formatCode="0">
                  <c:v>26.75671137645527</c:v>
                </c:pt>
                <c:pt idx="179" formatCode="0">
                  <c:v>27.18928816464338</c:v>
                </c:pt>
                <c:pt idx="180" formatCode="0">
                  <c:v>27.6152529097492</c:v>
                </c:pt>
                <c:pt idx="181" formatCode="0">
                  <c:v>28.03470667848487</c:v>
                </c:pt>
                <c:pt idx="182" formatCode="0">
                  <c:v>28.44774899273282</c:v>
                </c:pt>
                <c:pt idx="183" formatCode="0">
                  <c:v>28.85447785315895</c:v>
                </c:pt>
                <c:pt idx="184" formatCode="0">
                  <c:v>29.25498976246478</c:v>
                </c:pt>
                <c:pt idx="185" formatCode="0">
                  <c:v>29.64937974828417</c:v>
                </c:pt>
                <c:pt idx="186" formatCode="0">
                  <c:v>30.03774138573012</c:v>
                </c:pt>
                <c:pt idx="187" formatCode="0">
                  <c:v>30.42016681959691</c:v>
                </c:pt>
                <c:pt idx="188" formatCode="0">
                  <c:v>30.7967467862229</c:v>
                </c:pt>
                <c:pt idx="189" formatCode="0">
                  <c:v>31.16757063501906</c:v>
                </c:pt>
                <c:pt idx="190" formatCode="0">
                  <c:v>31.53272634966858</c:v>
                </c:pt>
                <c:pt idx="191" formatCode="0">
                  <c:v>31.89230056900227</c:v>
                </c:pt>
                <c:pt idx="192" formatCode="0">
                  <c:v>32.24637860755503</c:v>
                </c:pt>
                <c:pt idx="193" formatCode="0">
                  <c:v>32.59504447580802</c:v>
                </c:pt>
                <c:pt idx="194" formatCode="0">
                  <c:v>32.93838090012144</c:v>
                </c:pt>
                <c:pt idx="195" formatCode="0">
                  <c:v>33.27646934236262</c:v>
                </c:pt>
                <c:pt idx="196" formatCode="0">
                  <c:v>33.60939001923413</c:v>
                </c:pt>
                <c:pt idx="197" formatCode="0">
                  <c:v>33.93722192130641</c:v>
                </c:pt>
                <c:pt idx="198" formatCode="0">
                  <c:v>34.26004283175954</c:v>
                </c:pt>
                <c:pt idx="199" formatCode="0">
                  <c:v>34.57792934483848</c:v>
                </c:pt>
                <c:pt idx="200" formatCode="0">
                  <c:v>34.89095688402619</c:v>
                </c:pt>
                <c:pt idx="201" formatCode="0">
                  <c:v>35.19919971993908</c:v>
                </c:pt>
                <c:pt idx="202" formatCode="0">
                  <c:v>35.50273098794886</c:v>
                </c:pt>
                <c:pt idx="203" formatCode="0">
                  <c:v>35.80162270553498</c:v>
                </c:pt>
                <c:pt idx="204" formatCode="0">
                  <c:v>36.09594578937195</c:v>
                </c:pt>
                <c:pt idx="205" formatCode="0">
                  <c:v>36.38577007215537</c:v>
                </c:pt>
                <c:pt idx="206" formatCode="0">
                  <c:v>36.67116431917084</c:v>
                </c:pt>
                <c:pt idx="207" formatCode="0">
                  <c:v>36.95219624460959</c:v>
                </c:pt>
                <c:pt idx="208" formatCode="0">
                  <c:v>37.2289325276347</c:v>
                </c:pt>
                <c:pt idx="209" formatCode="0">
                  <c:v>37.50143882820174</c:v>
                </c:pt>
                <c:pt idx="210" formatCode="0">
                  <c:v>37.76977980263771</c:v>
                </c:pt>
                <c:pt idx="211" formatCode="0">
                  <c:v>38.03401911898161</c:v>
                </c:pt>
                <c:pt idx="212" formatCode="0">
                  <c:v>38.29421947209075</c:v>
                </c:pt>
                <c:pt idx="213" formatCode="0">
                  <c:v>38.55044259851607</c:v>
                </c:pt>
                <c:pt idx="214" formatCode="0">
                  <c:v>38.80274929115008</c:v>
                </c:pt>
                <c:pt idx="215" formatCode="0">
                  <c:v>39.05119941365086</c:v>
                </c:pt>
                <c:pt idx="216" formatCode="0">
                  <c:v>39.29585191464576</c:v>
                </c:pt>
                <c:pt idx="217" formatCode="0">
                  <c:v>39.53676484171774</c:v>
                </c:pt>
                <c:pt idx="218" formatCode="0">
                  <c:v>39.77399535517814</c:v>
                </c:pt>
                <c:pt idx="219" formatCode="0">
                  <c:v>40.00759974162881</c:v>
                </c:pt>
                <c:pt idx="220" formatCode="0">
                  <c:v>40.23763342731696</c:v>
                </c:pt>
                <c:pt idx="221" formatCode="0">
                  <c:v>40.46415099128597</c:v>
                </c:pt>
                <c:pt idx="222" formatCode="0">
                  <c:v>40.68720617832504</c:v>
                </c:pt>
                <c:pt idx="223" formatCode="0">
                  <c:v>40.90685191172095</c:v>
                </c:pt>
                <c:pt idx="224" formatCode="0">
                  <c:v>41.123140305815</c:v>
                </c:pt>
                <c:pt idx="225" formatCode="0">
                  <c:v>41.33612267836791</c:v>
                </c:pt>
                <c:pt idx="226" formatCode="0">
                  <c:v>41.54584956273574</c:v>
                </c:pt>
                <c:pt idx="227" formatCode="0">
                  <c:v>41.75237071985971</c:v>
                </c:pt>
                <c:pt idx="228" formatCode="0">
                  <c:v>41.95573515007278</c:v>
                </c:pt>
                <c:pt idx="229" formatCode="0">
                  <c:v>42.1559911047257</c:v>
                </c:pt>
                <c:pt idx="230" formatCode="0">
                  <c:v>42.3531860976354</c:v>
                </c:pt>
                <c:pt idx="231" formatCode="0">
                  <c:v>42.54736691635837</c:v>
                </c:pt>
                <c:pt idx="232" formatCode="0">
                  <c:v>42.73857963329176</c:v>
                </c:pt>
                <c:pt idx="233" formatCode="0">
                  <c:v>42.92686961660476</c:v>
                </c:pt>
                <c:pt idx="234" formatCode="0">
                  <c:v>43.11228154100284</c:v>
                </c:pt>
                <c:pt idx="235" formatCode="0">
                  <c:v>43.29485939832759</c:v>
                </c:pt>
                <c:pt idx="236" formatCode="0">
                  <c:v>43.47464650799444</c:v>
                </c:pt>
                <c:pt idx="237" formatCode="0">
                  <c:v>43.65168552727081</c:v>
                </c:pt>
                <c:pt idx="238" formatCode="0">
                  <c:v>43.82601846139731</c:v>
                </c:pt>
                <c:pt idx="239" formatCode="0">
                  <c:v>43.99768667355401</c:v>
                </c:pt>
                <c:pt idx="240" formatCode="0">
                  <c:v>44.1667308946746</c:v>
                </c:pt>
              </c:numCache>
            </c:numRef>
          </c:val>
        </c:ser>
        <c:ser>
          <c:idx val="7"/>
          <c:order val="7"/>
          <c:tx>
            <c:strRef>
              <c:f>'Mixed conifer Even '!$AE$77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cat>
            <c:numRef>
              <c:f>'Mixed conifer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'Mixed conifer Even '!$AE$78:$AE$318</c:f>
              <c:numCache>
                <c:formatCode>General</c:formatCode>
                <c:ptCount val="241"/>
                <c:pt idx="80" formatCode="0">
                  <c:v>0.0</c:v>
                </c:pt>
                <c:pt idx="81" formatCode="0">
                  <c:v>0.195852070009142</c:v>
                </c:pt>
                <c:pt idx="82" formatCode="0">
                  <c:v>0.388710492739891</c:v>
                </c:pt>
                <c:pt idx="83" formatCode="0">
                  <c:v>0.578621026830524</c:v>
                </c:pt>
                <c:pt idx="84" formatCode="0">
                  <c:v>0.765628731487227</c:v>
                </c:pt>
                <c:pt idx="85" formatCode="0">
                  <c:v>0.94977797717509</c:v>
                </c:pt>
                <c:pt idx="86" formatCode="0">
                  <c:v>1.131112456145675</c:v>
                </c:pt>
                <c:pt idx="87" formatCode="0">
                  <c:v>1.309675192803687</c:v>
                </c:pt>
                <c:pt idx="88" formatCode="0">
                  <c:v>1.485508553915178</c:v>
                </c:pt>
                <c:pt idx="89" formatCode="0">
                  <c:v>1.658654258659711</c:v>
                </c:pt>
                <c:pt idx="90" formatCode="0">
                  <c:v>1.829153388528882</c:v>
                </c:pt>
                <c:pt idx="91" formatCode="0">
                  <c:v>1.997046397073537</c:v>
                </c:pt>
                <c:pt idx="92" formatCode="0">
                  <c:v>2.162373119502005</c:v>
                </c:pt>
                <c:pt idx="93" formatCode="0">
                  <c:v>2.325172782131614</c:v>
                </c:pt>
                <c:pt idx="94" formatCode="0">
                  <c:v>2.485484011695738</c:v>
                </c:pt>
                <c:pt idx="95" formatCode="0">
                  <c:v>2.643344844508588</c:v>
                </c:pt>
                <c:pt idx="96" formatCode="0">
                  <c:v>2.79879273548992</c:v>
                </c:pt>
                <c:pt idx="97" formatCode="0">
                  <c:v>2.951864567051779</c:v>
                </c:pt>
                <c:pt idx="98" formatCode="0">
                  <c:v>3.102596657849435</c:v>
                </c:pt>
                <c:pt idx="99" formatCode="0">
                  <c:v>3.251024771398542</c:v>
                </c:pt>
                <c:pt idx="100" formatCode="0">
                  <c:v>3.397184124560573</c:v>
                </c:pt>
                <c:pt idx="101" formatCode="0">
                  <c:v>3.541109395898578</c:v>
                </c:pt>
                <c:pt idx="102" formatCode="0">
                  <c:v>3.682834733905202</c:v>
                </c:pt>
                <c:pt idx="103" formatCode="0">
                  <c:v>3.822393765104946</c:v>
                </c:pt>
                <c:pt idx="104" formatCode="0">
                  <c:v>3.95981960203257</c:v>
                </c:pt>
                <c:pt idx="105" formatCode="0">
                  <c:v>4.095144851089562</c:v>
                </c:pt>
                <c:pt idx="106" formatCode="0">
                  <c:v>4.228401620280506</c:v>
                </c:pt>
                <c:pt idx="107" formatCode="0">
                  <c:v>4.359621526831211</c:v>
                </c:pt>
                <c:pt idx="108" formatCode="0">
                  <c:v>4.488835704690363</c:v>
                </c:pt>
                <c:pt idx="109" formatCode="0">
                  <c:v>4.616074811916568</c:v>
                </c:pt>
                <c:pt idx="110" formatCode="0">
                  <c:v>4.741369037952415</c:v>
                </c:pt>
                <c:pt idx="111" formatCode="0">
                  <c:v>4.864748110787417</c:v>
                </c:pt>
                <c:pt idx="112" formatCode="0">
                  <c:v>4.986241304011413</c:v>
                </c:pt>
                <c:pt idx="113" formatCode="0">
                  <c:v>5.105877443760198</c:v>
                </c:pt>
                <c:pt idx="114" formatCode="0">
                  <c:v>5.22368491555495</c:v>
                </c:pt>
                <c:pt idx="115" formatCode="0">
                  <c:v>5.33969167103715</c:v>
                </c:pt>
                <c:pt idx="116" formatCode="0">
                  <c:v>5.45392523460053</c:v>
                </c:pt>
                <c:pt idx="117" formatCode="0">
                  <c:v>5.566412709921661</c:v>
                </c:pt>
                <c:pt idx="118" formatCode="0">
                  <c:v>5.677180786390729</c:v>
                </c:pt>
                <c:pt idx="119" formatCode="0">
                  <c:v>5.786255745443988</c:v>
                </c:pt>
                <c:pt idx="120" formatCode="0">
                  <c:v>5.893663466799452</c:v>
                </c:pt>
                <c:pt idx="121" formatCode="0">
                  <c:v>5.999429434597247</c:v>
                </c:pt>
                <c:pt idx="122" formatCode="0">
                  <c:v>6.103578743446125</c:v>
                </c:pt>
                <c:pt idx="123" formatCode="0">
                  <c:v>6.20613610437754</c:v>
                </c:pt>
                <c:pt idx="124" formatCode="0">
                  <c:v>6.307125850708724</c:v>
                </c:pt>
                <c:pt idx="125" formatCode="0">
                  <c:v>6.406571943816147</c:v>
                </c:pt>
                <c:pt idx="126" formatCode="0">
                  <c:v>6.504497978820718</c:v>
                </c:pt>
                <c:pt idx="127" formatCode="0">
                  <c:v>6.600927190186093</c:v>
                </c:pt>
                <c:pt idx="128" formatCode="0">
                  <c:v>6.695882457231409</c:v>
                </c:pt>
                <c:pt idx="129" formatCode="0">
                  <c:v>6.78938630955976</c:v>
                </c:pt>
                <c:pt idx="130" formatCode="0">
                  <c:v>6.881460932403692</c:v>
                </c:pt>
                <c:pt idx="131" formatCode="0">
                  <c:v>6.972128171888984</c:v>
                </c:pt>
                <c:pt idx="132" formatCode="0">
                  <c:v>7.061409540217991</c:v>
                </c:pt>
                <c:pt idx="133" formatCode="0">
                  <c:v>7.149326220773737</c:v>
                </c:pt>
                <c:pt idx="134" formatCode="0">
                  <c:v>7.235899073146003</c:v>
                </c:pt>
                <c:pt idx="135" formatCode="0">
                  <c:v>7.321148638080589</c:v>
                </c:pt>
                <c:pt idx="136" formatCode="0">
                  <c:v>7.405095142352915</c:v>
                </c:pt>
                <c:pt idx="137" formatCode="0">
                  <c:v>7.48775850356715</c:v>
                </c:pt>
                <c:pt idx="138" formatCode="0">
                  <c:v>7.569158334881954</c:v>
                </c:pt>
                <c:pt idx="139" formatCode="0">
                  <c:v>7.649313949664016</c:v>
                </c:pt>
                <c:pt idx="140" formatCode="0">
                  <c:v>7.728244366070442</c:v>
                </c:pt>
                <c:pt idx="141" formatCode="0">
                  <c:v>7.805968311561107</c:v>
                </c:pt>
                <c:pt idx="142" formatCode="0">
                  <c:v>7.882504227342037</c:v>
                </c:pt>
                <c:pt idx="143" formatCode="0">
                  <c:v>7.957870272740865</c:v>
                </c:pt>
                <c:pt idx="144" formatCode="0">
                  <c:v>8.032084329515418</c:v>
                </c:pt>
                <c:pt idx="145" formatCode="0">
                  <c:v>8.105164006096433</c:v>
                </c:pt>
                <c:pt idx="146" formatCode="0">
                  <c:v>8.177126641765437</c:v>
                </c:pt>
                <c:pt idx="147" formatCode="0">
                  <c:v>8.24798931076875</c:v>
                </c:pt>
                <c:pt idx="148" formatCode="0">
                  <c:v>8.31776882636862</c:v>
                </c:pt>
                <c:pt idx="149" formatCode="0">
                  <c:v>8.386481744832433</c:v>
                </c:pt>
                <c:pt idx="150" formatCode="0">
                  <c:v>8.454144369360927</c:v>
                </c:pt>
                <c:pt idx="151" formatCode="0">
                  <c:v>8.5207727539564</c:v>
                </c:pt>
                <c:pt idx="152" formatCode="0">
                  <c:v>8.586382707231753</c:v>
                </c:pt>
                <c:pt idx="153" formatCode="0">
                  <c:v>8.65098979616133</c:v>
                </c:pt>
                <c:pt idx="154" formatCode="0">
                  <c:v>8.714609349774431</c:v>
                </c:pt>
                <c:pt idx="155" formatCode="0">
                  <c:v>8.777256462792357</c:v>
                </c:pt>
                <c:pt idx="156" formatCode="0">
                  <c:v>8.838945999209857</c:v>
                </c:pt>
                <c:pt idx="157" formatCode="0">
                  <c:v>8.899692595821855</c:v>
                </c:pt>
                <c:pt idx="158" formatCode="0">
                  <c:v>8.959510665696248</c:v>
                </c:pt>
                <c:pt idx="159" formatCode="0">
                  <c:v>9.018414401593624</c:v>
                </c:pt>
                <c:pt idx="160" formatCode="0">
                  <c:v>9.076417779334724</c:v>
                </c:pt>
                <c:pt idx="161" formatCode="0">
                  <c:v>9.133534561116412</c:v>
                </c:pt>
                <c:pt idx="162" formatCode="0">
                  <c:v>9.414285735380897</c:v>
                </c:pt>
                <c:pt idx="163" formatCode="0">
                  <c:v>9.690745558582795</c:v>
                </c:pt>
                <c:pt idx="164" formatCode="0">
                  <c:v>9.962979625083354</c:v>
                </c:pt>
                <c:pt idx="165" formatCode="0">
                  <c:v>10.23105252661778</c:v>
                </c:pt>
                <c:pt idx="166" formatCode="0">
                  <c:v>10.49502786762068</c:v>
                </c:pt>
                <c:pt idx="167" formatCode="0">
                  <c:v>10.75496828031713</c:v>
                </c:pt>
                <c:pt idx="168" formatCode="0">
                  <c:v>11.01093543958318</c:v>
                </c:pt>
                <c:pt idx="169" formatCode="0">
                  <c:v>11.26299007757918</c:v>
                </c:pt>
                <c:pt idx="170" formatCode="0">
                  <c:v>11.5111919981594</c:v>
                </c:pt>
                <c:pt idx="171" formatCode="0">
                  <c:v>11.7556000910614</c:v>
                </c:pt>
                <c:pt idx="172" formatCode="0">
                  <c:v>11.99627234587855</c:v>
                </c:pt>
                <c:pt idx="173" formatCode="0">
                  <c:v>12.23326586581901</c:v>
                </c:pt>
                <c:pt idx="174" formatCode="0">
                  <c:v>12.46663688125424</c:v>
                </c:pt>
                <c:pt idx="175" formatCode="0">
                  <c:v>12.69644076306059</c:v>
                </c:pt>
                <c:pt idx="176" formatCode="0">
                  <c:v>12.92273203575691</c:v>
                </c:pt>
                <c:pt idx="177" formatCode="0">
                  <c:v>13.14556439044128</c:v>
                </c:pt>
                <c:pt idx="178" formatCode="0">
                  <c:v>13.3649906975301</c:v>
                </c:pt>
                <c:pt idx="179" formatCode="0">
                  <c:v>13.58106301930238</c:v>
                </c:pt>
                <c:pt idx="180" formatCode="0">
                  <c:v>13.79383262225235</c:v>
                </c:pt>
                <c:pt idx="181" formatCode="0">
                  <c:v>14.00334998925318</c:v>
                </c:pt>
                <c:pt idx="182" formatCode="0">
                  <c:v>14.20966483153487</c:v>
                </c:pt>
                <c:pt idx="183" formatCode="0">
                  <c:v>14.41282610047899</c:v>
                </c:pt>
                <c:pt idx="184" formatCode="0">
                  <c:v>14.61288199923315</c:v>
                </c:pt>
                <c:pt idx="185" formatCode="0">
                  <c:v>14.80987999414793</c:v>
                </c:pt>
                <c:pt idx="186" formatCode="0">
                  <c:v>15.00386682603902</c:v>
                </c:pt>
                <c:pt idx="187" formatCode="0">
                  <c:v>15.19488852127717</c:v>
                </c:pt>
                <c:pt idx="188" formatCode="0">
                  <c:v>15.38299040270874</c:v>
                </c:pt>
                <c:pt idx="189" formatCode="0">
                  <c:v>15.56821710040912</c:v>
                </c:pt>
                <c:pt idx="190" formatCode="0">
                  <c:v>15.75061256227201</c:v>
                </c:pt>
                <c:pt idx="191" formatCode="0">
                  <c:v>15.93022006443669</c:v>
                </c:pt>
                <c:pt idx="192" formatCode="0">
                  <c:v>16.10708222155596</c:v>
                </c:pt>
                <c:pt idx="193" formatCode="0">
                  <c:v>16.2812409969071</c:v>
                </c:pt>
                <c:pt idx="194" formatCode="0">
                  <c:v>16.45273771234837</c:v>
                </c:pt>
                <c:pt idx="195" formatCode="0">
                  <c:v>16.62161305812318</c:v>
                </c:pt>
                <c:pt idx="196" formatCode="0">
                  <c:v>16.78790710251454</c:v>
                </c:pt>
                <c:pt idx="197" formatCode="0">
                  <c:v>16.95165930135185</c:v>
                </c:pt>
                <c:pt idx="198" formatCode="0">
                  <c:v>17.1129085073724</c:v>
                </c:pt>
                <c:pt idx="199" formatCode="0">
                  <c:v>17.2716929794398</c:v>
                </c:pt>
                <c:pt idx="200" formatCode="0">
                  <c:v>17.42805039162147</c:v>
                </c:pt>
                <c:pt idx="201" formatCode="0">
                  <c:v>17.58201784212741</c:v>
                </c:pt>
                <c:pt idx="202" formatCode="0">
                  <c:v>17.73363186211231</c:v>
                </c:pt>
                <c:pt idx="203" formatCode="0">
                  <c:v>17.88292842434314</c:v>
                </c:pt>
                <c:pt idx="204" formatCode="0">
                  <c:v>18.02994295173423</c:v>
                </c:pt>
                <c:pt idx="205" formatCode="0">
                  <c:v>18.17471032575192</c:v>
                </c:pt>
                <c:pt idx="206" formatCode="0">
                  <c:v>18.31726489469072</c:v>
                </c:pt>
                <c:pt idx="207" formatCode="0">
                  <c:v>18.45764048182296</c:v>
                </c:pt>
                <c:pt idx="208" formatCode="0">
                  <c:v>18.59587039342392</c:v>
                </c:pt>
                <c:pt idx="209" formatCode="0">
                  <c:v>18.7319874266742</c:v>
                </c:pt>
                <c:pt idx="210" formatCode="0">
                  <c:v>18.86602387744141</c:v>
                </c:pt>
                <c:pt idx="211" formatCode="0">
                  <c:v>18.99801154794285</c:v>
                </c:pt>
                <c:pt idx="212" formatCode="0">
                  <c:v>19.12798175429107</c:v>
                </c:pt>
                <c:pt idx="213" formatCode="0">
                  <c:v>19.25596533392411</c:v>
                </c:pt>
                <c:pt idx="214" formatCode="0">
                  <c:v>19.38199265292211</c:v>
                </c:pt>
                <c:pt idx="215" formatCode="0">
                  <c:v>19.50609361321221</c:v>
                </c:pt>
                <c:pt idx="216" formatCode="0">
                  <c:v>19.62829765966321</c:v>
                </c:pt>
                <c:pt idx="217" formatCode="0">
                  <c:v>19.74863378707179</c:v>
                </c:pt>
                <c:pt idx="218" formatCode="0">
                  <c:v>19.86713054704202</c:v>
                </c:pt>
                <c:pt idx="219" formatCode="0">
                  <c:v>19.98381605475963</c:v>
                </c:pt>
                <c:pt idx="220" formatCode="0">
                  <c:v>20.09871799566281</c:v>
                </c:pt>
                <c:pt idx="221" formatCode="0">
                  <c:v>20.21186363201096</c:v>
                </c:pt>
                <c:pt idx="222" formatCode="0">
                  <c:v>20.32327980935315</c:v>
                </c:pt>
                <c:pt idx="223" formatCode="0">
                  <c:v>20.43299296289756</c:v>
                </c:pt>
                <c:pt idx="224" formatCode="0">
                  <c:v>20.54102912378371</c:v>
                </c:pt>
                <c:pt idx="225" formatCode="0">
                  <c:v>20.64741392525869</c:v>
                </c:pt>
                <c:pt idx="226" formatCode="0">
                  <c:v>20.7521726087591</c:v>
                </c:pt>
                <c:pt idx="227" formatCode="0">
                  <c:v>20.85533002989995</c:v>
                </c:pt>
                <c:pt idx="228" formatCode="0">
                  <c:v>20.95691066437201</c:v>
                </c:pt>
                <c:pt idx="229" formatCode="0">
                  <c:v>21.05693861374909</c:v>
                </c:pt>
                <c:pt idx="230" formatCode="0">
                  <c:v>21.15543761120648</c:v>
                </c:pt>
                <c:pt idx="231" formatCode="0">
                  <c:v>21.25243102715202</c:v>
                </c:pt>
                <c:pt idx="232" formatCode="0">
                  <c:v>21.3479418747711</c:v>
                </c:pt>
                <c:pt idx="233" formatCode="0">
                  <c:v>21.44199281548688</c:v>
                </c:pt>
                <c:pt idx="234" formatCode="0">
                  <c:v>21.53460616433707</c:v>
                </c:pt>
                <c:pt idx="235" formatCode="0">
                  <c:v>21.62580389526852</c:v>
                </c:pt>
                <c:pt idx="236" formatCode="0">
                  <c:v>21.71560764635086</c:v>
                </c:pt>
                <c:pt idx="237" formatCode="0">
                  <c:v>21.8040387249105</c:v>
                </c:pt>
                <c:pt idx="238" formatCode="0">
                  <c:v>21.89111811258606</c:v>
                </c:pt>
                <c:pt idx="239" formatCode="0">
                  <c:v>21.9768664703067</c:v>
                </c:pt>
                <c:pt idx="240" formatCode="0">
                  <c:v>22.0613041431941</c:v>
                </c:pt>
              </c:numCache>
            </c:numRef>
          </c:val>
        </c:ser>
        <c:ser>
          <c:idx val="8"/>
          <c:order val="8"/>
          <c:tx>
            <c:strRef>
              <c:f>'Mixed conifer Even '!$AF$77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bg1"/>
              </a:fgClr>
              <a:bgClr>
                <a:srgbClr val="FF6600"/>
              </a:bgClr>
            </a:pattFill>
          </c:spPr>
          <c:invertIfNegative val="0"/>
          <c:cat>
            <c:numRef>
              <c:f>'Mixed conifer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'Mixed conifer Even '!$AF$78:$AF$318</c:f>
              <c:numCache>
                <c:formatCode>General</c:formatCode>
                <c:ptCount val="241"/>
                <c:pt idx="80" formatCode="0">
                  <c:v>21.91047604785122</c:v>
                </c:pt>
                <c:pt idx="81" formatCode="0">
                  <c:v>21.91047604785122</c:v>
                </c:pt>
                <c:pt idx="82" formatCode="0">
                  <c:v>21.91047604785122</c:v>
                </c:pt>
                <c:pt idx="83" formatCode="0">
                  <c:v>21.91047604785122</c:v>
                </c:pt>
                <c:pt idx="84" formatCode="0">
                  <c:v>21.91047604785122</c:v>
                </c:pt>
                <c:pt idx="85" formatCode="0">
                  <c:v>21.91047604785122</c:v>
                </c:pt>
                <c:pt idx="86" formatCode="0">
                  <c:v>21.91047604785122</c:v>
                </c:pt>
                <c:pt idx="87" formatCode="0">
                  <c:v>21.91047604785122</c:v>
                </c:pt>
                <c:pt idx="88" formatCode="0">
                  <c:v>21.91047604785122</c:v>
                </c:pt>
                <c:pt idx="89" formatCode="0">
                  <c:v>21.91047604785122</c:v>
                </c:pt>
                <c:pt idx="90" formatCode="0">
                  <c:v>21.91047604785122</c:v>
                </c:pt>
                <c:pt idx="91" formatCode="0">
                  <c:v>21.91047604785122</c:v>
                </c:pt>
                <c:pt idx="92" formatCode="0">
                  <c:v>21.91047604785122</c:v>
                </c:pt>
                <c:pt idx="93" formatCode="0">
                  <c:v>21.91047604785122</c:v>
                </c:pt>
                <c:pt idx="94" formatCode="0">
                  <c:v>21.91047604785122</c:v>
                </c:pt>
                <c:pt idx="95" formatCode="0">
                  <c:v>21.91047604785122</c:v>
                </c:pt>
                <c:pt idx="96" formatCode="0">
                  <c:v>21.91047604785122</c:v>
                </c:pt>
                <c:pt idx="97" formatCode="0">
                  <c:v>21.91047604785122</c:v>
                </c:pt>
                <c:pt idx="98" formatCode="0">
                  <c:v>21.91047604785122</c:v>
                </c:pt>
                <c:pt idx="99" formatCode="0">
                  <c:v>21.91047604785122</c:v>
                </c:pt>
                <c:pt idx="100" formatCode="0">
                  <c:v>21.91047604785122</c:v>
                </c:pt>
                <c:pt idx="101" formatCode="0">
                  <c:v>21.91047604785122</c:v>
                </c:pt>
                <c:pt idx="102" formatCode="0">
                  <c:v>21.91047604785122</c:v>
                </c:pt>
                <c:pt idx="103" formatCode="0">
                  <c:v>21.91047604785122</c:v>
                </c:pt>
                <c:pt idx="104" formatCode="0">
                  <c:v>21.91047604785122</c:v>
                </c:pt>
                <c:pt idx="105" formatCode="0">
                  <c:v>21.91047604785122</c:v>
                </c:pt>
                <c:pt idx="106" formatCode="0">
                  <c:v>21.91047604785122</c:v>
                </c:pt>
                <c:pt idx="107" formatCode="0">
                  <c:v>21.91047604785122</c:v>
                </c:pt>
                <c:pt idx="108" formatCode="0">
                  <c:v>21.91047604785122</c:v>
                </c:pt>
                <c:pt idx="109" formatCode="0">
                  <c:v>21.91047604785122</c:v>
                </c:pt>
                <c:pt idx="110" formatCode="0">
                  <c:v>21.91047604785122</c:v>
                </c:pt>
                <c:pt idx="111" formatCode="0">
                  <c:v>21.91047604785122</c:v>
                </c:pt>
                <c:pt idx="112" formatCode="0">
                  <c:v>21.91047604785122</c:v>
                </c:pt>
                <c:pt idx="113" formatCode="0">
                  <c:v>21.91047604785122</c:v>
                </c:pt>
                <c:pt idx="114" formatCode="0">
                  <c:v>21.91047604785122</c:v>
                </c:pt>
                <c:pt idx="115" formatCode="0">
                  <c:v>21.91047604785122</c:v>
                </c:pt>
                <c:pt idx="116" formatCode="0">
                  <c:v>21.91047604785122</c:v>
                </c:pt>
                <c:pt idx="117" formatCode="0">
                  <c:v>21.91047604785122</c:v>
                </c:pt>
                <c:pt idx="118" formatCode="0">
                  <c:v>21.91047604785122</c:v>
                </c:pt>
                <c:pt idx="119" formatCode="0">
                  <c:v>21.91047604785122</c:v>
                </c:pt>
                <c:pt idx="120" formatCode="0">
                  <c:v>21.91047604785122</c:v>
                </c:pt>
                <c:pt idx="121" formatCode="0">
                  <c:v>21.91047604785122</c:v>
                </c:pt>
                <c:pt idx="122" formatCode="0">
                  <c:v>21.91047604785122</c:v>
                </c:pt>
                <c:pt idx="123" formatCode="0">
                  <c:v>21.91047604785122</c:v>
                </c:pt>
                <c:pt idx="124" formatCode="0">
                  <c:v>21.91047604785122</c:v>
                </c:pt>
                <c:pt idx="125" formatCode="0">
                  <c:v>21.91047604785122</c:v>
                </c:pt>
                <c:pt idx="126" formatCode="0">
                  <c:v>21.91047604785122</c:v>
                </c:pt>
                <c:pt idx="127" formatCode="0">
                  <c:v>21.91047604785122</c:v>
                </c:pt>
                <c:pt idx="128" formatCode="0">
                  <c:v>21.91047604785122</c:v>
                </c:pt>
                <c:pt idx="129" formatCode="0">
                  <c:v>21.91047604785122</c:v>
                </c:pt>
                <c:pt idx="130" formatCode="0">
                  <c:v>21.91047604785122</c:v>
                </c:pt>
                <c:pt idx="131" formatCode="0">
                  <c:v>21.91047604785122</c:v>
                </c:pt>
                <c:pt idx="132" formatCode="0">
                  <c:v>21.91047604785122</c:v>
                </c:pt>
                <c:pt idx="133" formatCode="0">
                  <c:v>21.91047604785122</c:v>
                </c:pt>
                <c:pt idx="134" formatCode="0">
                  <c:v>21.91047604785122</c:v>
                </c:pt>
                <c:pt idx="135" formatCode="0">
                  <c:v>21.91047604785122</c:v>
                </c:pt>
                <c:pt idx="136" formatCode="0">
                  <c:v>21.91047604785122</c:v>
                </c:pt>
                <c:pt idx="137" formatCode="0">
                  <c:v>21.91047604785122</c:v>
                </c:pt>
                <c:pt idx="138" formatCode="0">
                  <c:v>21.91047604785122</c:v>
                </c:pt>
                <c:pt idx="139" formatCode="0">
                  <c:v>21.91047604785122</c:v>
                </c:pt>
                <c:pt idx="140" formatCode="0">
                  <c:v>21.91047604785122</c:v>
                </c:pt>
                <c:pt idx="141" formatCode="0">
                  <c:v>21.91047604785122</c:v>
                </c:pt>
                <c:pt idx="142" formatCode="0">
                  <c:v>21.91047604785122</c:v>
                </c:pt>
                <c:pt idx="143" formatCode="0">
                  <c:v>21.91047604785122</c:v>
                </c:pt>
                <c:pt idx="144" formatCode="0">
                  <c:v>21.91047604785122</c:v>
                </c:pt>
                <c:pt idx="145" formatCode="0">
                  <c:v>21.91047604785122</c:v>
                </c:pt>
                <c:pt idx="146" formatCode="0">
                  <c:v>21.91047604785122</c:v>
                </c:pt>
                <c:pt idx="147" formatCode="0">
                  <c:v>21.91047604785122</c:v>
                </c:pt>
                <c:pt idx="148" formatCode="0">
                  <c:v>21.91047604785122</c:v>
                </c:pt>
                <c:pt idx="149" formatCode="0">
                  <c:v>21.91047604785122</c:v>
                </c:pt>
                <c:pt idx="150" formatCode="0">
                  <c:v>21.91047604785122</c:v>
                </c:pt>
                <c:pt idx="151" formatCode="0">
                  <c:v>21.91047604785122</c:v>
                </c:pt>
                <c:pt idx="152" formatCode="0">
                  <c:v>21.91047604785122</c:v>
                </c:pt>
                <c:pt idx="153" formatCode="0">
                  <c:v>21.91047604785122</c:v>
                </c:pt>
                <c:pt idx="154" formatCode="0">
                  <c:v>21.91047604785122</c:v>
                </c:pt>
                <c:pt idx="155" formatCode="0">
                  <c:v>21.91047604785122</c:v>
                </c:pt>
                <c:pt idx="156" formatCode="0">
                  <c:v>21.91047604785122</c:v>
                </c:pt>
                <c:pt idx="157" formatCode="0">
                  <c:v>21.91047604785122</c:v>
                </c:pt>
                <c:pt idx="158" formatCode="0">
                  <c:v>21.91047604785122</c:v>
                </c:pt>
                <c:pt idx="159" formatCode="0">
                  <c:v>21.91047604785122</c:v>
                </c:pt>
                <c:pt idx="160" formatCode="0">
                  <c:v>21.91047604785122</c:v>
                </c:pt>
                <c:pt idx="161" formatCode="0">
                  <c:v>36.15505377202963</c:v>
                </c:pt>
                <c:pt idx="162" formatCode="0">
                  <c:v>36.15505377202963</c:v>
                </c:pt>
                <c:pt idx="163" formatCode="0">
                  <c:v>36.15505377202963</c:v>
                </c:pt>
                <c:pt idx="164" formatCode="0">
                  <c:v>36.15505377202963</c:v>
                </c:pt>
                <c:pt idx="165" formatCode="0">
                  <c:v>36.15505377202963</c:v>
                </c:pt>
                <c:pt idx="166" formatCode="0">
                  <c:v>36.15505377202963</c:v>
                </c:pt>
                <c:pt idx="167" formatCode="0">
                  <c:v>36.15505377202963</c:v>
                </c:pt>
                <c:pt idx="168" formatCode="0">
                  <c:v>36.15505377202963</c:v>
                </c:pt>
                <c:pt idx="169" formatCode="0">
                  <c:v>36.15505377202963</c:v>
                </c:pt>
                <c:pt idx="170" formatCode="0">
                  <c:v>36.15505377202963</c:v>
                </c:pt>
                <c:pt idx="171" formatCode="0">
                  <c:v>36.15505377202963</c:v>
                </c:pt>
                <c:pt idx="172" formatCode="0">
                  <c:v>36.15505377202963</c:v>
                </c:pt>
                <c:pt idx="173" formatCode="0">
                  <c:v>36.15505377202963</c:v>
                </c:pt>
                <c:pt idx="174" formatCode="0">
                  <c:v>36.15505377202963</c:v>
                </c:pt>
                <c:pt idx="175" formatCode="0">
                  <c:v>36.15505377202963</c:v>
                </c:pt>
                <c:pt idx="176" formatCode="0">
                  <c:v>36.15505377202963</c:v>
                </c:pt>
                <c:pt idx="177" formatCode="0">
                  <c:v>36.15505377202963</c:v>
                </c:pt>
                <c:pt idx="178" formatCode="0">
                  <c:v>36.15505377202963</c:v>
                </c:pt>
                <c:pt idx="179" formatCode="0">
                  <c:v>36.15505377202963</c:v>
                </c:pt>
                <c:pt idx="180" formatCode="0">
                  <c:v>36.15505377202963</c:v>
                </c:pt>
                <c:pt idx="181" formatCode="0">
                  <c:v>36.15505377202963</c:v>
                </c:pt>
                <c:pt idx="182" formatCode="0">
                  <c:v>36.15505377202963</c:v>
                </c:pt>
                <c:pt idx="183" formatCode="0">
                  <c:v>36.15505377202963</c:v>
                </c:pt>
                <c:pt idx="184" formatCode="0">
                  <c:v>36.15505377202963</c:v>
                </c:pt>
                <c:pt idx="185" formatCode="0">
                  <c:v>36.15505377202963</c:v>
                </c:pt>
                <c:pt idx="186" formatCode="0">
                  <c:v>36.15505377202963</c:v>
                </c:pt>
                <c:pt idx="187" formatCode="0">
                  <c:v>36.15505377202963</c:v>
                </c:pt>
                <c:pt idx="188" formatCode="0">
                  <c:v>36.15505377202963</c:v>
                </c:pt>
                <c:pt idx="189" formatCode="0">
                  <c:v>36.15505377202963</c:v>
                </c:pt>
                <c:pt idx="190" formatCode="0">
                  <c:v>36.15505377202963</c:v>
                </c:pt>
                <c:pt idx="191" formatCode="0">
                  <c:v>36.15505377202963</c:v>
                </c:pt>
                <c:pt idx="192" formatCode="0">
                  <c:v>36.15505377202963</c:v>
                </c:pt>
                <c:pt idx="193" formatCode="0">
                  <c:v>36.15505377202963</c:v>
                </c:pt>
                <c:pt idx="194" formatCode="0">
                  <c:v>36.15505377202963</c:v>
                </c:pt>
                <c:pt idx="195" formatCode="0">
                  <c:v>36.15505377202963</c:v>
                </c:pt>
                <c:pt idx="196" formatCode="0">
                  <c:v>36.15505377202963</c:v>
                </c:pt>
                <c:pt idx="197" formatCode="0">
                  <c:v>36.15505377202963</c:v>
                </c:pt>
                <c:pt idx="198" formatCode="0">
                  <c:v>36.15505377202963</c:v>
                </c:pt>
                <c:pt idx="199" formatCode="0">
                  <c:v>36.15505377202963</c:v>
                </c:pt>
                <c:pt idx="200" formatCode="0">
                  <c:v>36.15505377202963</c:v>
                </c:pt>
                <c:pt idx="201" formatCode="0">
                  <c:v>36.15505377202963</c:v>
                </c:pt>
                <c:pt idx="202" formatCode="0">
                  <c:v>36.15505377202963</c:v>
                </c:pt>
                <c:pt idx="203" formatCode="0">
                  <c:v>36.15505377202963</c:v>
                </c:pt>
                <c:pt idx="204" formatCode="0">
                  <c:v>36.15505377202963</c:v>
                </c:pt>
                <c:pt idx="205" formatCode="0">
                  <c:v>36.15505377202963</c:v>
                </c:pt>
                <c:pt idx="206" formatCode="0">
                  <c:v>36.15505377202963</c:v>
                </c:pt>
                <c:pt idx="207" formatCode="0">
                  <c:v>36.15505377202963</c:v>
                </c:pt>
                <c:pt idx="208" formatCode="0">
                  <c:v>36.15505377202963</c:v>
                </c:pt>
                <c:pt idx="209" formatCode="0">
                  <c:v>36.15505377202963</c:v>
                </c:pt>
                <c:pt idx="210" formatCode="0">
                  <c:v>36.15505377202963</c:v>
                </c:pt>
                <c:pt idx="211" formatCode="0">
                  <c:v>36.15505377202963</c:v>
                </c:pt>
                <c:pt idx="212" formatCode="0">
                  <c:v>36.15505377202963</c:v>
                </c:pt>
                <c:pt idx="213" formatCode="0">
                  <c:v>36.15505377202963</c:v>
                </c:pt>
                <c:pt idx="214" formatCode="0">
                  <c:v>36.15505377202963</c:v>
                </c:pt>
                <c:pt idx="215" formatCode="0">
                  <c:v>36.15505377202963</c:v>
                </c:pt>
                <c:pt idx="216" formatCode="0">
                  <c:v>36.15505377202963</c:v>
                </c:pt>
                <c:pt idx="217" formatCode="0">
                  <c:v>36.15505377202963</c:v>
                </c:pt>
                <c:pt idx="218" formatCode="0">
                  <c:v>36.15505377202963</c:v>
                </c:pt>
                <c:pt idx="219" formatCode="0">
                  <c:v>36.15505377202963</c:v>
                </c:pt>
                <c:pt idx="220" formatCode="0">
                  <c:v>36.15505377202963</c:v>
                </c:pt>
                <c:pt idx="221" formatCode="0">
                  <c:v>36.15505377202963</c:v>
                </c:pt>
                <c:pt idx="222" formatCode="0">
                  <c:v>36.15505377202963</c:v>
                </c:pt>
                <c:pt idx="223" formatCode="0">
                  <c:v>36.15505377202963</c:v>
                </c:pt>
                <c:pt idx="224" formatCode="0">
                  <c:v>36.15505377202963</c:v>
                </c:pt>
                <c:pt idx="225" formatCode="0">
                  <c:v>36.15505377202963</c:v>
                </c:pt>
                <c:pt idx="226" formatCode="0">
                  <c:v>36.15505377202963</c:v>
                </c:pt>
                <c:pt idx="227" formatCode="0">
                  <c:v>36.15505377202963</c:v>
                </c:pt>
                <c:pt idx="228" formatCode="0">
                  <c:v>36.15505377202963</c:v>
                </c:pt>
                <c:pt idx="229" formatCode="0">
                  <c:v>36.15505377202963</c:v>
                </c:pt>
                <c:pt idx="230" formatCode="0">
                  <c:v>36.15505377202963</c:v>
                </c:pt>
                <c:pt idx="231" formatCode="0">
                  <c:v>36.15505377202963</c:v>
                </c:pt>
                <c:pt idx="232" formatCode="0">
                  <c:v>36.15505377202963</c:v>
                </c:pt>
                <c:pt idx="233" formatCode="0">
                  <c:v>36.15505377202963</c:v>
                </c:pt>
                <c:pt idx="234" formatCode="0">
                  <c:v>36.15505377202963</c:v>
                </c:pt>
                <c:pt idx="235" formatCode="0">
                  <c:v>36.15505377202963</c:v>
                </c:pt>
                <c:pt idx="236" formatCode="0">
                  <c:v>36.15505377202963</c:v>
                </c:pt>
                <c:pt idx="237" formatCode="0">
                  <c:v>36.15505377202963</c:v>
                </c:pt>
                <c:pt idx="238" formatCode="0">
                  <c:v>36.15505377202963</c:v>
                </c:pt>
                <c:pt idx="239" formatCode="0">
                  <c:v>36.15505377202963</c:v>
                </c:pt>
                <c:pt idx="240" formatCode="0">
                  <c:v>36.15505377202963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21587432"/>
        <c:axId val="2121593144"/>
      </c:barChart>
      <c:lineChart>
        <c:grouping val="standard"/>
        <c:varyColors val="0"/>
        <c:ser>
          <c:idx val="0"/>
          <c:order val="0"/>
          <c:tx>
            <c:strRef>
              <c:f>'Mixed conifer Even '!$X$77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val>
            <c:numRef>
              <c:f>'Mixed conifer Even '!$X$78:$X$318</c:f>
              <c:numCache>
                <c:formatCode>0</c:formatCode>
                <c:ptCount val="24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29.44057198744755</c:v>
                </c:pt>
                <c:pt idx="42">
                  <c:v>30.83867210421746</c:v>
                </c:pt>
                <c:pt idx="43">
                  <c:v>32.25137452919189</c:v>
                </c:pt>
                <c:pt idx="44">
                  <c:v>33.67734333143365</c:v>
                </c:pt>
                <c:pt idx="45">
                  <c:v>35.1152744793208</c:v>
                </c:pt>
                <c:pt idx="46">
                  <c:v>36.56389706847449</c:v>
                </c:pt>
                <c:pt idx="47">
                  <c:v>38.02197433172761</c:v>
                </c:pt>
                <c:pt idx="48">
                  <c:v>39.48830445007449</c:v>
                </c:pt>
                <c:pt idx="49">
                  <c:v>40.96172118218256</c:v>
                </c:pt>
                <c:pt idx="50">
                  <c:v>42.44109432877955</c:v>
                </c:pt>
                <c:pt idx="51">
                  <c:v>43.925330047044</c:v>
                </c:pt>
                <c:pt idx="52">
                  <c:v>45.41337102902094</c:v>
                </c:pt>
                <c:pt idx="53">
                  <c:v>46.90419655705084</c:v>
                </c:pt>
                <c:pt idx="54">
                  <c:v>48.39682244823677</c:v>
                </c:pt>
                <c:pt idx="55">
                  <c:v>49.89030089907362</c:v>
                </c:pt>
                <c:pt idx="56">
                  <c:v>51.38372024052516</c:v>
                </c:pt>
                <c:pt idx="57">
                  <c:v>52.87620461305117</c:v>
                </c:pt>
                <c:pt idx="58">
                  <c:v>54.36691357035694</c:v>
                </c:pt>
                <c:pt idx="59">
                  <c:v>55.85504161995822</c:v>
                </c:pt>
                <c:pt idx="60">
                  <c:v>57.3398177080194</c:v>
                </c:pt>
                <c:pt idx="61">
                  <c:v>58.82050465533355</c:v>
                </c:pt>
                <c:pt idx="62">
                  <c:v>60.29639855076253</c:v>
                </c:pt>
                <c:pt idx="63">
                  <c:v>61.76682810794416</c:v>
                </c:pt>
                <c:pt idx="64">
                  <c:v>63.23115399059686</c:v>
                </c:pt>
                <c:pt idx="65">
                  <c:v>64.68876811130966</c:v>
                </c:pt>
                <c:pt idx="66">
                  <c:v>66.13909290829365</c:v>
                </c:pt>
                <c:pt idx="67">
                  <c:v>67.58158060418875</c:v>
                </c:pt>
                <c:pt idx="68">
                  <c:v>69.01571245066343</c:v>
                </c:pt>
                <c:pt idx="69">
                  <c:v>70.44099796221553</c:v>
                </c:pt>
                <c:pt idx="70">
                  <c:v>71.85697414227685</c:v>
                </c:pt>
                <c:pt idx="71">
                  <c:v>73.26320470443828</c:v>
                </c:pt>
                <c:pt idx="72">
                  <c:v>74.65927929135088</c:v>
                </c:pt>
                <c:pt idx="73">
                  <c:v>76.0448126936132</c:v>
                </c:pt>
                <c:pt idx="74">
                  <c:v>77.41944407072935</c:v>
                </c:pt>
                <c:pt idx="75">
                  <c:v>78.7828361760137</c:v>
                </c:pt>
                <c:pt idx="76">
                  <c:v>80.13467458712451</c:v>
                </c:pt>
                <c:pt idx="77">
                  <c:v>81.47466694373007</c:v>
                </c:pt>
                <c:pt idx="78">
                  <c:v>82.80254219364599</c:v>
                </c:pt>
                <c:pt idx="79">
                  <c:v>84.11804984863019</c:v>
                </c:pt>
                <c:pt idx="80">
                  <c:v>85.42095925088196</c:v>
                </c:pt>
                <c:pt idx="81">
                  <c:v>86.71105885116137</c:v>
                </c:pt>
                <c:pt idx="82">
                  <c:v>87.98815549932785</c:v>
                </c:pt>
                <c:pt idx="83">
                  <c:v>89.25207374798569</c:v>
                </c:pt>
                <c:pt idx="84">
                  <c:v>90.50265516982493</c:v>
                </c:pt>
                <c:pt idx="85">
                  <c:v>91.73975768915416</c:v>
                </c:pt>
                <c:pt idx="86">
                  <c:v>92.96325492803624</c:v>
                </c:pt>
                <c:pt idx="87">
                  <c:v>94.17303556736168</c:v>
                </c:pt>
                <c:pt idx="88">
                  <c:v>95.3690027231239</c:v>
                </c:pt>
                <c:pt idx="89">
                  <c:v>96.55107333809586</c:v>
                </c:pt>
                <c:pt idx="90">
                  <c:v>97.71917758904893</c:v>
                </c:pt>
                <c:pt idx="91">
                  <c:v>98.87325830960242</c:v>
                </c:pt>
                <c:pt idx="92">
                  <c:v>100.0132704287426</c:v>
                </c:pt>
                <c:pt idx="93">
                  <c:v>101.139180425008</c:v>
                </c:pt>
                <c:pt idx="94">
                  <c:v>102.2509657962968</c:v>
                </c:pt>
                <c:pt idx="95">
                  <c:v>103.3486145452175</c:v>
                </c:pt>
                <c:pt idx="96">
                  <c:v>104.4321246798715</c:v>
                </c:pt>
                <c:pt idx="97">
                  <c:v>105.5015037299297</c:v>
                </c:pt>
                <c:pt idx="98">
                  <c:v>106.5567682778356</c:v>
                </c:pt>
                <c:pt idx="99">
                  <c:v>107.5979435049508</c:v>
                </c:pt>
                <c:pt idx="100">
                  <c:v>108.6250627524327</c:v>
                </c:pt>
                <c:pt idx="101">
                  <c:v>109.6381670966215</c:v>
                </c:pt>
                <c:pt idx="102">
                  <c:v>110.6373049386964</c:v>
                </c:pt>
                <c:pt idx="103">
                  <c:v>111.6225316083471</c:v>
                </c:pt>
                <c:pt idx="104">
                  <c:v>112.5939089811971</c:v>
                </c:pt>
                <c:pt idx="105">
                  <c:v>113.5515051097048</c:v>
                </c:pt>
                <c:pt idx="106">
                  <c:v>114.495393867261</c:v>
                </c:pt>
                <c:pt idx="107">
                  <c:v>115.4256546051933</c:v>
                </c:pt>
                <c:pt idx="108">
                  <c:v>116.3423718223867</c:v>
                </c:pt>
                <c:pt idx="109">
                  <c:v>117.2456348472197</c:v>
                </c:pt>
                <c:pt idx="110">
                  <c:v>118.1355375315197</c:v>
                </c:pt>
                <c:pt idx="111">
                  <c:v>119.0121779562328</c:v>
                </c:pt>
                <c:pt idx="112">
                  <c:v>119.8756581485074</c:v>
                </c:pt>
                <c:pt idx="113">
                  <c:v>120.7260838098875</c:v>
                </c:pt>
                <c:pt idx="114">
                  <c:v>121.5635640553153</c:v>
                </c:pt>
                <c:pt idx="115">
                  <c:v>122.3882111626412</c:v>
                </c:pt>
                <c:pt idx="116">
                  <c:v>123.2001403323428</c:v>
                </c:pt>
                <c:pt idx="117">
                  <c:v>123.9994694571578</c:v>
                </c:pt>
                <c:pt idx="118">
                  <c:v>124.7863189013368</c:v>
                </c:pt>
                <c:pt idx="119">
                  <c:v>125.5608112892266</c:v>
                </c:pt>
                <c:pt idx="120">
                  <c:v>126.323071302899</c:v>
                </c:pt>
                <c:pt idx="121">
                  <c:v>127.0732254885427</c:v>
                </c:pt>
                <c:pt idx="122">
                  <c:v>127.8114020713414</c:v>
                </c:pt>
                <c:pt idx="123">
                  <c:v>128.5377307785662</c:v>
                </c:pt>
                <c:pt idx="124">
                  <c:v>129.2523426706143</c:v>
                </c:pt>
                <c:pt idx="125">
                  <c:v>129.9553699797319</c:v>
                </c:pt>
                <c:pt idx="126">
                  <c:v>130.6469459561647</c:v>
                </c:pt>
                <c:pt idx="127">
                  <c:v>131.3272047214833</c:v>
                </c:pt>
                <c:pt idx="128">
                  <c:v>131.9962811288383</c:v>
                </c:pt>
                <c:pt idx="129">
                  <c:v>132.6543106299048</c:v>
                </c:pt>
                <c:pt idx="130">
                  <c:v>133.3014291482797</c:v>
                </c:pt>
                <c:pt idx="131">
                  <c:v>133.9377729591053</c:v>
                </c:pt>
                <c:pt idx="132">
                  <c:v>134.5634785746921</c:v>
                </c:pt>
                <c:pt idx="133">
                  <c:v>135.1786826359275</c:v>
                </c:pt>
                <c:pt idx="134">
                  <c:v>135.7835218092532</c:v>
                </c:pt>
                <c:pt idx="135">
                  <c:v>136.3781326890098</c:v>
                </c:pt>
                <c:pt idx="136">
                  <c:v>136.9626517049435</c:v>
                </c:pt>
                <c:pt idx="137">
                  <c:v>137.5372150346831</c:v>
                </c:pt>
                <c:pt idx="138">
                  <c:v>138.1019585209953</c:v>
                </c:pt>
                <c:pt idx="139">
                  <c:v>138.6570175936353</c:v>
                </c:pt>
                <c:pt idx="140">
                  <c:v>139.202527195614</c:v>
                </c:pt>
                <c:pt idx="141">
                  <c:v>139.7386217137076</c:v>
                </c:pt>
                <c:pt idx="142">
                  <c:v>140.265434913042</c:v>
                </c:pt>
                <c:pt idx="143">
                  <c:v>140.7830998755894</c:v>
                </c:pt>
                <c:pt idx="144">
                  <c:v>141.2917489424176</c:v>
                </c:pt>
                <c:pt idx="145">
                  <c:v>141.7915136595419</c:v>
                </c:pt>
                <c:pt idx="146">
                  <c:v>142.2825247272286</c:v>
                </c:pt>
                <c:pt idx="147">
                  <c:v>142.7649119526085</c:v>
                </c:pt>
                <c:pt idx="148">
                  <c:v>143.238804205462</c:v>
                </c:pt>
                <c:pt idx="149">
                  <c:v>143.7043293770408</c:v>
                </c:pt>
                <c:pt idx="150">
                  <c:v>144.1616143417985</c:v>
                </c:pt>
                <c:pt idx="151">
                  <c:v>144.6107849219023</c:v>
                </c:pt>
                <c:pt idx="152">
                  <c:v>145.0519658544084</c:v>
                </c:pt>
                <c:pt idx="153">
                  <c:v>145.485280760981</c:v>
                </c:pt>
                <c:pt idx="154">
                  <c:v>145.9108521200458</c:v>
                </c:pt>
                <c:pt idx="155">
                  <c:v>146.3288012412665</c:v>
                </c:pt>
                <c:pt idx="156">
                  <c:v>146.7392482422407</c:v>
                </c:pt>
                <c:pt idx="157">
                  <c:v>147.1423120273151</c:v>
                </c:pt>
                <c:pt idx="158">
                  <c:v>147.5381102684207</c:v>
                </c:pt>
                <c:pt idx="159">
                  <c:v>147.926759387836</c:v>
                </c:pt>
                <c:pt idx="160">
                  <c:v>148.3083745427871</c:v>
                </c:pt>
                <c:pt idx="161">
                  <c:v>148.6830696117966</c:v>
                </c:pt>
                <c:pt idx="162">
                  <c:v>149.0509571827004</c:v>
                </c:pt>
                <c:pt idx="163">
                  <c:v>149.412148542248</c:v>
                </c:pt>
                <c:pt idx="164">
                  <c:v>149.766753667212</c:v>
                </c:pt>
                <c:pt idx="165">
                  <c:v>150.1148812169305</c:v>
                </c:pt>
                <c:pt idx="166">
                  <c:v>150.4566385272107</c:v>
                </c:pt>
                <c:pt idx="167">
                  <c:v>150.792131605525</c:v>
                </c:pt>
                <c:pt idx="168">
                  <c:v>151.1214651274338</c:v>
                </c:pt>
                <c:pt idx="169">
                  <c:v>151.4447424341706</c:v>
                </c:pt>
                <c:pt idx="170">
                  <c:v>151.7620655313278</c:v>
                </c:pt>
                <c:pt idx="171">
                  <c:v>152.0735350885863</c:v>
                </c:pt>
                <c:pt idx="172">
                  <c:v>152.3792504404302</c:v>
                </c:pt>
                <c:pt idx="173">
                  <c:v>152.6793095877948</c:v>
                </c:pt>
                <c:pt idx="174">
                  <c:v>152.9738092005933</c:v>
                </c:pt>
                <c:pt idx="175">
                  <c:v>153.2628446210756</c:v>
                </c:pt>
                <c:pt idx="176">
                  <c:v>153.546509867969</c:v>
                </c:pt>
                <c:pt idx="177">
                  <c:v>153.8248976413555</c:v>
                </c:pt>
                <c:pt idx="178">
                  <c:v>154.0980993282435</c:v>
                </c:pt>
                <c:pt idx="179">
                  <c:v>154.3662050087893</c:v>
                </c:pt>
                <c:pt idx="180">
                  <c:v>154.6293034631307</c:v>
                </c:pt>
                <c:pt idx="181">
                  <c:v>154.8874821787927</c:v>
                </c:pt>
                <c:pt idx="182">
                  <c:v>155.1408273586285</c:v>
                </c:pt>
                <c:pt idx="183">
                  <c:v>155.3894239292618</c:v>
                </c:pt>
                <c:pt idx="184">
                  <c:v>155.6333555499951</c:v>
                </c:pt>
                <c:pt idx="185">
                  <c:v>155.872704622153</c:v>
                </c:pt>
                <c:pt idx="186">
                  <c:v>156.1075522988293</c:v>
                </c:pt>
                <c:pt idx="187">
                  <c:v>156.3379784950081</c:v>
                </c:pt>
                <c:pt idx="188">
                  <c:v>156.5640618980319</c:v>
                </c:pt>
                <c:pt idx="189">
                  <c:v>156.785879978388</c:v>
                </c:pt>
                <c:pt idx="190">
                  <c:v>157.0035090007905</c:v>
                </c:pt>
                <c:pt idx="191">
                  <c:v>157.2170240355302</c:v>
                </c:pt>
                <c:pt idx="192">
                  <c:v>157.426498970072</c:v>
                </c:pt>
                <c:pt idx="193">
                  <c:v>157.6320065208753</c:v>
                </c:pt>
                <c:pt idx="194">
                  <c:v>157.8336182454183</c:v>
                </c:pt>
                <c:pt idx="195">
                  <c:v>158.0314045544048</c:v>
                </c:pt>
                <c:pt idx="196">
                  <c:v>158.2254347241343</c:v>
                </c:pt>
                <c:pt idx="197">
                  <c:v>158.4157769090179</c:v>
                </c:pt>
                <c:pt idx="198">
                  <c:v>158.6024981542229</c:v>
                </c:pt>
                <c:pt idx="199">
                  <c:v>158.7856644084281</c:v>
                </c:pt>
                <c:pt idx="200">
                  <c:v>158.9653405366756</c:v>
                </c:pt>
                <c:pt idx="201">
                  <c:v>159.1415903333042</c:v>
                </c:pt>
                <c:pt idx="202">
                  <c:v>159.3144765349492</c:v>
                </c:pt>
                <c:pt idx="203">
                  <c:v>159.4840608335961</c:v>
                </c:pt>
                <c:pt idx="204">
                  <c:v>159.6504038896766</c:v>
                </c:pt>
                <c:pt idx="205">
                  <c:v>159.8135653451913</c:v>
                </c:pt>
                <c:pt idx="206">
                  <c:v>159.9736038368528</c:v>
                </c:pt>
                <c:pt idx="207">
                  <c:v>160.1305770092337</c:v>
                </c:pt>
                <c:pt idx="208">
                  <c:v>160.2845415279132</c:v>
                </c:pt>
                <c:pt idx="209">
                  <c:v>160.4355530926093</c:v>
                </c:pt>
                <c:pt idx="210">
                  <c:v>160.583666450291</c:v>
                </c:pt>
                <c:pt idx="211">
                  <c:v>160.7289354082586</c:v>
                </c:pt>
                <c:pt idx="212">
                  <c:v>160.8714128471875</c:v>
                </c:pt>
                <c:pt idx="213">
                  <c:v>161.0111507341245</c:v>
                </c:pt>
                <c:pt idx="214">
                  <c:v>161.1482001354321</c:v>
                </c:pt>
                <c:pt idx="215">
                  <c:v>161.2826112296733</c:v>
                </c:pt>
                <c:pt idx="216">
                  <c:v>161.4144333204302</c:v>
                </c:pt>
                <c:pt idx="217">
                  <c:v>161.5437148490511</c:v>
                </c:pt>
                <c:pt idx="218">
                  <c:v>161.6705034073209</c:v>
                </c:pt>
                <c:pt idx="219">
                  <c:v>161.7948457500485</c:v>
                </c:pt>
                <c:pt idx="220">
                  <c:v>161.9167878075679</c:v>
                </c:pt>
                <c:pt idx="221">
                  <c:v>162.0363746981476</c:v>
                </c:pt>
                <c:pt idx="222">
                  <c:v>162.1536507403046</c:v>
                </c:pt>
                <c:pt idx="223">
                  <c:v>162.2686594650193</c:v>
                </c:pt>
                <c:pt idx="224">
                  <c:v>162.3814436278471</c:v>
                </c:pt>
                <c:pt idx="225">
                  <c:v>162.4920452209242</c:v>
                </c:pt>
                <c:pt idx="226">
                  <c:v>162.6005054848648</c:v>
                </c:pt>
                <c:pt idx="227">
                  <c:v>162.7068649205455</c:v>
                </c:pt>
                <c:pt idx="228">
                  <c:v>162.8111633007765</c:v>
                </c:pt>
                <c:pt idx="229">
                  <c:v>162.9134396818556</c:v>
                </c:pt>
                <c:pt idx="230">
                  <c:v>163.0137324150037</c:v>
                </c:pt>
                <c:pt idx="231">
                  <c:v>163.1120791576799</c:v>
                </c:pt>
                <c:pt idx="232">
                  <c:v>163.2085168847747</c:v>
                </c:pt>
                <c:pt idx="233">
                  <c:v>163.3030818996792</c:v>
                </c:pt>
                <c:pt idx="234">
                  <c:v>163.3958098452297</c:v>
                </c:pt>
                <c:pt idx="235">
                  <c:v>163.4867357145264</c:v>
                </c:pt>
                <c:pt idx="236">
                  <c:v>163.5758938616243</c:v>
                </c:pt>
                <c:pt idx="237">
                  <c:v>163.6633180120978</c:v>
                </c:pt>
                <c:pt idx="238">
                  <c:v>163.749041273475</c:v>
                </c:pt>
                <c:pt idx="239">
                  <c:v>163.833096145545</c:v>
                </c:pt>
                <c:pt idx="240">
                  <c:v>163.9155145305334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1587432"/>
        <c:axId val="2121593144"/>
      </c:lineChart>
      <c:catAx>
        <c:axId val="2121587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</a:t>
                </a:r>
                <a:r>
                  <a:rPr lang="en-US" baseline="0"/>
                  <a:t> Year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21593144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1215931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</a:t>
                </a:r>
                <a:r>
                  <a:rPr lang="en-US" baseline="0"/>
                  <a:t> Benefits in Tonnes of Carbon per Hectare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21587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575678040245"/>
          <c:y val="0.120605250112404"/>
          <c:w val="0.335353535353535"/>
          <c:h val="0.756842982862436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200" b="1" i="0" baseline="0">
                <a:effectLst/>
              </a:rPr>
              <a:t>Climate Benefits of California Mixed Conifer Forest: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Forest&amp;Products v Let-Grow Forest 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With Year 40 thin and open burning of most logging residues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037303023689203"/>
          <c:y val="0.0177777777777778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'Even MixConT@40H@80U00'!$AH$77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cat>
            <c:numRef>
              <c:f>'Even MixConT@40H@80U00'!$AE$78:$AE$318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'Even MixConT@40H@80U00'!$AH$78:$AH$318</c:f>
              <c:numCache>
                <c:formatCode>General</c:formatCode>
                <c:ptCount val="241"/>
                <c:pt idx="40" formatCode="0">
                  <c:v>8.08083087634242</c:v>
                </c:pt>
                <c:pt idx="41" formatCode="0">
                  <c:v>7.805568111356742</c:v>
                </c:pt>
                <c:pt idx="42" formatCode="0">
                  <c:v>7.539681806656771</c:v>
                </c:pt>
                <c:pt idx="43" formatCode="0">
                  <c:v>7.282852565583488</c:v>
                </c:pt>
                <c:pt idx="44" formatCode="0">
                  <c:v>7.034771871300608</c:v>
                </c:pt>
                <c:pt idx="45" formatCode="0">
                  <c:v>6.795141716187874</c:v>
                </c:pt>
                <c:pt idx="46" formatCode="0">
                  <c:v>6.56367424385859</c:v>
                </c:pt>
                <c:pt idx="47" formatCode="0">
                  <c:v>6.340091403371328</c:v>
                </c:pt>
                <c:pt idx="48" formatCode="0">
                  <c:v>6.124124615220474</c:v>
                </c:pt>
                <c:pt idx="49" formatCode="0">
                  <c:v>5.915514448704346</c:v>
                </c:pt>
                <c:pt idx="50" formatCode="0">
                  <c:v>5.714010310283358</c:v>
                </c:pt>
                <c:pt idx="51" formatCode="0">
                  <c:v>5.519370142553824</c:v>
                </c:pt>
                <c:pt idx="52" formatCode="0">
                  <c:v>5.331360133475841</c:v>
                </c:pt>
                <c:pt idx="53" formatCode="0">
                  <c:v>5.14975443550593</c:v>
                </c:pt>
                <c:pt idx="54" formatCode="0">
                  <c:v>4.974334894297038</c:v>
                </c:pt>
                <c:pt idx="55" formatCode="0">
                  <c:v>4.80489078664004</c:v>
                </c:pt>
                <c:pt idx="56" formatCode="0">
                  <c:v>4.641218567331895</c:v>
                </c:pt>
                <c:pt idx="57" formatCode="0">
                  <c:v>4.483121624666401</c:v>
                </c:pt>
                <c:pt idx="58" formatCode="0">
                  <c:v>4.330410044253853</c:v>
                </c:pt>
                <c:pt idx="59" formatCode="0">
                  <c:v>4.182900380885845</c:v>
                </c:pt>
                <c:pt idx="60" formatCode="0">
                  <c:v>4.040415438171211</c:v>
                </c:pt>
                <c:pt idx="61" formatCode="0">
                  <c:v>3.902784055678371</c:v>
                </c:pt>
                <c:pt idx="62" formatCode="0">
                  <c:v>3.769840903328385</c:v>
                </c:pt>
                <c:pt idx="63" formatCode="0">
                  <c:v>3.641426282791744</c:v>
                </c:pt>
                <c:pt idx="64" formatCode="0">
                  <c:v>3.517385935650304</c:v>
                </c:pt>
                <c:pt idx="65" formatCode="0">
                  <c:v>3.397570858093937</c:v>
                </c:pt>
                <c:pt idx="66" formatCode="0">
                  <c:v>3.281837121929295</c:v>
                </c:pt>
                <c:pt idx="67" formatCode="0">
                  <c:v>3.170045701685664</c:v>
                </c:pt>
                <c:pt idx="68" formatCode="0">
                  <c:v>3.062062307610237</c:v>
                </c:pt>
                <c:pt idx="69" formatCode="0">
                  <c:v>2.957757224352174</c:v>
                </c:pt>
                <c:pt idx="70" formatCode="0">
                  <c:v>2.857005155141679</c:v>
                </c:pt>
                <c:pt idx="71" formatCode="0">
                  <c:v>2.759685071276912</c:v>
                </c:pt>
                <c:pt idx="72" formatCode="0">
                  <c:v>2.665680066737921</c:v>
                </c:pt>
                <c:pt idx="73" formatCode="0">
                  <c:v>2.574877217752965</c:v>
                </c:pt>
                <c:pt idx="74" formatCode="0">
                  <c:v>2.487167447148519</c:v>
                </c:pt>
                <c:pt idx="75" formatCode="0">
                  <c:v>2.402445393320021</c:v>
                </c:pt>
                <c:pt idx="76" formatCode="0">
                  <c:v>2.320609283665947</c:v>
                </c:pt>
                <c:pt idx="77" formatCode="0">
                  <c:v>2.2415608123332</c:v>
                </c:pt>
                <c:pt idx="78" formatCode="0">
                  <c:v>2.165205022126926</c:v>
                </c:pt>
                <c:pt idx="79" formatCode="0">
                  <c:v>2.091450190442922</c:v>
                </c:pt>
                <c:pt idx="80" formatCode="0">
                  <c:v>36.18859141943839</c:v>
                </c:pt>
                <c:pt idx="81" formatCode="0">
                  <c:v>34.95587514465348</c:v>
                </c:pt>
                <c:pt idx="82" formatCode="0">
                  <c:v>33.76514971158184</c:v>
                </c:pt>
                <c:pt idx="83" formatCode="0">
                  <c:v>32.61498475800317</c:v>
                </c:pt>
                <c:pt idx="84" formatCode="0">
                  <c:v>31.50399864508537</c:v>
                </c:pt>
                <c:pt idx="85" formatCode="0">
                  <c:v>30.43085679768707</c:v>
                </c:pt>
                <c:pt idx="86" formatCode="0">
                  <c:v>29.39427010119553</c:v>
                </c:pt>
                <c:pt idx="87" formatCode="0">
                  <c:v>28.39299335297417</c:v>
                </c:pt>
                <c:pt idx="88" formatCode="0">
                  <c:v>27.4258237665594</c:v>
                </c:pt>
                <c:pt idx="89" formatCode="0">
                  <c:v>26.49159952681017</c:v>
                </c:pt>
                <c:pt idx="90" formatCode="0">
                  <c:v>25.5891983942742</c:v>
                </c:pt>
                <c:pt idx="91" formatCode="0">
                  <c:v>24.71753635709477</c:v>
                </c:pt>
                <c:pt idx="92" formatCode="0">
                  <c:v>23.87556632883852</c:v>
                </c:pt>
                <c:pt idx="93" formatCode="0">
                  <c:v>23.06227689067993</c:v>
                </c:pt>
                <c:pt idx="94" formatCode="0">
                  <c:v>22.27669107643167</c:v>
                </c:pt>
                <c:pt idx="95" formatCode="0">
                  <c:v>21.51786519896128</c:v>
                </c:pt>
                <c:pt idx="96" formatCode="0">
                  <c:v>20.78488771658435</c:v>
                </c:pt>
                <c:pt idx="97" formatCode="0">
                  <c:v>20.0768781380726</c:v>
                </c:pt>
                <c:pt idx="98" formatCode="0">
                  <c:v>19.39298596496133</c:v>
                </c:pt>
                <c:pt idx="99" formatCode="0">
                  <c:v>18.7323896698858</c:v>
                </c:pt>
                <c:pt idx="100" formatCode="0">
                  <c:v>18.09429570971919</c:v>
                </c:pt>
                <c:pt idx="101" formatCode="0">
                  <c:v>17.47793757232674</c:v>
                </c:pt>
                <c:pt idx="102" formatCode="0">
                  <c:v>16.88257485579092</c:v>
                </c:pt>
                <c:pt idx="103" formatCode="0">
                  <c:v>16.30749237900159</c:v>
                </c:pt>
                <c:pt idx="104" formatCode="0">
                  <c:v>15.75199932254269</c:v>
                </c:pt>
                <c:pt idx="105" formatCode="0">
                  <c:v>15.21542839884354</c:v>
                </c:pt>
                <c:pt idx="106" formatCode="0">
                  <c:v>14.69713505059777</c:v>
                </c:pt>
                <c:pt idx="107" formatCode="0">
                  <c:v>14.19649667648708</c:v>
                </c:pt>
                <c:pt idx="108" formatCode="0">
                  <c:v>13.7129118832797</c:v>
                </c:pt>
                <c:pt idx="109" formatCode="0">
                  <c:v>13.2457997634051</c:v>
                </c:pt>
                <c:pt idx="110" formatCode="0">
                  <c:v>12.7945991971371</c:v>
                </c:pt>
                <c:pt idx="111" formatCode="0">
                  <c:v>12.35876817854738</c:v>
                </c:pt>
                <c:pt idx="112" formatCode="0">
                  <c:v>11.93778316441926</c:v>
                </c:pt>
                <c:pt idx="113" formatCode="0">
                  <c:v>11.53113844533997</c:v>
                </c:pt>
                <c:pt idx="114" formatCode="0">
                  <c:v>11.13834553821584</c:v>
                </c:pt>
                <c:pt idx="115" formatCode="0">
                  <c:v>10.75893259948064</c:v>
                </c:pt>
                <c:pt idx="116" formatCode="0">
                  <c:v>10.39244385829217</c:v>
                </c:pt>
                <c:pt idx="117" formatCode="0">
                  <c:v>10.0384390690363</c:v>
                </c:pt>
                <c:pt idx="118" formatCode="0">
                  <c:v>9.696492982480666</c:v>
                </c:pt>
                <c:pt idx="119" formatCode="0">
                  <c:v>9.3661948349429</c:v>
                </c:pt>
                <c:pt idx="120" formatCode="0">
                  <c:v>9.047147854859597</c:v>
                </c:pt>
                <c:pt idx="121" formatCode="0">
                  <c:v>8.738968786163372</c:v>
                </c:pt>
                <c:pt idx="122" formatCode="0">
                  <c:v>8.44128742789546</c:v>
                </c:pt>
                <c:pt idx="123" formatCode="0">
                  <c:v>8.153746189500793</c:v>
                </c:pt>
                <c:pt idx="124" formatCode="0">
                  <c:v>7.875999661271344</c:v>
                </c:pt>
                <c:pt idx="125" formatCode="0">
                  <c:v>7.607714199421769</c:v>
                </c:pt>
                <c:pt idx="126" formatCode="0">
                  <c:v>7.348567525298884</c:v>
                </c:pt>
                <c:pt idx="127" formatCode="0">
                  <c:v>7.098248338243541</c:v>
                </c:pt>
                <c:pt idx="128" formatCode="0">
                  <c:v>6.856455941639851</c:v>
                </c:pt>
                <c:pt idx="129" formatCode="0">
                  <c:v>6.622899881702542</c:v>
                </c:pt>
                <c:pt idx="130" formatCode="0">
                  <c:v>6.397299598568549</c:v>
                </c:pt>
                <c:pt idx="131" formatCode="0">
                  <c:v>6.179384089273694</c:v>
                </c:pt>
                <c:pt idx="132" formatCode="0">
                  <c:v>5.96889158220963</c:v>
                </c:pt>
                <c:pt idx="133" formatCode="0">
                  <c:v>5.765569222669984</c:v>
                </c:pt>
                <c:pt idx="134" formatCode="0">
                  <c:v>5.569172769107919</c:v>
                </c:pt>
                <c:pt idx="135" formatCode="0">
                  <c:v>5.37946629974032</c:v>
                </c:pt>
                <c:pt idx="136" formatCode="0">
                  <c:v>5.196221929146088</c:v>
                </c:pt>
                <c:pt idx="137" formatCode="0">
                  <c:v>5.01921953451815</c:v>
                </c:pt>
                <c:pt idx="138" formatCode="0">
                  <c:v>4.848246491240335</c:v>
                </c:pt>
                <c:pt idx="139" formatCode="0">
                  <c:v>4.683097417471449</c:v>
                </c:pt>
                <c:pt idx="140" formatCode="0">
                  <c:v>4.523573927429799</c:v>
                </c:pt>
                <c:pt idx="141" formatCode="0">
                  <c:v>4.369484393081686</c:v>
                </c:pt>
                <c:pt idx="142" formatCode="0">
                  <c:v>4.22064371394773</c:v>
                </c:pt>
                <c:pt idx="143" formatCode="0">
                  <c:v>4.076873094750396</c:v>
                </c:pt>
                <c:pt idx="144" formatCode="0">
                  <c:v>3.937999830635672</c:v>
                </c:pt>
                <c:pt idx="145" formatCode="0">
                  <c:v>3.803857099710885</c:v>
                </c:pt>
                <c:pt idx="146" formatCode="0">
                  <c:v>3.674283762649442</c:v>
                </c:pt>
                <c:pt idx="147" formatCode="0">
                  <c:v>3.549124169121771</c:v>
                </c:pt>
                <c:pt idx="148" formatCode="0">
                  <c:v>3.428227970819925</c:v>
                </c:pt>
                <c:pt idx="149" formatCode="0">
                  <c:v>3.311449940851272</c:v>
                </c:pt>
                <c:pt idx="150" formatCode="0">
                  <c:v>3.198649799284274</c:v>
                </c:pt>
                <c:pt idx="151" formatCode="0">
                  <c:v>3.089692044636846</c:v>
                </c:pt>
                <c:pt idx="152" formatCode="0">
                  <c:v>2.984445791104815</c:v>
                </c:pt>
                <c:pt idx="153" formatCode="0">
                  <c:v>2.882784611334991</c:v>
                </c:pt>
                <c:pt idx="154" formatCode="0">
                  <c:v>2.78458638455396</c:v>
                </c:pt>
                <c:pt idx="155" formatCode="0">
                  <c:v>2.68973314987016</c:v>
                </c:pt>
                <c:pt idx="156" formatCode="0">
                  <c:v>2.598110964573043</c:v>
                </c:pt>
                <c:pt idx="157" formatCode="0">
                  <c:v>2.509609767259076</c:v>
                </c:pt>
                <c:pt idx="158" formatCode="0">
                  <c:v>2.424123245620167</c:v>
                </c:pt>
                <c:pt idx="159" formatCode="0">
                  <c:v>2.341548708735726</c:v>
                </c:pt>
                <c:pt idx="160" formatCode="0">
                  <c:v>2.261786963714899</c:v>
                </c:pt>
                <c:pt idx="161" formatCode="0">
                  <c:v>41.23038376982154</c:v>
                </c:pt>
                <c:pt idx="162" formatCode="0">
                  <c:v>39.82592553878395</c:v>
                </c:pt>
                <c:pt idx="163" formatCode="0">
                  <c:v>38.46930831096722</c:v>
                </c:pt>
                <c:pt idx="164" formatCode="0">
                  <c:v>37.15890244617373</c:v>
                </c:pt>
                <c:pt idx="165" formatCode="0">
                  <c:v>35.89313381573352</c:v>
                </c:pt>
                <c:pt idx="166" formatCode="0">
                  <c:v>34.67048191157787</c:v>
                </c:pt>
                <c:pt idx="167" formatCode="0">
                  <c:v>33.48947801972479</c:v>
                </c:pt>
                <c:pt idx="168" formatCode="0">
                  <c:v>32.34870345598227</c:v>
                </c:pt>
                <c:pt idx="169" formatCode="0">
                  <c:v>31.24678786174998</c:v>
                </c:pt>
                <c:pt idx="170" formatCode="0">
                  <c:v>30.1824075578722</c:v>
                </c:pt>
                <c:pt idx="171" formatCode="0">
                  <c:v>29.15428395456458</c:v>
                </c:pt>
                <c:pt idx="172" formatCode="0">
                  <c:v>28.16118201550464</c:v>
                </c:pt>
                <c:pt idx="173" formatCode="0">
                  <c:v>27.20190877424093</c:v>
                </c:pt>
                <c:pt idx="174" formatCode="0">
                  <c:v>26.27531190113884</c:v>
                </c:pt>
                <c:pt idx="175" formatCode="0">
                  <c:v>25.38027831914135</c:v>
                </c:pt>
                <c:pt idx="176" formatCode="0">
                  <c:v>24.51573286668225</c:v>
                </c:pt>
                <c:pt idx="177" formatCode="0">
                  <c:v>23.68063700614523</c:v>
                </c:pt>
                <c:pt idx="178" formatCode="0">
                  <c:v>22.87398757631777</c:v>
                </c:pt>
                <c:pt idx="179" formatCode="0">
                  <c:v>22.09481558734091</c:v>
                </c:pt>
                <c:pt idx="180" formatCode="0">
                  <c:v>21.34218505670754</c:v>
                </c:pt>
                <c:pt idx="181" formatCode="0">
                  <c:v>20.61519188491077</c:v>
                </c:pt>
                <c:pt idx="182" formatCode="0">
                  <c:v>19.91296276939198</c:v>
                </c:pt>
                <c:pt idx="183" formatCode="0">
                  <c:v>19.23465415548361</c:v>
                </c:pt>
                <c:pt idx="184" formatCode="0">
                  <c:v>18.57945122308687</c:v>
                </c:pt>
                <c:pt idx="185" formatCode="0">
                  <c:v>17.94656690786676</c:v>
                </c:pt>
                <c:pt idx="186" formatCode="0">
                  <c:v>17.33524095578894</c:v>
                </c:pt>
                <c:pt idx="187" formatCode="0">
                  <c:v>16.74473900986239</c:v>
                </c:pt>
                <c:pt idx="188" formatCode="0">
                  <c:v>16.17435172799113</c:v>
                </c:pt>
                <c:pt idx="189" formatCode="0">
                  <c:v>15.62339393087499</c:v>
                </c:pt>
                <c:pt idx="190" formatCode="0">
                  <c:v>15.0912037789361</c:v>
                </c:pt>
                <c:pt idx="191" formatCode="0">
                  <c:v>14.5771419772823</c:v>
                </c:pt>
                <c:pt idx="192" formatCode="0">
                  <c:v>14.08059100775232</c:v>
                </c:pt>
                <c:pt idx="193" formatCode="0">
                  <c:v>13.60095438712047</c:v>
                </c:pt>
                <c:pt idx="194" formatCode="0">
                  <c:v>13.13765595056942</c:v>
                </c:pt>
                <c:pt idx="195" formatCode="0">
                  <c:v>12.69013915957068</c:v>
                </c:pt>
                <c:pt idx="196" formatCode="0">
                  <c:v>12.25786643334113</c:v>
                </c:pt>
                <c:pt idx="197" formatCode="0">
                  <c:v>11.84031850307262</c:v>
                </c:pt>
                <c:pt idx="198" formatCode="0">
                  <c:v>11.43699378815888</c:v>
                </c:pt>
                <c:pt idx="199" formatCode="0">
                  <c:v>11.04740779367046</c:v>
                </c:pt>
                <c:pt idx="200" formatCode="0">
                  <c:v>10.67109252835377</c:v>
                </c:pt>
                <c:pt idx="201" formatCode="0">
                  <c:v>10.30759594245539</c:v>
                </c:pt>
                <c:pt idx="202" formatCode="0">
                  <c:v>9.95648138469599</c:v>
                </c:pt>
                <c:pt idx="203" formatCode="0">
                  <c:v>9.617327077741805</c:v>
                </c:pt>
                <c:pt idx="204" formatCode="0">
                  <c:v>9.289725611543435</c:v>
                </c:pt>
                <c:pt idx="205" formatCode="0">
                  <c:v>8.97328345393338</c:v>
                </c:pt>
                <c:pt idx="206" formatCode="0">
                  <c:v>8.667620477894468</c:v>
                </c:pt>
                <c:pt idx="207" formatCode="0">
                  <c:v>8.372369504931198</c:v>
                </c:pt>
                <c:pt idx="208" formatCode="0">
                  <c:v>8.087175863995567</c:v>
                </c:pt>
                <c:pt idx="209" formatCode="0">
                  <c:v>7.811696965437494</c:v>
                </c:pt>
                <c:pt idx="210" formatCode="0">
                  <c:v>7.545601889468049</c:v>
                </c:pt>
                <c:pt idx="211" formatCode="0">
                  <c:v>7.288570988641145</c:v>
                </c:pt>
                <c:pt idx="212" formatCode="0">
                  <c:v>7.040295503876163</c:v>
                </c:pt>
                <c:pt idx="213" formatCode="0">
                  <c:v>6.800477193560233</c:v>
                </c:pt>
                <c:pt idx="214" formatCode="0">
                  <c:v>6.568827975284711</c:v>
                </c:pt>
                <c:pt idx="215" formatCode="0">
                  <c:v>6.345069579785338</c:v>
                </c:pt>
                <c:pt idx="216" formatCode="0">
                  <c:v>6.128933216670561</c:v>
                </c:pt>
                <c:pt idx="217" formatCode="0">
                  <c:v>5.920159251536309</c:v>
                </c:pt>
                <c:pt idx="218" formatCode="0">
                  <c:v>5.718496894079442</c:v>
                </c:pt>
                <c:pt idx="219" formatCode="0">
                  <c:v>5.523703896835229</c:v>
                </c:pt>
                <c:pt idx="220" formatCode="0">
                  <c:v>5.335546264176882</c:v>
                </c:pt>
                <c:pt idx="221" formatCode="0">
                  <c:v>5.153797971227693</c:v>
                </c:pt>
                <c:pt idx="222" formatCode="0">
                  <c:v>4.978240692347996</c:v>
                </c:pt>
                <c:pt idx="223" formatCode="0">
                  <c:v>4.808663538870904</c:v>
                </c:pt>
                <c:pt idx="224" formatCode="0">
                  <c:v>4.644862805771718</c:v>
                </c:pt>
                <c:pt idx="225" formatCode="0">
                  <c:v>4.48664172696669</c:v>
                </c:pt>
                <c:pt idx="226" formatCode="0">
                  <c:v>4.333810238947235</c:v>
                </c:pt>
                <c:pt idx="227" formatCode="0">
                  <c:v>4.186184752465599</c:v>
                </c:pt>
                <c:pt idx="228" formatCode="0">
                  <c:v>4.043587931997784</c:v>
                </c:pt>
                <c:pt idx="229" formatCode="0">
                  <c:v>3.905848482718747</c:v>
                </c:pt>
                <c:pt idx="230" formatCode="0">
                  <c:v>3.772800944734026</c:v>
                </c:pt>
                <c:pt idx="231" formatCode="0">
                  <c:v>3.644285494320573</c:v>
                </c:pt>
                <c:pt idx="232" formatCode="0">
                  <c:v>3.52014775193808</c:v>
                </c:pt>
                <c:pt idx="233" formatCode="0">
                  <c:v>3.400238596780118</c:v>
                </c:pt>
                <c:pt idx="234" formatCode="0">
                  <c:v>3.284413987642354</c:v>
                </c:pt>
                <c:pt idx="235" formatCode="0">
                  <c:v>3.17253478989267</c:v>
                </c:pt>
                <c:pt idx="236" formatCode="0">
                  <c:v>3.064466608335282</c:v>
                </c:pt>
                <c:pt idx="237" formatCode="0">
                  <c:v>2.960079625768154</c:v>
                </c:pt>
                <c:pt idx="238" formatCode="0">
                  <c:v>2.859248447039721</c:v>
                </c:pt>
                <c:pt idx="239" formatCode="0">
                  <c:v>2.761851948417614</c:v>
                </c:pt>
                <c:pt idx="240" formatCode="0">
                  <c:v>2.667773132088442</c:v>
                </c:pt>
              </c:numCache>
            </c:numRef>
          </c:val>
        </c:ser>
        <c:ser>
          <c:idx val="2"/>
          <c:order val="2"/>
          <c:tx>
            <c:strRef>
              <c:f>'Even MixConT@40H@80U00'!$AI$77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cat>
            <c:numRef>
              <c:f>'Even MixConT@40H@80U00'!$AE$78:$AE$318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'Even MixConT@40H@80U00'!$AI$78:$AI$318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0.0</c:v>
                </c:pt>
                <c:pt idx="81" formatCode="0">
                  <c:v>0.00668801632245595</c:v>
                </c:pt>
                <c:pt idx="82" formatCode="0">
                  <c:v>0.0504185326109012</c:v>
                </c:pt>
                <c:pt idx="83" formatCode="0">
                  <c:v>0.160413357645756</c:v>
                </c:pt>
                <c:pt idx="84" formatCode="0">
                  <c:v>0.35859718815809</c:v>
                </c:pt>
                <c:pt idx="85" formatCode="0">
                  <c:v>0.660785573896258</c:v>
                </c:pt>
                <c:pt idx="86" formatCode="0">
                  <c:v>1.077708464550237</c:v>
                </c:pt>
                <c:pt idx="87" formatCode="0">
                  <c:v>1.615890329645917</c:v>
                </c:pt>
                <c:pt idx="88" formatCode="0">
                  <c:v>2.278405281062679</c:v>
                </c:pt>
                <c:pt idx="89" formatCode="0">
                  <c:v>3.06552337058766</c:v>
                </c:pt>
                <c:pt idx="90" formatCode="0">
                  <c:v>3.975262246372517</c:v>
                </c:pt>
                <c:pt idx="91" formatCode="0">
                  <c:v>5.003856600881361</c:v>
                </c:pt>
                <c:pt idx="92" formatCode="0">
                  <c:v>6.146156301122398</c:v>
                </c:pt>
                <c:pt idx="93" formatCode="0">
                  <c:v>7.395962735068286</c:v>
                </c:pt>
                <c:pt idx="94" formatCode="0">
                  <c:v>8.746311714465289</c:v>
                </c:pt>
                <c:pt idx="95" formatCode="0">
                  <c:v>10.18971022450242</c:v>
                </c:pt>
                <c:pt idx="96" formatCode="0">
                  <c:v>11.71833338808361</c:v>
                </c:pt>
                <c:pt idx="97" formatCode="0">
                  <c:v>13.32418720171437</c:v>
                </c:pt>
                <c:pt idx="98" formatCode="0">
                  <c:v>14.99924188802333</c:v>
                </c:pt>
                <c:pt idx="99" formatCode="0">
                  <c:v>16.7355400849764</c:v>
                </c:pt>
                <c:pt idx="100" formatCode="0">
                  <c:v>18.5252835435601</c:v>
                </c:pt>
                <c:pt idx="101" formatCode="0">
                  <c:v>20.360901524977</c:v>
                </c:pt>
                <c:pt idx="102" formatCode="0">
                  <c:v>22.2351036671383</c:v>
                </c:pt>
                <c:pt idx="103" formatCode="0">
                  <c:v>24.14091972133881</c:v>
                </c:pt>
                <c:pt idx="104" formatCode="0">
                  <c:v>26.07172823716755</c:v>
                </c:pt>
                <c:pt idx="105" formatCode="0">
                  <c:v>28.02127599139918</c:v>
                </c:pt>
                <c:pt idx="106" formatCode="0">
                  <c:v>29.98368970993027</c:v>
                </c:pt>
                <c:pt idx="107" formatCode="0">
                  <c:v>31.9534814164577</c:v>
                </c:pt>
                <c:pt idx="108" formatCode="0">
                  <c:v>33.92554855373363</c:v>
                </c:pt>
                <c:pt idx="109" formatCode="0">
                  <c:v>35.89516985952151</c:v>
                </c:pt>
                <c:pt idx="110" formatCode="0">
                  <c:v>37.85799783686052</c:v>
                </c:pt>
                <c:pt idx="111" formatCode="0">
                  <c:v>39.81004853431885</c:v>
                </c:pt>
                <c:pt idx="112" formatCode="0">
                  <c:v>41.74768924428267</c:v>
                </c:pt>
                <c:pt idx="113" formatCode="0">
                  <c:v>43.6676246339707</c:v>
                </c:pt>
                <c:pt idx="114" formatCode="0">
                  <c:v>45.56688174300185</c:v>
                </c:pt>
                <c:pt idx="115" formatCode="0">
                  <c:v>47.44279421141578</c:v>
                </c:pt>
                <c:pt idx="116" formatCode="0">
                  <c:v>49.2929860416739</c:v>
                </c:pt>
                <c:pt idx="117" formatCode="0">
                  <c:v>51.11535514614482</c:v>
                </c:pt>
                <c:pt idx="118" formatCode="0">
                  <c:v>52.90805688683921</c:v>
                </c:pt>
                <c:pt idx="119" formatCode="0">
                  <c:v>54.6694877757727</c:v>
                </c:pt>
                <c:pt idx="120" formatCode="0">
                  <c:v>56.39826947148036</c:v>
                </c:pt>
                <c:pt idx="121" formatCode="0">
                  <c:v>58.09323317916701</c:v>
                </c:pt>
                <c:pt idx="122" formatCode="0">
                  <c:v>59.75340453812044</c:v>
                </c:pt>
                <c:pt idx="123" formatCode="0">
                  <c:v>61.37798905978897</c:v>
                </c:pt>
                <c:pt idx="124" formatCode="0">
                  <c:v>62.9663581628481</c:v>
                </c:pt>
                <c:pt idx="125" formatCode="0">
                  <c:v>64.51803583722602</c:v>
                </c:pt>
                <c:pt idx="126" formatCode="0">
                  <c:v>66.03268595705948</c:v>
                </c:pt>
                <c:pt idx="127" formatCode="0">
                  <c:v>67.51010025258091</c:v>
                </c:pt>
                <c:pt idx="128" formatCode="0">
                  <c:v>68.95018694271826</c:v>
                </c:pt>
                <c:pt idx="129" formatCode="0">
                  <c:v>70.35296002346652</c:v>
                </c:pt>
                <c:pt idx="130" formatCode="0">
                  <c:v>71.7185292016597</c:v>
                </c:pt>
                <c:pt idx="131" formatCode="0">
                  <c:v>73.0470904594357</c:v>
                </c:pt>
                <c:pt idx="132" formatCode="0">
                  <c:v>74.33891723129203</c:v>
                </c:pt>
                <c:pt idx="133" formatCode="0">
                  <c:v>75.59435217302817</c:v>
                </c:pt>
                <c:pt idx="134" formatCode="0">
                  <c:v>76.81379949994392</c:v>
                </c:pt>
                <c:pt idx="135" formatCode="0">
                  <c:v>77.99771787030171</c:v>
                </c:pt>
                <c:pt idx="136" formatCode="0">
                  <c:v>79.146613789177</c:v>
                </c:pt>
                <c:pt idx="137" formatCode="0">
                  <c:v>80.26103550733013</c:v>
                </c:pt>
                <c:pt idx="138" formatCode="0">
                  <c:v>81.34156738957395</c:v>
                </c:pt>
                <c:pt idx="139" formatCode="0">
                  <c:v>82.38882472721718</c:v>
                </c:pt>
                <c:pt idx="140" formatCode="0">
                  <c:v>83.40344896949128</c:v>
                </c:pt>
                <c:pt idx="141" formatCode="0">
                  <c:v>84.38610334936986</c:v>
                </c:pt>
                <c:pt idx="142" formatCode="0">
                  <c:v>85.33746887983068</c:v>
                </c:pt>
                <c:pt idx="143" formatCode="0">
                  <c:v>86.25824069735708</c:v>
                </c:pt>
                <c:pt idx="144" formatCode="0">
                  <c:v>87.14912473030602</c:v>
                </c:pt>
                <c:pt idx="145" formatCode="0">
                  <c:v>88.01083467065497</c:v>
                </c:pt>
                <c:pt idx="146" formatCode="0">
                  <c:v>88.84408922856835</c:v>
                </c:pt>
                <c:pt idx="147" formatCode="0">
                  <c:v>89.64960965017287</c:v>
                </c:pt>
                <c:pt idx="148" formatCode="0">
                  <c:v>90.42811747989307</c:v>
                </c:pt>
                <c:pt idx="149" formatCode="0">
                  <c:v>91.18033254965907</c:v>
                </c:pt>
                <c:pt idx="150" formatCode="0">
                  <c:v>91.90697117825042</c:v>
                </c:pt>
                <c:pt idx="151" formatCode="0">
                  <c:v>92.60874456497581</c:v>
                </c:pt>
                <c:pt idx="152" formatCode="0">
                  <c:v>93.28635736280309</c:v>
                </c:pt>
                <c:pt idx="153" formatCode="0">
                  <c:v>93.94050641694188</c:v>
                </c:pt>
                <c:pt idx="154" formatCode="0">
                  <c:v>94.57187965573975</c:v>
                </c:pt>
                <c:pt idx="155" formatCode="0">
                  <c:v>95.18115512158023</c:v>
                </c:pt>
                <c:pt idx="156" formatCode="0">
                  <c:v>95.76900013026282</c:v>
                </c:pt>
                <c:pt idx="157" formatCode="0">
                  <c:v>96.33607054810381</c:v>
                </c:pt>
                <c:pt idx="158" formatCode="0">
                  <c:v>96.88301017671954</c:v>
                </c:pt>
                <c:pt idx="159" formatCode="0">
                  <c:v>97.41045023613991</c:v>
                </c:pt>
                <c:pt idx="160" formatCode="0">
                  <c:v>97.91900893755162</c:v>
                </c:pt>
                <c:pt idx="161" formatCode="0">
                  <c:v>0.0</c:v>
                </c:pt>
                <c:pt idx="162" formatCode="0">
                  <c:v>0.00668801632245595</c:v>
                </c:pt>
                <c:pt idx="163" formatCode="0">
                  <c:v>0.0504185326109012</c:v>
                </c:pt>
                <c:pt idx="164" formatCode="0">
                  <c:v>0.160413357645756</c:v>
                </c:pt>
                <c:pt idx="165" formatCode="0">
                  <c:v>0.35859718815809</c:v>
                </c:pt>
                <c:pt idx="166" formatCode="0">
                  <c:v>0.660785573896258</c:v>
                </c:pt>
                <c:pt idx="167" formatCode="0">
                  <c:v>1.077708464550237</c:v>
                </c:pt>
                <c:pt idx="168" formatCode="0">
                  <c:v>1.615890329645917</c:v>
                </c:pt>
                <c:pt idx="169" formatCode="0">
                  <c:v>2.278405281062679</c:v>
                </c:pt>
                <c:pt idx="170" formatCode="0">
                  <c:v>3.06552337058766</c:v>
                </c:pt>
                <c:pt idx="171" formatCode="0">
                  <c:v>3.975262246372517</c:v>
                </c:pt>
                <c:pt idx="172" formatCode="0">
                  <c:v>5.003856600881361</c:v>
                </c:pt>
                <c:pt idx="173" formatCode="0">
                  <c:v>6.146156301122398</c:v>
                </c:pt>
                <c:pt idx="174" formatCode="0">
                  <c:v>7.395962735068286</c:v>
                </c:pt>
                <c:pt idx="175" formatCode="0">
                  <c:v>8.746311714465289</c:v>
                </c:pt>
                <c:pt idx="176" formatCode="0">
                  <c:v>10.18971022450242</c:v>
                </c:pt>
                <c:pt idx="177" formatCode="0">
                  <c:v>11.71833338808361</c:v>
                </c:pt>
                <c:pt idx="178" formatCode="0">
                  <c:v>13.32418720171437</c:v>
                </c:pt>
                <c:pt idx="179" formatCode="0">
                  <c:v>14.99924188802333</c:v>
                </c:pt>
                <c:pt idx="180" formatCode="0">
                  <c:v>16.7355400849764</c:v>
                </c:pt>
                <c:pt idx="181" formatCode="0">
                  <c:v>18.5252835435601</c:v>
                </c:pt>
                <c:pt idx="182" formatCode="0">
                  <c:v>20.360901524977</c:v>
                </c:pt>
                <c:pt idx="183" formatCode="0">
                  <c:v>22.2351036671383</c:v>
                </c:pt>
                <c:pt idx="184" formatCode="0">
                  <c:v>24.14091972133881</c:v>
                </c:pt>
                <c:pt idx="185" formatCode="0">
                  <c:v>26.07172823716755</c:v>
                </c:pt>
                <c:pt idx="186" formatCode="0">
                  <c:v>28.02127599139918</c:v>
                </c:pt>
                <c:pt idx="187" formatCode="0">
                  <c:v>29.98368970993027</c:v>
                </c:pt>
                <c:pt idx="188" formatCode="0">
                  <c:v>31.9534814164577</c:v>
                </c:pt>
                <c:pt idx="189" formatCode="0">
                  <c:v>33.92554855373363</c:v>
                </c:pt>
                <c:pt idx="190" formatCode="0">
                  <c:v>35.89516985952151</c:v>
                </c:pt>
                <c:pt idx="191" formatCode="0">
                  <c:v>37.85799783686052</c:v>
                </c:pt>
                <c:pt idx="192" formatCode="0">
                  <c:v>39.81004853431885</c:v>
                </c:pt>
                <c:pt idx="193" formatCode="0">
                  <c:v>41.74768924428267</c:v>
                </c:pt>
                <c:pt idx="194" formatCode="0">
                  <c:v>43.6676246339707</c:v>
                </c:pt>
                <c:pt idx="195" formatCode="0">
                  <c:v>45.56688174300185</c:v>
                </c:pt>
                <c:pt idx="196" formatCode="0">
                  <c:v>47.44279421141578</c:v>
                </c:pt>
                <c:pt idx="197" formatCode="0">
                  <c:v>49.2929860416739</c:v>
                </c:pt>
                <c:pt idx="198" formatCode="0">
                  <c:v>51.11535514614482</c:v>
                </c:pt>
                <c:pt idx="199" formatCode="0">
                  <c:v>52.90805688683921</c:v>
                </c:pt>
                <c:pt idx="200" formatCode="0">
                  <c:v>54.6694877757727</c:v>
                </c:pt>
                <c:pt idx="201" formatCode="0">
                  <c:v>56.39826947148036</c:v>
                </c:pt>
                <c:pt idx="202" formatCode="0">
                  <c:v>58.09323317916701</c:v>
                </c:pt>
                <c:pt idx="203" formatCode="0">
                  <c:v>59.75340453812044</c:v>
                </c:pt>
                <c:pt idx="204" formatCode="0">
                  <c:v>61.37798905978897</c:v>
                </c:pt>
                <c:pt idx="205" formatCode="0">
                  <c:v>62.9663581628481</c:v>
                </c:pt>
                <c:pt idx="206" formatCode="0">
                  <c:v>64.51803583722602</c:v>
                </c:pt>
                <c:pt idx="207" formatCode="0">
                  <c:v>66.03268595705948</c:v>
                </c:pt>
                <c:pt idx="208" formatCode="0">
                  <c:v>67.51010025258091</c:v>
                </c:pt>
                <c:pt idx="209" formatCode="0">
                  <c:v>68.95018694271826</c:v>
                </c:pt>
                <c:pt idx="210" formatCode="0">
                  <c:v>70.35296002346652</c:v>
                </c:pt>
                <c:pt idx="211" formatCode="0">
                  <c:v>71.7185292016597</c:v>
                </c:pt>
                <c:pt idx="212" formatCode="0">
                  <c:v>73.0470904594357</c:v>
                </c:pt>
                <c:pt idx="213" formatCode="0">
                  <c:v>74.33891723129203</c:v>
                </c:pt>
                <c:pt idx="214" formatCode="0">
                  <c:v>75.59435217302817</c:v>
                </c:pt>
                <c:pt idx="215" formatCode="0">
                  <c:v>76.81379949994392</c:v>
                </c:pt>
                <c:pt idx="216" formatCode="0">
                  <c:v>77.99771787030171</c:v>
                </c:pt>
                <c:pt idx="217" formatCode="0">
                  <c:v>79.146613789177</c:v>
                </c:pt>
                <c:pt idx="218" formatCode="0">
                  <c:v>80.26103550733013</c:v>
                </c:pt>
                <c:pt idx="219" formatCode="0">
                  <c:v>81.34156738957395</c:v>
                </c:pt>
                <c:pt idx="220" formatCode="0">
                  <c:v>82.38882472721718</c:v>
                </c:pt>
                <c:pt idx="221" formatCode="0">
                  <c:v>83.40344896949128</c:v>
                </c:pt>
                <c:pt idx="222" formatCode="0">
                  <c:v>84.38610334936986</c:v>
                </c:pt>
                <c:pt idx="223" formatCode="0">
                  <c:v>85.33746887983068</c:v>
                </c:pt>
                <c:pt idx="224" formatCode="0">
                  <c:v>86.25824069735708</c:v>
                </c:pt>
                <c:pt idx="225" formatCode="0">
                  <c:v>87.14912473030602</c:v>
                </c:pt>
                <c:pt idx="226" formatCode="0">
                  <c:v>88.01083467065497</c:v>
                </c:pt>
                <c:pt idx="227" formatCode="0">
                  <c:v>88.84408922856835</c:v>
                </c:pt>
                <c:pt idx="228" formatCode="0">
                  <c:v>89.64960965017287</c:v>
                </c:pt>
                <c:pt idx="229" formatCode="0">
                  <c:v>90.42811747989307</c:v>
                </c:pt>
                <c:pt idx="230" formatCode="0">
                  <c:v>91.18033254965907</c:v>
                </c:pt>
                <c:pt idx="231" formatCode="0">
                  <c:v>91.90697117825042</c:v>
                </c:pt>
                <c:pt idx="232" formatCode="0">
                  <c:v>92.60874456497581</c:v>
                </c:pt>
                <c:pt idx="233" formatCode="0">
                  <c:v>93.28635736280309</c:v>
                </c:pt>
                <c:pt idx="234" formatCode="0">
                  <c:v>93.94050641694188</c:v>
                </c:pt>
                <c:pt idx="235" formatCode="0">
                  <c:v>94.57187965573975</c:v>
                </c:pt>
                <c:pt idx="236" formatCode="0">
                  <c:v>95.18115512158023</c:v>
                </c:pt>
                <c:pt idx="237" formatCode="0">
                  <c:v>95.76900013026282</c:v>
                </c:pt>
                <c:pt idx="238" formatCode="0">
                  <c:v>96.33607054810381</c:v>
                </c:pt>
                <c:pt idx="239" formatCode="0">
                  <c:v>96.88301017671954</c:v>
                </c:pt>
                <c:pt idx="240" formatCode="0">
                  <c:v>97.41045023613991</c:v>
                </c:pt>
              </c:numCache>
            </c:numRef>
          </c:val>
        </c:ser>
        <c:ser>
          <c:idx val="3"/>
          <c:order val="3"/>
          <c:tx>
            <c:strRef>
              <c:f>'Even MixConT@40H@80U00'!$AJ$77</c:f>
              <c:strCache>
                <c:ptCount val="1"/>
                <c:pt idx="0">
                  <c:v>Energy from logging residues</c:v>
                </c:pt>
              </c:strCache>
            </c:strRef>
          </c:tx>
          <c:invertIfNegative val="0"/>
          <c:cat>
            <c:numRef>
              <c:f>'Even MixConT@40H@80U00'!$AE$78:$AE$318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'Even MixConT@40H@80U00'!$AJ$78:$AJ$318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-2.562628777526459</c:v>
                </c:pt>
                <c:pt idx="81" formatCode="0">
                  <c:v>-2.562628777526459</c:v>
                </c:pt>
                <c:pt idx="82" formatCode="0">
                  <c:v>-2.562628777526459</c:v>
                </c:pt>
                <c:pt idx="83" formatCode="0">
                  <c:v>-2.562628777526459</c:v>
                </c:pt>
                <c:pt idx="84" formatCode="0">
                  <c:v>-2.562628777526459</c:v>
                </c:pt>
                <c:pt idx="85" formatCode="0">
                  <c:v>-2.562628777526459</c:v>
                </c:pt>
                <c:pt idx="86" formatCode="0">
                  <c:v>-2.562628777526459</c:v>
                </c:pt>
                <c:pt idx="87" formatCode="0">
                  <c:v>-2.562628777526459</c:v>
                </c:pt>
                <c:pt idx="88" formatCode="0">
                  <c:v>-2.562628777526459</c:v>
                </c:pt>
                <c:pt idx="89" formatCode="0">
                  <c:v>-2.562628777526459</c:v>
                </c:pt>
                <c:pt idx="90" formatCode="0">
                  <c:v>-2.562628777526459</c:v>
                </c:pt>
                <c:pt idx="91" formatCode="0">
                  <c:v>-2.562628777526459</c:v>
                </c:pt>
                <c:pt idx="92" formatCode="0">
                  <c:v>-2.562628777526459</c:v>
                </c:pt>
                <c:pt idx="93" formatCode="0">
                  <c:v>-2.562628777526459</c:v>
                </c:pt>
                <c:pt idx="94" formatCode="0">
                  <c:v>-2.562628777526459</c:v>
                </c:pt>
                <c:pt idx="95" formatCode="0">
                  <c:v>-2.562628777526459</c:v>
                </c:pt>
                <c:pt idx="96" formatCode="0">
                  <c:v>-2.562628777526459</c:v>
                </c:pt>
                <c:pt idx="97" formatCode="0">
                  <c:v>-2.562628777526459</c:v>
                </c:pt>
                <c:pt idx="98" formatCode="0">
                  <c:v>-2.562628777526459</c:v>
                </c:pt>
                <c:pt idx="99" formatCode="0">
                  <c:v>-2.562628777526459</c:v>
                </c:pt>
                <c:pt idx="100" formatCode="0">
                  <c:v>-2.562628777526459</c:v>
                </c:pt>
                <c:pt idx="101" formatCode="0">
                  <c:v>-2.562628777526459</c:v>
                </c:pt>
                <c:pt idx="102" formatCode="0">
                  <c:v>-2.562628777526459</c:v>
                </c:pt>
                <c:pt idx="103" formatCode="0">
                  <c:v>-2.562628777526459</c:v>
                </c:pt>
                <c:pt idx="104" formatCode="0">
                  <c:v>-2.562628777526459</c:v>
                </c:pt>
                <c:pt idx="105" formatCode="0">
                  <c:v>-2.562628777526459</c:v>
                </c:pt>
                <c:pt idx="106" formatCode="0">
                  <c:v>-2.562628777526459</c:v>
                </c:pt>
                <c:pt idx="107" formatCode="0">
                  <c:v>-2.562628777526459</c:v>
                </c:pt>
                <c:pt idx="108" formatCode="0">
                  <c:v>-2.562628777526459</c:v>
                </c:pt>
                <c:pt idx="109" formatCode="0">
                  <c:v>-2.562628777526459</c:v>
                </c:pt>
                <c:pt idx="110" formatCode="0">
                  <c:v>-2.562628777526459</c:v>
                </c:pt>
                <c:pt idx="111" formatCode="0">
                  <c:v>-2.562628777526459</c:v>
                </c:pt>
                <c:pt idx="112" formatCode="0">
                  <c:v>-2.562628777526459</c:v>
                </c:pt>
                <c:pt idx="113" formatCode="0">
                  <c:v>-2.562628777526459</c:v>
                </c:pt>
                <c:pt idx="114" formatCode="0">
                  <c:v>-2.562628777526459</c:v>
                </c:pt>
                <c:pt idx="115" formatCode="0">
                  <c:v>-2.562628777526459</c:v>
                </c:pt>
                <c:pt idx="116" formatCode="0">
                  <c:v>-2.562628777526459</c:v>
                </c:pt>
                <c:pt idx="117" formatCode="0">
                  <c:v>-2.562628777526459</c:v>
                </c:pt>
                <c:pt idx="118" formatCode="0">
                  <c:v>-2.562628777526459</c:v>
                </c:pt>
                <c:pt idx="119" formatCode="0">
                  <c:v>-2.562628777526459</c:v>
                </c:pt>
                <c:pt idx="120" formatCode="0">
                  <c:v>-2.562628777526459</c:v>
                </c:pt>
                <c:pt idx="121" formatCode="0">
                  <c:v>-2.562628777526459</c:v>
                </c:pt>
                <c:pt idx="122" formatCode="0">
                  <c:v>-2.562628777526459</c:v>
                </c:pt>
                <c:pt idx="123" formatCode="0">
                  <c:v>-2.562628777526459</c:v>
                </c:pt>
                <c:pt idx="124" formatCode="0">
                  <c:v>-2.562628777526459</c:v>
                </c:pt>
                <c:pt idx="125" formatCode="0">
                  <c:v>-2.562628777526459</c:v>
                </c:pt>
                <c:pt idx="126" formatCode="0">
                  <c:v>-2.562628777526459</c:v>
                </c:pt>
                <c:pt idx="127" formatCode="0">
                  <c:v>-2.562628777526459</c:v>
                </c:pt>
                <c:pt idx="128" formatCode="0">
                  <c:v>-2.562628777526459</c:v>
                </c:pt>
                <c:pt idx="129" formatCode="0">
                  <c:v>-2.562628777526459</c:v>
                </c:pt>
                <c:pt idx="130" formatCode="0">
                  <c:v>-2.562628777526459</c:v>
                </c:pt>
                <c:pt idx="131" formatCode="0">
                  <c:v>-2.562628777526459</c:v>
                </c:pt>
                <c:pt idx="132" formatCode="0">
                  <c:v>-2.562628777526459</c:v>
                </c:pt>
                <c:pt idx="133" formatCode="0">
                  <c:v>-2.562628777526459</c:v>
                </c:pt>
                <c:pt idx="134" formatCode="0">
                  <c:v>-2.562628777526459</c:v>
                </c:pt>
                <c:pt idx="135" formatCode="0">
                  <c:v>-2.562628777526459</c:v>
                </c:pt>
                <c:pt idx="136" formatCode="0">
                  <c:v>-2.562628777526459</c:v>
                </c:pt>
                <c:pt idx="137" formatCode="0">
                  <c:v>-2.562628777526459</c:v>
                </c:pt>
                <c:pt idx="138" formatCode="0">
                  <c:v>-2.562628777526459</c:v>
                </c:pt>
                <c:pt idx="139" formatCode="0">
                  <c:v>-2.562628777526459</c:v>
                </c:pt>
                <c:pt idx="140" formatCode="0">
                  <c:v>-2.562628777526459</c:v>
                </c:pt>
                <c:pt idx="141" formatCode="0">
                  <c:v>-2.562628777526459</c:v>
                </c:pt>
                <c:pt idx="142" formatCode="0">
                  <c:v>-2.562628777526459</c:v>
                </c:pt>
                <c:pt idx="143" formatCode="0">
                  <c:v>-2.562628777526459</c:v>
                </c:pt>
                <c:pt idx="144" formatCode="0">
                  <c:v>-2.562628777526459</c:v>
                </c:pt>
                <c:pt idx="145" formatCode="0">
                  <c:v>-2.562628777526459</c:v>
                </c:pt>
                <c:pt idx="146" formatCode="0">
                  <c:v>-2.562628777526459</c:v>
                </c:pt>
                <c:pt idx="147" formatCode="0">
                  <c:v>-2.562628777526459</c:v>
                </c:pt>
                <c:pt idx="148" formatCode="0">
                  <c:v>-2.562628777526459</c:v>
                </c:pt>
                <c:pt idx="149" formatCode="0">
                  <c:v>-2.562628777526459</c:v>
                </c:pt>
                <c:pt idx="150" formatCode="0">
                  <c:v>-2.562628777526459</c:v>
                </c:pt>
                <c:pt idx="151" formatCode="0">
                  <c:v>-2.562628777526459</c:v>
                </c:pt>
                <c:pt idx="152" formatCode="0">
                  <c:v>-2.562628777526459</c:v>
                </c:pt>
                <c:pt idx="153" formatCode="0">
                  <c:v>-2.562628777526459</c:v>
                </c:pt>
                <c:pt idx="154" formatCode="0">
                  <c:v>-2.562628777526459</c:v>
                </c:pt>
                <c:pt idx="155" formatCode="0">
                  <c:v>-2.562628777526459</c:v>
                </c:pt>
                <c:pt idx="156" formatCode="0">
                  <c:v>-2.562628777526459</c:v>
                </c:pt>
                <c:pt idx="157" formatCode="0">
                  <c:v>-2.562628777526459</c:v>
                </c:pt>
                <c:pt idx="158" formatCode="0">
                  <c:v>-2.562628777526459</c:v>
                </c:pt>
                <c:pt idx="159" formatCode="0">
                  <c:v>-2.562628777526459</c:v>
                </c:pt>
                <c:pt idx="160" formatCode="0">
                  <c:v>-2.562628777526459</c:v>
                </c:pt>
                <c:pt idx="161" formatCode="0">
                  <c:v>-5.500199045653006</c:v>
                </c:pt>
                <c:pt idx="162" formatCode="0">
                  <c:v>-5.500199045653006</c:v>
                </c:pt>
                <c:pt idx="163" formatCode="0">
                  <c:v>-5.500199045653006</c:v>
                </c:pt>
                <c:pt idx="164" formatCode="0">
                  <c:v>-5.500199045653006</c:v>
                </c:pt>
                <c:pt idx="165" formatCode="0">
                  <c:v>-5.500199045653006</c:v>
                </c:pt>
                <c:pt idx="166" formatCode="0">
                  <c:v>-5.500199045653006</c:v>
                </c:pt>
                <c:pt idx="167" formatCode="0">
                  <c:v>-5.500199045653006</c:v>
                </c:pt>
                <c:pt idx="168" formatCode="0">
                  <c:v>-5.500199045653006</c:v>
                </c:pt>
                <c:pt idx="169" formatCode="0">
                  <c:v>-5.500199045653006</c:v>
                </c:pt>
                <c:pt idx="170" formatCode="0">
                  <c:v>-5.500199045653006</c:v>
                </c:pt>
                <c:pt idx="171" formatCode="0">
                  <c:v>-5.500199045653006</c:v>
                </c:pt>
                <c:pt idx="172" formatCode="0">
                  <c:v>-5.500199045653006</c:v>
                </c:pt>
                <c:pt idx="173" formatCode="0">
                  <c:v>-5.500199045653006</c:v>
                </c:pt>
                <c:pt idx="174" formatCode="0">
                  <c:v>-5.500199045653006</c:v>
                </c:pt>
                <c:pt idx="175" formatCode="0">
                  <c:v>-5.500199045653006</c:v>
                </c:pt>
                <c:pt idx="176" formatCode="0">
                  <c:v>-5.500199045653006</c:v>
                </c:pt>
                <c:pt idx="177" formatCode="0">
                  <c:v>-5.500199045653006</c:v>
                </c:pt>
                <c:pt idx="178" formatCode="0">
                  <c:v>-5.500199045653006</c:v>
                </c:pt>
                <c:pt idx="179" formatCode="0">
                  <c:v>-5.500199045653006</c:v>
                </c:pt>
                <c:pt idx="180" formatCode="0">
                  <c:v>-5.500199045653006</c:v>
                </c:pt>
                <c:pt idx="181" formatCode="0">
                  <c:v>-5.500199045653006</c:v>
                </c:pt>
                <c:pt idx="182" formatCode="0">
                  <c:v>-5.500199045653006</c:v>
                </c:pt>
                <c:pt idx="183" formatCode="0">
                  <c:v>-5.500199045653006</c:v>
                </c:pt>
                <c:pt idx="184" formatCode="0">
                  <c:v>-5.500199045653006</c:v>
                </c:pt>
                <c:pt idx="185" formatCode="0">
                  <c:v>-5.500199045653006</c:v>
                </c:pt>
                <c:pt idx="186" formatCode="0">
                  <c:v>-5.500199045653006</c:v>
                </c:pt>
                <c:pt idx="187" formatCode="0">
                  <c:v>-5.500199045653006</c:v>
                </c:pt>
                <c:pt idx="188" formatCode="0">
                  <c:v>-5.500199045653006</c:v>
                </c:pt>
                <c:pt idx="189" formatCode="0">
                  <c:v>-5.500199045653006</c:v>
                </c:pt>
                <c:pt idx="190" formatCode="0">
                  <c:v>-5.500199045653006</c:v>
                </c:pt>
                <c:pt idx="191" formatCode="0">
                  <c:v>-5.500199045653006</c:v>
                </c:pt>
                <c:pt idx="192" formatCode="0">
                  <c:v>-5.500199045653006</c:v>
                </c:pt>
                <c:pt idx="193" formatCode="0">
                  <c:v>-5.500199045653006</c:v>
                </c:pt>
                <c:pt idx="194" formatCode="0">
                  <c:v>-5.500199045653006</c:v>
                </c:pt>
                <c:pt idx="195" formatCode="0">
                  <c:v>-5.500199045653006</c:v>
                </c:pt>
                <c:pt idx="196" formatCode="0">
                  <c:v>-5.500199045653006</c:v>
                </c:pt>
                <c:pt idx="197" formatCode="0">
                  <c:v>-5.500199045653006</c:v>
                </c:pt>
                <c:pt idx="198" formatCode="0">
                  <c:v>-5.500199045653006</c:v>
                </c:pt>
                <c:pt idx="199" formatCode="0">
                  <c:v>-5.500199045653006</c:v>
                </c:pt>
                <c:pt idx="200" formatCode="0">
                  <c:v>-5.500199045653006</c:v>
                </c:pt>
                <c:pt idx="201" formatCode="0">
                  <c:v>-5.500199045653006</c:v>
                </c:pt>
                <c:pt idx="202" formatCode="0">
                  <c:v>-5.500199045653006</c:v>
                </c:pt>
                <c:pt idx="203" formatCode="0">
                  <c:v>-5.500199045653006</c:v>
                </c:pt>
                <c:pt idx="204" formatCode="0">
                  <c:v>-5.500199045653006</c:v>
                </c:pt>
                <c:pt idx="205" formatCode="0">
                  <c:v>-5.500199045653006</c:v>
                </c:pt>
                <c:pt idx="206" formatCode="0">
                  <c:v>-5.500199045653006</c:v>
                </c:pt>
                <c:pt idx="207" formatCode="0">
                  <c:v>-5.500199045653006</c:v>
                </c:pt>
                <c:pt idx="208" formatCode="0">
                  <c:v>-5.500199045653006</c:v>
                </c:pt>
                <c:pt idx="209" formatCode="0">
                  <c:v>-5.500199045653006</c:v>
                </c:pt>
                <c:pt idx="210" formatCode="0">
                  <c:v>-5.500199045653006</c:v>
                </c:pt>
                <c:pt idx="211" formatCode="0">
                  <c:v>-5.500199045653006</c:v>
                </c:pt>
                <c:pt idx="212" formatCode="0">
                  <c:v>-5.500199045653006</c:v>
                </c:pt>
                <c:pt idx="213" formatCode="0">
                  <c:v>-5.500199045653006</c:v>
                </c:pt>
                <c:pt idx="214" formatCode="0">
                  <c:v>-5.500199045653006</c:v>
                </c:pt>
                <c:pt idx="215" formatCode="0">
                  <c:v>-5.500199045653006</c:v>
                </c:pt>
                <c:pt idx="216" formatCode="0">
                  <c:v>-5.500199045653006</c:v>
                </c:pt>
                <c:pt idx="217" formatCode="0">
                  <c:v>-5.500199045653006</c:v>
                </c:pt>
                <c:pt idx="218" formatCode="0">
                  <c:v>-5.500199045653006</c:v>
                </c:pt>
                <c:pt idx="219" formatCode="0">
                  <c:v>-5.500199045653006</c:v>
                </c:pt>
                <c:pt idx="220" formatCode="0">
                  <c:v>-5.500199045653006</c:v>
                </c:pt>
                <c:pt idx="221" formatCode="0">
                  <c:v>-5.500199045653006</c:v>
                </c:pt>
                <c:pt idx="222" formatCode="0">
                  <c:v>-5.500199045653006</c:v>
                </c:pt>
                <c:pt idx="223" formatCode="0">
                  <c:v>-5.500199045653006</c:v>
                </c:pt>
                <c:pt idx="224" formatCode="0">
                  <c:v>-5.500199045653006</c:v>
                </c:pt>
                <c:pt idx="225" formatCode="0">
                  <c:v>-5.500199045653006</c:v>
                </c:pt>
                <c:pt idx="226" formatCode="0">
                  <c:v>-5.500199045653006</c:v>
                </c:pt>
                <c:pt idx="227" formatCode="0">
                  <c:v>-5.500199045653006</c:v>
                </c:pt>
                <c:pt idx="228" formatCode="0">
                  <c:v>-5.500199045653006</c:v>
                </c:pt>
                <c:pt idx="229" formatCode="0">
                  <c:v>-5.500199045653006</c:v>
                </c:pt>
                <c:pt idx="230" formatCode="0">
                  <c:v>-5.500199045653006</c:v>
                </c:pt>
                <c:pt idx="231" formatCode="0">
                  <c:v>-5.500199045653006</c:v>
                </c:pt>
                <c:pt idx="232" formatCode="0">
                  <c:v>-5.500199045653006</c:v>
                </c:pt>
                <c:pt idx="233" formatCode="0">
                  <c:v>-5.500199045653006</c:v>
                </c:pt>
                <c:pt idx="234" formatCode="0">
                  <c:v>-5.500199045653006</c:v>
                </c:pt>
                <c:pt idx="235" formatCode="0">
                  <c:v>-5.500199045653006</c:v>
                </c:pt>
                <c:pt idx="236" formatCode="0">
                  <c:v>-5.500199045653006</c:v>
                </c:pt>
                <c:pt idx="237" formatCode="0">
                  <c:v>-5.500199045653006</c:v>
                </c:pt>
                <c:pt idx="238" formatCode="0">
                  <c:v>-5.500199045653006</c:v>
                </c:pt>
                <c:pt idx="239" formatCode="0">
                  <c:v>-5.500199045653006</c:v>
                </c:pt>
                <c:pt idx="240" formatCode="0">
                  <c:v>-5.500199045653006</c:v>
                </c:pt>
              </c:numCache>
            </c:numRef>
          </c:val>
        </c:ser>
        <c:ser>
          <c:idx val="4"/>
          <c:order val="4"/>
          <c:tx>
            <c:strRef>
              <c:f>'Even MixConT@40H@80U00'!$AK$77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60000"/>
                  <a:lumOff val="40000"/>
                </a:schemeClr>
              </a:bgClr>
            </a:pattFill>
          </c:spPr>
          <c:invertIfNegative val="0"/>
          <c:cat>
            <c:numRef>
              <c:f>'Even MixConT@40H@80U00'!$AE$78:$AE$318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'Even MixConT@40H@80U00'!$AK$78:$AK$318</c:f>
              <c:numCache>
                <c:formatCode>General</c:formatCode>
                <c:ptCount val="241"/>
                <c:pt idx="40" formatCode="0">
                  <c:v>0.754210881791959</c:v>
                </c:pt>
                <c:pt idx="41" formatCode="0">
                  <c:v>0.754210881791959</c:v>
                </c:pt>
                <c:pt idx="42" formatCode="0">
                  <c:v>0.754210881791959</c:v>
                </c:pt>
                <c:pt idx="43" formatCode="0">
                  <c:v>0.754210881791959</c:v>
                </c:pt>
                <c:pt idx="44" formatCode="0">
                  <c:v>0.754210881791959</c:v>
                </c:pt>
                <c:pt idx="45" formatCode="0">
                  <c:v>0.754210881791959</c:v>
                </c:pt>
                <c:pt idx="46" formatCode="0">
                  <c:v>0.754210881791959</c:v>
                </c:pt>
                <c:pt idx="47" formatCode="0">
                  <c:v>0.754210881791959</c:v>
                </c:pt>
                <c:pt idx="48" formatCode="0">
                  <c:v>0.754210881791959</c:v>
                </c:pt>
                <c:pt idx="49" formatCode="0">
                  <c:v>0.754210881791959</c:v>
                </c:pt>
                <c:pt idx="50" formatCode="0">
                  <c:v>0.754210881791959</c:v>
                </c:pt>
                <c:pt idx="51" formatCode="0">
                  <c:v>0.754210881791959</c:v>
                </c:pt>
                <c:pt idx="52" formatCode="0">
                  <c:v>0.754210881791959</c:v>
                </c:pt>
                <c:pt idx="53" formatCode="0">
                  <c:v>0.754210881791959</c:v>
                </c:pt>
                <c:pt idx="54" formatCode="0">
                  <c:v>0.754210881791959</c:v>
                </c:pt>
                <c:pt idx="55" formatCode="0">
                  <c:v>0.754210881791959</c:v>
                </c:pt>
                <c:pt idx="56" formatCode="0">
                  <c:v>0.754210881791959</c:v>
                </c:pt>
                <c:pt idx="57" formatCode="0">
                  <c:v>0.754210881791959</c:v>
                </c:pt>
                <c:pt idx="58" formatCode="0">
                  <c:v>0.754210881791959</c:v>
                </c:pt>
                <c:pt idx="59" formatCode="0">
                  <c:v>0.754210881791959</c:v>
                </c:pt>
                <c:pt idx="60" formatCode="0">
                  <c:v>0.754210881791959</c:v>
                </c:pt>
                <c:pt idx="61" formatCode="0">
                  <c:v>0.754210881791959</c:v>
                </c:pt>
                <c:pt idx="62" formatCode="0">
                  <c:v>0.754210881791959</c:v>
                </c:pt>
                <c:pt idx="63" formatCode="0">
                  <c:v>0.754210881791959</c:v>
                </c:pt>
                <c:pt idx="64" formatCode="0">
                  <c:v>0.754210881791959</c:v>
                </c:pt>
                <c:pt idx="65" formatCode="0">
                  <c:v>0.754210881791959</c:v>
                </c:pt>
                <c:pt idx="66" formatCode="0">
                  <c:v>0.754210881791959</c:v>
                </c:pt>
                <c:pt idx="67" formatCode="0">
                  <c:v>0.754210881791959</c:v>
                </c:pt>
                <c:pt idx="68" formatCode="0">
                  <c:v>0.754210881791959</c:v>
                </c:pt>
                <c:pt idx="69" formatCode="0">
                  <c:v>0.754210881791959</c:v>
                </c:pt>
                <c:pt idx="70" formatCode="0">
                  <c:v>0.754210881791959</c:v>
                </c:pt>
                <c:pt idx="71" formatCode="0">
                  <c:v>0.754210881791959</c:v>
                </c:pt>
                <c:pt idx="72" formatCode="0">
                  <c:v>0.754210881791959</c:v>
                </c:pt>
                <c:pt idx="73" formatCode="0">
                  <c:v>0.754210881791959</c:v>
                </c:pt>
                <c:pt idx="74" formatCode="0">
                  <c:v>0.754210881791959</c:v>
                </c:pt>
                <c:pt idx="75" formatCode="0">
                  <c:v>0.754210881791959</c:v>
                </c:pt>
                <c:pt idx="76" formatCode="0">
                  <c:v>0.754210881791959</c:v>
                </c:pt>
                <c:pt idx="77" formatCode="0">
                  <c:v>0.754210881791959</c:v>
                </c:pt>
                <c:pt idx="78" formatCode="0">
                  <c:v>0.754210881791959</c:v>
                </c:pt>
                <c:pt idx="79" formatCode="0">
                  <c:v>0.754210881791959</c:v>
                </c:pt>
                <c:pt idx="80" formatCode="0">
                  <c:v>13.05482901391896</c:v>
                </c:pt>
                <c:pt idx="81" formatCode="0">
                  <c:v>13.05482901391896</c:v>
                </c:pt>
                <c:pt idx="82" formatCode="0">
                  <c:v>13.05482901391896</c:v>
                </c:pt>
                <c:pt idx="83" formatCode="0">
                  <c:v>13.05482901391896</c:v>
                </c:pt>
                <c:pt idx="84" formatCode="0">
                  <c:v>13.05482901391896</c:v>
                </c:pt>
                <c:pt idx="85" formatCode="0">
                  <c:v>13.05482901391896</c:v>
                </c:pt>
                <c:pt idx="86" formatCode="0">
                  <c:v>13.05482901391896</c:v>
                </c:pt>
                <c:pt idx="87" formatCode="0">
                  <c:v>13.05482901391896</c:v>
                </c:pt>
                <c:pt idx="88" formatCode="0">
                  <c:v>13.05482901391896</c:v>
                </c:pt>
                <c:pt idx="89" formatCode="0">
                  <c:v>13.05482901391896</c:v>
                </c:pt>
                <c:pt idx="90" formatCode="0">
                  <c:v>13.05482901391896</c:v>
                </c:pt>
                <c:pt idx="91" formatCode="0">
                  <c:v>13.05482901391896</c:v>
                </c:pt>
                <c:pt idx="92" formatCode="0">
                  <c:v>13.05482901391896</c:v>
                </c:pt>
                <c:pt idx="93" formatCode="0">
                  <c:v>13.05482901391896</c:v>
                </c:pt>
                <c:pt idx="94" formatCode="0">
                  <c:v>13.05482901391896</c:v>
                </c:pt>
                <c:pt idx="95" formatCode="0">
                  <c:v>13.05482901391896</c:v>
                </c:pt>
                <c:pt idx="96" formatCode="0">
                  <c:v>13.05482901391896</c:v>
                </c:pt>
                <c:pt idx="97" formatCode="0">
                  <c:v>13.05482901391896</c:v>
                </c:pt>
                <c:pt idx="98" formatCode="0">
                  <c:v>13.05482901391896</c:v>
                </c:pt>
                <c:pt idx="99" formatCode="0">
                  <c:v>13.05482901391896</c:v>
                </c:pt>
                <c:pt idx="100" formatCode="0">
                  <c:v>13.05482901391896</c:v>
                </c:pt>
                <c:pt idx="101" formatCode="0">
                  <c:v>13.05482901391896</c:v>
                </c:pt>
                <c:pt idx="102" formatCode="0">
                  <c:v>13.05482901391896</c:v>
                </c:pt>
                <c:pt idx="103" formatCode="0">
                  <c:v>13.05482901391896</c:v>
                </c:pt>
                <c:pt idx="104" formatCode="0">
                  <c:v>13.05482901391896</c:v>
                </c:pt>
                <c:pt idx="105" formatCode="0">
                  <c:v>13.05482901391896</c:v>
                </c:pt>
                <c:pt idx="106" formatCode="0">
                  <c:v>13.05482901391896</c:v>
                </c:pt>
                <c:pt idx="107" formatCode="0">
                  <c:v>13.05482901391896</c:v>
                </c:pt>
                <c:pt idx="108" formatCode="0">
                  <c:v>13.05482901391896</c:v>
                </c:pt>
                <c:pt idx="109" formatCode="0">
                  <c:v>13.05482901391896</c:v>
                </c:pt>
                <c:pt idx="110" formatCode="0">
                  <c:v>13.05482901391896</c:v>
                </c:pt>
                <c:pt idx="111" formatCode="0">
                  <c:v>13.05482901391896</c:v>
                </c:pt>
                <c:pt idx="112" formatCode="0">
                  <c:v>13.05482901391896</c:v>
                </c:pt>
                <c:pt idx="113" formatCode="0">
                  <c:v>13.05482901391896</c:v>
                </c:pt>
                <c:pt idx="114" formatCode="0">
                  <c:v>13.05482901391896</c:v>
                </c:pt>
                <c:pt idx="115" formatCode="0">
                  <c:v>13.05482901391896</c:v>
                </c:pt>
                <c:pt idx="116" formatCode="0">
                  <c:v>13.05482901391896</c:v>
                </c:pt>
                <c:pt idx="117" formatCode="0">
                  <c:v>13.05482901391896</c:v>
                </c:pt>
                <c:pt idx="118" formatCode="0">
                  <c:v>13.05482901391896</c:v>
                </c:pt>
                <c:pt idx="119" formatCode="0">
                  <c:v>13.05482901391896</c:v>
                </c:pt>
                <c:pt idx="120" formatCode="0">
                  <c:v>13.05482901391896</c:v>
                </c:pt>
                <c:pt idx="121" formatCode="0">
                  <c:v>13.05482901391896</c:v>
                </c:pt>
                <c:pt idx="122" formatCode="0">
                  <c:v>13.05482901391896</c:v>
                </c:pt>
                <c:pt idx="123" formatCode="0">
                  <c:v>13.05482901391896</c:v>
                </c:pt>
                <c:pt idx="124" formatCode="0">
                  <c:v>13.05482901391896</c:v>
                </c:pt>
                <c:pt idx="125" formatCode="0">
                  <c:v>13.05482901391896</c:v>
                </c:pt>
                <c:pt idx="126" formatCode="0">
                  <c:v>13.05482901391896</c:v>
                </c:pt>
                <c:pt idx="127" formatCode="0">
                  <c:v>13.05482901391896</c:v>
                </c:pt>
                <c:pt idx="128" formatCode="0">
                  <c:v>13.05482901391896</c:v>
                </c:pt>
                <c:pt idx="129" formatCode="0">
                  <c:v>13.05482901391896</c:v>
                </c:pt>
                <c:pt idx="130" formatCode="0">
                  <c:v>13.05482901391896</c:v>
                </c:pt>
                <c:pt idx="131" formatCode="0">
                  <c:v>13.05482901391896</c:v>
                </c:pt>
                <c:pt idx="132" formatCode="0">
                  <c:v>13.05482901391896</c:v>
                </c:pt>
                <c:pt idx="133" formatCode="0">
                  <c:v>13.05482901391896</c:v>
                </c:pt>
                <c:pt idx="134" formatCode="0">
                  <c:v>13.05482901391896</c:v>
                </c:pt>
                <c:pt idx="135" formatCode="0">
                  <c:v>13.05482901391896</c:v>
                </c:pt>
                <c:pt idx="136" formatCode="0">
                  <c:v>13.05482901391896</c:v>
                </c:pt>
                <c:pt idx="137" formatCode="0">
                  <c:v>13.05482901391896</c:v>
                </c:pt>
                <c:pt idx="138" formatCode="0">
                  <c:v>13.05482901391896</c:v>
                </c:pt>
                <c:pt idx="139" formatCode="0">
                  <c:v>13.05482901391896</c:v>
                </c:pt>
                <c:pt idx="140" formatCode="0">
                  <c:v>13.05482901391896</c:v>
                </c:pt>
                <c:pt idx="141" formatCode="0">
                  <c:v>13.05482901391896</c:v>
                </c:pt>
                <c:pt idx="142" formatCode="0">
                  <c:v>13.05482901391896</c:v>
                </c:pt>
                <c:pt idx="143" formatCode="0">
                  <c:v>13.05482901391896</c:v>
                </c:pt>
                <c:pt idx="144" formatCode="0">
                  <c:v>13.05482901391896</c:v>
                </c:pt>
                <c:pt idx="145" formatCode="0">
                  <c:v>13.05482901391896</c:v>
                </c:pt>
                <c:pt idx="146" formatCode="0">
                  <c:v>13.05482901391896</c:v>
                </c:pt>
                <c:pt idx="147" formatCode="0">
                  <c:v>13.05482901391896</c:v>
                </c:pt>
                <c:pt idx="148" formatCode="0">
                  <c:v>13.05482901391896</c:v>
                </c:pt>
                <c:pt idx="149" formatCode="0">
                  <c:v>13.05482901391896</c:v>
                </c:pt>
                <c:pt idx="150" formatCode="0">
                  <c:v>13.05482901391896</c:v>
                </c:pt>
                <c:pt idx="151" formatCode="0">
                  <c:v>13.05482901391896</c:v>
                </c:pt>
                <c:pt idx="152" formatCode="0">
                  <c:v>13.05482901391896</c:v>
                </c:pt>
                <c:pt idx="153" formatCode="0">
                  <c:v>13.05482901391896</c:v>
                </c:pt>
                <c:pt idx="154" formatCode="0">
                  <c:v>13.05482901391896</c:v>
                </c:pt>
                <c:pt idx="155" formatCode="0">
                  <c:v>13.05482901391896</c:v>
                </c:pt>
                <c:pt idx="156" formatCode="0">
                  <c:v>13.05482901391896</c:v>
                </c:pt>
                <c:pt idx="157" formatCode="0">
                  <c:v>13.05482901391896</c:v>
                </c:pt>
                <c:pt idx="158" formatCode="0">
                  <c:v>13.05482901391896</c:v>
                </c:pt>
                <c:pt idx="159" formatCode="0">
                  <c:v>13.05482901391896</c:v>
                </c:pt>
                <c:pt idx="160" formatCode="0">
                  <c:v>13.05482901391896</c:v>
                </c:pt>
                <c:pt idx="161" formatCode="0">
                  <c:v>26.40095541913443</c:v>
                </c:pt>
                <c:pt idx="162" formatCode="0">
                  <c:v>26.40095541913443</c:v>
                </c:pt>
                <c:pt idx="163" formatCode="0">
                  <c:v>26.40095541913443</c:v>
                </c:pt>
                <c:pt idx="164" formatCode="0">
                  <c:v>26.40095541913443</c:v>
                </c:pt>
                <c:pt idx="165" formatCode="0">
                  <c:v>26.40095541913443</c:v>
                </c:pt>
                <c:pt idx="166" formatCode="0">
                  <c:v>26.40095541913443</c:v>
                </c:pt>
                <c:pt idx="167" formatCode="0">
                  <c:v>26.40095541913443</c:v>
                </c:pt>
                <c:pt idx="168" formatCode="0">
                  <c:v>26.40095541913443</c:v>
                </c:pt>
                <c:pt idx="169" formatCode="0">
                  <c:v>26.40095541913443</c:v>
                </c:pt>
                <c:pt idx="170" formatCode="0">
                  <c:v>26.40095541913443</c:v>
                </c:pt>
                <c:pt idx="171" formatCode="0">
                  <c:v>26.40095541913443</c:v>
                </c:pt>
                <c:pt idx="172" formatCode="0">
                  <c:v>26.40095541913443</c:v>
                </c:pt>
                <c:pt idx="173" formatCode="0">
                  <c:v>26.40095541913443</c:v>
                </c:pt>
                <c:pt idx="174" formatCode="0">
                  <c:v>26.40095541913443</c:v>
                </c:pt>
                <c:pt idx="175" formatCode="0">
                  <c:v>26.40095541913443</c:v>
                </c:pt>
                <c:pt idx="176" formatCode="0">
                  <c:v>26.40095541913443</c:v>
                </c:pt>
                <c:pt idx="177" formatCode="0">
                  <c:v>26.40095541913443</c:v>
                </c:pt>
                <c:pt idx="178" formatCode="0">
                  <c:v>26.40095541913443</c:v>
                </c:pt>
                <c:pt idx="179" formatCode="0">
                  <c:v>26.40095541913443</c:v>
                </c:pt>
                <c:pt idx="180" formatCode="0">
                  <c:v>26.40095541913443</c:v>
                </c:pt>
                <c:pt idx="181" formatCode="0">
                  <c:v>26.40095541913443</c:v>
                </c:pt>
                <c:pt idx="182" formatCode="0">
                  <c:v>26.40095541913443</c:v>
                </c:pt>
                <c:pt idx="183" formatCode="0">
                  <c:v>26.40095541913443</c:v>
                </c:pt>
                <c:pt idx="184" formatCode="0">
                  <c:v>26.40095541913443</c:v>
                </c:pt>
                <c:pt idx="185" formatCode="0">
                  <c:v>26.40095541913443</c:v>
                </c:pt>
                <c:pt idx="186" formatCode="0">
                  <c:v>26.40095541913443</c:v>
                </c:pt>
                <c:pt idx="187" formatCode="0">
                  <c:v>26.40095541913443</c:v>
                </c:pt>
                <c:pt idx="188" formatCode="0">
                  <c:v>26.40095541913443</c:v>
                </c:pt>
                <c:pt idx="189" formatCode="0">
                  <c:v>26.40095541913443</c:v>
                </c:pt>
                <c:pt idx="190" formatCode="0">
                  <c:v>26.40095541913443</c:v>
                </c:pt>
                <c:pt idx="191" formatCode="0">
                  <c:v>26.40095541913443</c:v>
                </c:pt>
                <c:pt idx="192" formatCode="0">
                  <c:v>26.40095541913443</c:v>
                </c:pt>
                <c:pt idx="193" formatCode="0">
                  <c:v>26.40095541913443</c:v>
                </c:pt>
                <c:pt idx="194" formatCode="0">
                  <c:v>26.40095541913443</c:v>
                </c:pt>
                <c:pt idx="195" formatCode="0">
                  <c:v>26.40095541913443</c:v>
                </c:pt>
                <c:pt idx="196" formatCode="0">
                  <c:v>26.40095541913443</c:v>
                </c:pt>
                <c:pt idx="197" formatCode="0">
                  <c:v>26.40095541913443</c:v>
                </c:pt>
                <c:pt idx="198" formatCode="0">
                  <c:v>26.40095541913443</c:v>
                </c:pt>
                <c:pt idx="199" formatCode="0">
                  <c:v>26.40095541913443</c:v>
                </c:pt>
                <c:pt idx="200" formatCode="0">
                  <c:v>26.40095541913443</c:v>
                </c:pt>
                <c:pt idx="201" formatCode="0">
                  <c:v>26.40095541913443</c:v>
                </c:pt>
                <c:pt idx="202" formatCode="0">
                  <c:v>26.40095541913443</c:v>
                </c:pt>
                <c:pt idx="203" formatCode="0">
                  <c:v>26.40095541913443</c:v>
                </c:pt>
                <c:pt idx="204" formatCode="0">
                  <c:v>26.40095541913443</c:v>
                </c:pt>
                <c:pt idx="205" formatCode="0">
                  <c:v>26.40095541913443</c:v>
                </c:pt>
                <c:pt idx="206" formatCode="0">
                  <c:v>26.40095541913443</c:v>
                </c:pt>
                <c:pt idx="207" formatCode="0">
                  <c:v>26.40095541913443</c:v>
                </c:pt>
                <c:pt idx="208" formatCode="0">
                  <c:v>26.40095541913443</c:v>
                </c:pt>
                <c:pt idx="209" formatCode="0">
                  <c:v>26.40095541913443</c:v>
                </c:pt>
                <c:pt idx="210" formatCode="0">
                  <c:v>26.40095541913443</c:v>
                </c:pt>
                <c:pt idx="211" formatCode="0">
                  <c:v>26.40095541913443</c:v>
                </c:pt>
                <c:pt idx="212" formatCode="0">
                  <c:v>26.40095541913443</c:v>
                </c:pt>
                <c:pt idx="213" formatCode="0">
                  <c:v>26.40095541913443</c:v>
                </c:pt>
                <c:pt idx="214" formatCode="0">
                  <c:v>26.40095541913443</c:v>
                </c:pt>
                <c:pt idx="215" formatCode="0">
                  <c:v>26.40095541913443</c:v>
                </c:pt>
                <c:pt idx="216" formatCode="0">
                  <c:v>26.40095541913443</c:v>
                </c:pt>
                <c:pt idx="217" formatCode="0">
                  <c:v>26.40095541913443</c:v>
                </c:pt>
                <c:pt idx="218" formatCode="0">
                  <c:v>26.40095541913443</c:v>
                </c:pt>
                <c:pt idx="219" formatCode="0">
                  <c:v>26.40095541913443</c:v>
                </c:pt>
                <c:pt idx="220" formatCode="0">
                  <c:v>26.40095541913443</c:v>
                </c:pt>
                <c:pt idx="221" formatCode="0">
                  <c:v>26.40095541913443</c:v>
                </c:pt>
                <c:pt idx="222" formatCode="0">
                  <c:v>26.40095541913443</c:v>
                </c:pt>
                <c:pt idx="223" formatCode="0">
                  <c:v>26.40095541913443</c:v>
                </c:pt>
                <c:pt idx="224" formatCode="0">
                  <c:v>26.40095541913443</c:v>
                </c:pt>
                <c:pt idx="225" formatCode="0">
                  <c:v>26.40095541913443</c:v>
                </c:pt>
                <c:pt idx="226" formatCode="0">
                  <c:v>26.40095541913443</c:v>
                </c:pt>
                <c:pt idx="227" formatCode="0">
                  <c:v>26.40095541913443</c:v>
                </c:pt>
                <c:pt idx="228" formatCode="0">
                  <c:v>26.40095541913443</c:v>
                </c:pt>
                <c:pt idx="229" formatCode="0">
                  <c:v>26.40095541913443</c:v>
                </c:pt>
                <c:pt idx="230" formatCode="0">
                  <c:v>26.40095541913443</c:v>
                </c:pt>
                <c:pt idx="231" formatCode="0">
                  <c:v>26.40095541913443</c:v>
                </c:pt>
                <c:pt idx="232" formatCode="0">
                  <c:v>26.40095541913443</c:v>
                </c:pt>
                <c:pt idx="233" formatCode="0">
                  <c:v>26.40095541913443</c:v>
                </c:pt>
                <c:pt idx="234" formatCode="0">
                  <c:v>26.40095541913443</c:v>
                </c:pt>
                <c:pt idx="235" formatCode="0">
                  <c:v>26.40095541913443</c:v>
                </c:pt>
                <c:pt idx="236" formatCode="0">
                  <c:v>26.40095541913443</c:v>
                </c:pt>
                <c:pt idx="237" formatCode="0">
                  <c:v>26.40095541913443</c:v>
                </c:pt>
                <c:pt idx="238" formatCode="0">
                  <c:v>26.40095541913443</c:v>
                </c:pt>
                <c:pt idx="239" formatCode="0">
                  <c:v>26.40095541913443</c:v>
                </c:pt>
                <c:pt idx="240" formatCode="0">
                  <c:v>26.40095541913443</c:v>
                </c:pt>
              </c:numCache>
            </c:numRef>
          </c:val>
        </c:ser>
        <c:ser>
          <c:idx val="5"/>
          <c:order val="5"/>
          <c:tx>
            <c:strRef>
              <c:f>'Even MixConT@40H@80U00'!$AL$77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cat>
            <c:numRef>
              <c:f>'Even MixConT@40H@80U00'!$AE$78:$AE$318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'Even MixConT@40H@80U00'!$AL$78:$AL$318</c:f>
              <c:numCache>
                <c:formatCode>General</c:formatCode>
                <c:ptCount val="241"/>
                <c:pt idx="40" formatCode="0">
                  <c:v>2.356909005599873</c:v>
                </c:pt>
                <c:pt idx="41" formatCode="0">
                  <c:v>2.320883069138215</c:v>
                </c:pt>
                <c:pt idx="42" formatCode="0">
                  <c:v>2.285407798016142</c:v>
                </c:pt>
                <c:pt idx="43" formatCode="0">
                  <c:v>2.250474775177888</c:v>
                </c:pt>
                <c:pt idx="44" formatCode="0">
                  <c:v>2.216075712224464</c:v>
                </c:pt>
                <c:pt idx="45" formatCode="0">
                  <c:v>2.182202447447107</c:v>
                </c:pt>
                <c:pt idx="46" formatCode="0">
                  <c:v>2.148846943890789</c:v>
                </c:pt>
                <c:pt idx="47" formatCode="0">
                  <c:v>2.116001287447326</c:v>
                </c:pt>
                <c:pt idx="48" formatCode="0">
                  <c:v>2.083657684977632</c:v>
                </c:pt>
                <c:pt idx="49" formatCode="0">
                  <c:v>2.051808462462677</c:v>
                </c:pt>
                <c:pt idx="50" formatCode="0">
                  <c:v>2.02044606318271</c:v>
                </c:pt>
                <c:pt idx="51" formatCode="0">
                  <c:v>1.989563045924307</c:v>
                </c:pt>
                <c:pt idx="52" formatCode="0">
                  <c:v>1.959152083214829</c:v>
                </c:pt>
                <c:pt idx="53" formatCode="0">
                  <c:v>1.929205959583866</c:v>
                </c:pt>
                <c:pt idx="54" formatCode="0">
                  <c:v>1.89971756985126</c:v>
                </c:pt>
                <c:pt idx="55" formatCode="0">
                  <c:v>1.870679917441281</c:v>
                </c:pt>
                <c:pt idx="56" formatCode="0">
                  <c:v>1.842086112722594</c:v>
                </c:pt>
                <c:pt idx="57" formatCode="0">
                  <c:v>1.813929371373575</c:v>
                </c:pt>
                <c:pt idx="58" formatCode="0">
                  <c:v>1.786203012772638</c:v>
                </c:pt>
                <c:pt idx="59" formatCode="0">
                  <c:v>1.758900458413145</c:v>
                </c:pt>
                <c:pt idx="60" formatCode="0">
                  <c:v>1.732015230342558</c:v>
                </c:pt>
                <c:pt idx="61" formatCode="0">
                  <c:v>1.705540949625444</c:v>
                </c:pt>
                <c:pt idx="62" formatCode="0">
                  <c:v>1.679471334829975</c:v>
                </c:pt>
                <c:pt idx="63" formatCode="0">
                  <c:v>1.653800200537558</c:v>
                </c:pt>
                <c:pt idx="64" formatCode="0">
                  <c:v>1.628521455875254</c:v>
                </c:pt>
                <c:pt idx="65" formatCode="0">
                  <c:v>1.603629103070621</c:v>
                </c:pt>
                <c:pt idx="66" formatCode="0">
                  <c:v>1.579117236028651</c:v>
                </c:pt>
                <c:pt idx="67" formatCode="0">
                  <c:v>1.554980038930454</c:v>
                </c:pt>
                <c:pt idx="68" formatCode="0">
                  <c:v>1.531211784853375</c:v>
                </c:pt>
                <c:pt idx="69" formatCode="0">
                  <c:v>1.50780683441218</c:v>
                </c:pt>
                <c:pt idx="70" formatCode="0">
                  <c:v>1.484759634421037</c:v>
                </c:pt>
                <c:pt idx="71" formatCode="0">
                  <c:v>1.462064716575928</c:v>
                </c:pt>
                <c:pt idx="72" formatCode="0">
                  <c:v>1.439716696157214</c:v>
                </c:pt>
                <c:pt idx="73" formatCode="0">
                  <c:v>1.417710270752027</c:v>
                </c:pt>
                <c:pt idx="74" formatCode="0">
                  <c:v>1.396040218996188</c:v>
                </c:pt>
                <c:pt idx="75" formatCode="0">
                  <c:v>1.37470139933536</c:v>
                </c:pt>
                <c:pt idx="76" formatCode="0">
                  <c:v>1.353688748805136</c:v>
                </c:pt>
                <c:pt idx="77" formatCode="0">
                  <c:v>1.33299728182977</c:v>
                </c:pt>
                <c:pt idx="78" formatCode="0">
                  <c:v>1.312622089039269</c:v>
                </c:pt>
                <c:pt idx="79" formatCode="0">
                  <c:v>1.292558336104581</c:v>
                </c:pt>
                <c:pt idx="80" formatCode="0">
                  <c:v>39.71223292548744</c:v>
                </c:pt>
                <c:pt idx="81" formatCode="0">
                  <c:v>39.10522163369595</c:v>
                </c:pt>
                <c:pt idx="82" formatCode="0">
                  <c:v>38.50748865947109</c:v>
                </c:pt>
                <c:pt idx="83" formatCode="0">
                  <c:v>37.91889218143648</c:v>
                </c:pt>
                <c:pt idx="84" formatCode="0">
                  <c:v>37.33929254599056</c:v>
                </c:pt>
                <c:pt idx="85" formatCode="0">
                  <c:v>36.76855223417155</c:v>
                </c:pt>
                <c:pt idx="86" formatCode="0">
                  <c:v>36.20653582902896</c:v>
                </c:pt>
                <c:pt idx="87" formatCode="0">
                  <c:v>35.65310998349388</c:v>
                </c:pt>
                <c:pt idx="88" formatCode="0">
                  <c:v>35.1081433887403</c:v>
                </c:pt>
                <c:pt idx="89" formatCode="0">
                  <c:v>34.57150674302997</c:v>
                </c:pt>
                <c:pt idx="90" formatCode="0">
                  <c:v>34.04307272103379</c:v>
                </c:pt>
                <c:pt idx="91" formatCode="0">
                  <c:v>33.52271594362166</c:v>
                </c:pt>
                <c:pt idx="92" formatCode="0">
                  <c:v>33.01031294811452</c:v>
                </c:pt>
                <c:pt idx="93" formatCode="0">
                  <c:v>32.50574215899085</c:v>
                </c:pt>
                <c:pt idx="94" formatCode="0">
                  <c:v>32.00888385904101</c:v>
                </c:pt>
                <c:pt idx="95" formatCode="0">
                  <c:v>31.51962016096247</c:v>
                </c:pt>
                <c:pt idx="96" formatCode="0">
                  <c:v>31.03783497938928</c:v>
                </c:pt>
                <c:pt idx="97" formatCode="0">
                  <c:v>30.56341400334896</c:v>
                </c:pt>
                <c:pt idx="98" formatCode="0">
                  <c:v>30.09624466914051</c:v>
                </c:pt>
                <c:pt idx="99" formatCode="0">
                  <c:v>29.63621613362689</c:v>
                </c:pt>
                <c:pt idx="100" formatCode="0">
                  <c:v>29.1832192479358</c:v>
                </c:pt>
                <c:pt idx="101" formatCode="0">
                  <c:v>28.73714653156244</c:v>
                </c:pt>
                <c:pt idx="102" formatCode="0">
                  <c:v>28.29789214686806</c:v>
                </c:pt>
                <c:pt idx="103" formatCode="0">
                  <c:v>27.86535187396836</c:v>
                </c:pt>
                <c:pt idx="104" formatCode="0">
                  <c:v>27.43942308600574</c:v>
                </c:pt>
                <c:pt idx="105" formatCode="0">
                  <c:v>27.02000472479948</c:v>
                </c:pt>
                <c:pt idx="106" formatCode="0">
                  <c:v>26.60699727686809</c:v>
                </c:pt>
                <c:pt idx="107" formatCode="0">
                  <c:v>26.20030274981824</c:v>
                </c:pt>
                <c:pt idx="108" formatCode="0">
                  <c:v>25.79982464909457</c:v>
                </c:pt>
                <c:pt idx="109" formatCode="0">
                  <c:v>25.4054679550848</c:v>
                </c:pt>
                <c:pt idx="110" formatCode="0">
                  <c:v>25.01713910057494</c:v>
                </c:pt>
                <c:pt idx="111" formatCode="0">
                  <c:v>24.63474594854896</c:v>
                </c:pt>
                <c:pt idx="112" formatCode="0">
                  <c:v>24.25819777032786</c:v>
                </c:pt>
                <c:pt idx="113" formatCode="0">
                  <c:v>23.88740522404298</c:v>
                </c:pt>
                <c:pt idx="114" formatCode="0">
                  <c:v>23.52228033343812</c:v>
                </c:pt>
                <c:pt idx="115" formatCode="0">
                  <c:v>23.16273646699595</c:v>
                </c:pt>
                <c:pt idx="116" formatCode="0">
                  <c:v>22.80868831738326</c:v>
                </c:pt>
                <c:pt idx="117" formatCode="0">
                  <c:v>22.4600518812105</c:v>
                </c:pt>
                <c:pt idx="118" formatCode="0">
                  <c:v>22.11674443910071</c:v>
                </c:pt>
                <c:pt idx="119" formatCode="0">
                  <c:v>21.77868453606301</c:v>
                </c:pt>
                <c:pt idx="120" formatCode="0">
                  <c:v>21.4457919621662</c:v>
                </c:pt>
                <c:pt idx="121" formatCode="0">
                  <c:v>21.11798773350771</c:v>
                </c:pt>
                <c:pt idx="122" formatCode="0">
                  <c:v>20.79519407347339</c:v>
                </c:pt>
                <c:pt idx="123" formatCode="0">
                  <c:v>20.4773343942839</c:v>
                </c:pt>
                <c:pt idx="124" formatCode="0">
                  <c:v>20.164333278823</c:v>
                </c:pt>
                <c:pt idx="125" formatCode="0">
                  <c:v>19.85611646274372</c:v>
                </c:pt>
                <c:pt idx="126" formatCode="0">
                  <c:v>19.55261081684798</c:v>
                </c:pt>
                <c:pt idx="127" formatCode="0">
                  <c:v>19.25374432973554</c:v>
                </c:pt>
                <c:pt idx="128" formatCode="0">
                  <c:v>18.95944609071824</c:v>
                </c:pt>
                <c:pt idx="129" formatCode="0">
                  <c:v>18.66964627299528</c:v>
                </c:pt>
                <c:pt idx="130" formatCode="0">
                  <c:v>18.38427611708578</c:v>
                </c:pt>
                <c:pt idx="131" formatCode="0">
                  <c:v>18.10326791451448</c:v>
                </c:pt>
                <c:pt idx="132" formatCode="0">
                  <c:v>17.82655499174694</c:v>
                </c:pt>
                <c:pt idx="133" formatCode="0">
                  <c:v>17.55407169437014</c:v>
                </c:pt>
                <c:pt idx="134" formatCode="0">
                  <c:v>17.28575337151499</c:v>
                </c:pt>
                <c:pt idx="135" formatCode="0">
                  <c:v>17.02153636051689</c:v>
                </c:pt>
                <c:pt idx="136" formatCode="0">
                  <c:v>16.76135797181083</c:v>
                </c:pt>
                <c:pt idx="137" formatCode="0">
                  <c:v>16.50515647405726</c:v>
                </c:pt>
                <c:pt idx="138" formatCode="0">
                  <c:v>16.25287107949543</c:v>
                </c:pt>
                <c:pt idx="139" formatCode="0">
                  <c:v>16.0044419295205</c:v>
                </c:pt>
                <c:pt idx="140" formatCode="0">
                  <c:v>15.75981008048123</c:v>
                </c:pt>
                <c:pt idx="141" formatCode="0">
                  <c:v>15.51891748969464</c:v>
                </c:pt>
                <c:pt idx="142" formatCode="0">
                  <c:v>15.28170700167448</c:v>
                </c:pt>
                <c:pt idx="143" formatCode="0">
                  <c:v>15.04812233457025</c:v>
                </c:pt>
                <c:pt idx="144" formatCode="0">
                  <c:v>14.81810806681344</c:v>
                </c:pt>
                <c:pt idx="145" formatCode="0">
                  <c:v>14.5916096239679</c:v>
                </c:pt>
                <c:pt idx="146" formatCode="0">
                  <c:v>14.36857326578122</c:v>
                </c:pt>
                <c:pt idx="147" formatCode="0">
                  <c:v>14.14894607343403</c:v>
                </c:pt>
                <c:pt idx="148" formatCode="0">
                  <c:v>13.93267593698418</c:v>
                </c:pt>
                <c:pt idx="149" formatCode="0">
                  <c:v>13.71971154300287</c:v>
                </c:pt>
                <c:pt idx="150" formatCode="0">
                  <c:v>13.51000236239974</c:v>
                </c:pt>
                <c:pt idx="151" formatCode="0">
                  <c:v>13.30349863843404</c:v>
                </c:pt>
                <c:pt idx="152" formatCode="0">
                  <c:v>13.10015137490912</c:v>
                </c:pt>
                <c:pt idx="153" formatCode="0">
                  <c:v>12.89991232454728</c:v>
                </c:pt>
                <c:pt idx="154" formatCode="0">
                  <c:v>12.7027339775424</c:v>
                </c:pt>
                <c:pt idx="155" formatCode="0">
                  <c:v>12.50856955028747</c:v>
                </c:pt>
                <c:pt idx="156" formatCode="0">
                  <c:v>12.31737297427448</c:v>
                </c:pt>
                <c:pt idx="157" formatCode="0">
                  <c:v>12.12909888516393</c:v>
                </c:pt>
                <c:pt idx="158" formatCode="0">
                  <c:v>11.94370261202149</c:v>
                </c:pt>
                <c:pt idx="159" formatCode="0">
                  <c:v>11.76114016671906</c:v>
                </c:pt>
                <c:pt idx="160" formatCode="0">
                  <c:v>11.58136823349797</c:v>
                </c:pt>
                <c:pt idx="161" formatCode="0">
                  <c:v>55.10238200144587</c:v>
                </c:pt>
                <c:pt idx="162" formatCode="0">
                  <c:v>54.26012847865243</c:v>
                </c:pt>
                <c:pt idx="163" formatCode="0">
                  <c:v>53.43074900904672</c:v>
                </c:pt>
                <c:pt idx="164" formatCode="0">
                  <c:v>52.61404680954504</c:v>
                </c:pt>
                <c:pt idx="165" formatCode="0">
                  <c:v>51.80982810494175</c:v>
                </c:pt>
                <c:pt idx="166" formatCode="0">
                  <c:v>51.01790208193307</c:v>
                </c:pt>
                <c:pt idx="167" formatCode="0">
                  <c:v>50.23808084384373</c:v>
                </c:pt>
                <c:pt idx="168" formatCode="0">
                  <c:v>49.47017936604556</c:v>
                </c:pt>
                <c:pt idx="169" formatCode="0">
                  <c:v>48.71401545205755</c:v>
                </c:pt>
                <c:pt idx="170" formatCode="0">
                  <c:v>47.96940969031692</c:v>
                </c:pt>
                <c:pt idx="171" formatCode="0">
                  <c:v>47.23618541161093</c:v>
                </c:pt>
                <c:pt idx="172" formatCode="0">
                  <c:v>46.51416864715945</c:v>
                </c:pt>
                <c:pt idx="173" formatCode="0">
                  <c:v>45.80318808733808</c:v>
                </c:pt>
                <c:pt idx="174" formatCode="0">
                  <c:v>45.1030750410324</c:v>
                </c:pt>
                <c:pt idx="175" formatCode="0">
                  <c:v>44.41366339561334</c:v>
                </c:pt>
                <c:pt idx="176" formatCode="0">
                  <c:v>43.73478957752438</c:v>
                </c:pt>
                <c:pt idx="177" formatCode="0">
                  <c:v>43.06629251347127</c:v>
                </c:pt>
                <c:pt idx="178" formatCode="0">
                  <c:v>42.4080135922048</c:v>
                </c:pt>
                <c:pt idx="179" formatCode="0">
                  <c:v>41.75979662688795</c:v>
                </c:pt>
                <c:pt idx="180" formatCode="0">
                  <c:v>41.12148781803806</c:v>
                </c:pt>
                <c:pt idx="181" formatCode="0">
                  <c:v>40.49293571703557</c:v>
                </c:pt>
                <c:pt idx="182" formatCode="0">
                  <c:v>39.87399119019049</c:v>
                </c:pt>
                <c:pt idx="183" formatCode="0">
                  <c:v>39.26450738335812</c:v>
                </c:pt>
                <c:pt idx="184" formatCode="0">
                  <c:v>38.66433968709564</c:v>
                </c:pt>
                <c:pt idx="185" formatCode="0">
                  <c:v>38.0733457023513</c:v>
                </c:pt>
                <c:pt idx="186" formatCode="0">
                  <c:v>37.49138520667806</c:v>
                </c:pt>
                <c:pt idx="187" formatCode="0">
                  <c:v>36.91832012096358</c:v>
                </c:pt>
                <c:pt idx="188" formatCode="0">
                  <c:v>36.35401447666889</c:v>
                </c:pt>
                <c:pt idx="189" formatCode="0">
                  <c:v>35.79833438356774</c:v>
                </c:pt>
                <c:pt idx="190" formatCode="0">
                  <c:v>35.25114799797906</c:v>
                </c:pt>
                <c:pt idx="191" formatCode="0">
                  <c:v>34.71232549148502</c:v>
                </c:pt>
                <c:pt idx="192" formatCode="0">
                  <c:v>34.18173902012724</c:v>
                </c:pt>
                <c:pt idx="193" formatCode="0">
                  <c:v>33.6592626940738</c:v>
                </c:pt>
                <c:pt idx="194" formatCode="0">
                  <c:v>33.14477254775</c:v>
                </c:pt>
                <c:pt idx="195" formatCode="0">
                  <c:v>32.63814651042556</c:v>
                </c:pt>
                <c:pt idx="196" formatCode="0">
                  <c:v>32.13926437725147</c:v>
                </c:pt>
                <c:pt idx="197" formatCode="0">
                  <c:v>31.64800778073955</c:v>
                </c:pt>
                <c:pt idx="198" formatCode="0">
                  <c:v>31.16426016267791</c:v>
                </c:pt>
                <c:pt idx="199" formatCode="0">
                  <c:v>30.68790674647571</c:v>
                </c:pt>
                <c:pt idx="200" formatCode="0">
                  <c:v>30.21883450993069</c:v>
                </c:pt>
                <c:pt idx="201" formatCode="0">
                  <c:v>29.75693215841287</c:v>
                </c:pt>
                <c:pt idx="202" formatCode="0">
                  <c:v>29.30209009845817</c:v>
                </c:pt>
                <c:pt idx="203" formatCode="0">
                  <c:v>28.85420041176567</c:v>
                </c:pt>
                <c:pt idx="204" formatCode="0">
                  <c:v>28.4131568295924</c:v>
                </c:pt>
                <c:pt idx="205" formatCode="0">
                  <c:v>27.97885470753933</c:v>
                </c:pt>
                <c:pt idx="206" formatCode="0">
                  <c:v>27.55119100072294</c:v>
                </c:pt>
                <c:pt idx="207" formatCode="0">
                  <c:v>27.13006423932622</c:v>
                </c:pt>
                <c:pt idx="208" formatCode="0">
                  <c:v>26.71537450452336</c:v>
                </c:pt>
                <c:pt idx="209" formatCode="0">
                  <c:v>26.30702340477253</c:v>
                </c:pt>
                <c:pt idx="210" formatCode="0">
                  <c:v>25.90491405247088</c:v>
                </c:pt>
                <c:pt idx="211" formatCode="0">
                  <c:v>25.50895104096654</c:v>
                </c:pt>
                <c:pt idx="212" formatCode="0">
                  <c:v>25.11904042192187</c:v>
                </c:pt>
                <c:pt idx="213" formatCode="0">
                  <c:v>24.73508968302278</c:v>
                </c:pt>
                <c:pt idx="214" formatCode="0">
                  <c:v>24.35700772602877</c:v>
                </c:pt>
                <c:pt idx="215" formatCode="0">
                  <c:v>23.98470484515846</c:v>
                </c:pt>
                <c:pt idx="216" formatCode="0">
                  <c:v>23.61809270580547</c:v>
                </c:pt>
                <c:pt idx="217" formatCode="0">
                  <c:v>23.25708432357973</c:v>
                </c:pt>
                <c:pt idx="218" formatCode="0">
                  <c:v>22.90159404366904</c:v>
                </c:pt>
                <c:pt idx="219" formatCode="0">
                  <c:v>22.5515375205162</c:v>
                </c:pt>
                <c:pt idx="220" formatCode="0">
                  <c:v>22.20683169780667</c:v>
                </c:pt>
                <c:pt idx="221" formatCode="0">
                  <c:v>21.86739478876219</c:v>
                </c:pt>
                <c:pt idx="222" formatCode="0">
                  <c:v>21.53314625673563</c:v>
                </c:pt>
                <c:pt idx="223" formatCode="0">
                  <c:v>21.2040067961024</c:v>
                </c:pt>
                <c:pt idx="224" formatCode="0">
                  <c:v>20.87989831344398</c:v>
                </c:pt>
                <c:pt idx="225" formatCode="0">
                  <c:v>20.56074390901903</c:v>
                </c:pt>
                <c:pt idx="226" formatCode="0">
                  <c:v>20.24646785851779</c:v>
                </c:pt>
                <c:pt idx="227" formatCode="0">
                  <c:v>19.93699559509524</c:v>
                </c:pt>
                <c:pt idx="228" formatCode="0">
                  <c:v>19.63225369167906</c:v>
                </c:pt>
                <c:pt idx="229" formatCode="0">
                  <c:v>19.33216984354783</c:v>
                </c:pt>
                <c:pt idx="230" formatCode="0">
                  <c:v>19.03667285117565</c:v>
                </c:pt>
                <c:pt idx="231" formatCode="0">
                  <c:v>18.74569260333903</c:v>
                </c:pt>
                <c:pt idx="232" formatCode="0">
                  <c:v>18.45916006048179</c:v>
                </c:pt>
                <c:pt idx="233" formatCode="0">
                  <c:v>18.17700723833445</c:v>
                </c:pt>
                <c:pt idx="234" formatCode="0">
                  <c:v>17.89916719178387</c:v>
                </c:pt>
                <c:pt idx="235" formatCode="0">
                  <c:v>17.62557399898953</c:v>
                </c:pt>
                <c:pt idx="236" formatCode="0">
                  <c:v>17.35616274574251</c:v>
                </c:pt>
                <c:pt idx="237" formatCode="0">
                  <c:v>17.09086951006362</c:v>
                </c:pt>
                <c:pt idx="238" formatCode="0">
                  <c:v>16.8296313470369</c:v>
                </c:pt>
                <c:pt idx="239" formatCode="0">
                  <c:v>16.572386273875</c:v>
                </c:pt>
                <c:pt idx="240" formatCode="0">
                  <c:v>16.31907325521278</c:v>
                </c:pt>
              </c:numCache>
            </c:numRef>
          </c:val>
        </c:ser>
        <c:ser>
          <c:idx val="6"/>
          <c:order val="6"/>
          <c:tx>
            <c:strRef>
              <c:f>'Even MixConT@40H@80U00'!$AM$77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'Even MixConT@40H@80U00'!$AE$78:$AE$318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'Even MixConT@40H@80U00'!$AM$78:$AM$318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0.0180309811990599</c:v>
                </c:pt>
                <c:pt idx="42" formatCode="0">
                  <c:v>0.0357863543956574</c:v>
                </c:pt>
                <c:pt idx="43" formatCode="0">
                  <c:v>0.0532703323262037</c:v>
                </c:pt>
                <c:pt idx="44" formatCode="0">
                  <c:v>0.0704870633343924</c:v>
                </c:pt>
                <c:pt idx="45" formatCode="0">
                  <c:v>0.0874406323554598</c:v>
                </c:pt>
                <c:pt idx="46" formatCode="0">
                  <c:v>0.104135061885397</c:v>
                </c:pt>
                <c:pt idx="47" formatCode="0">
                  <c:v>0.12057431293535</c:v>
                </c:pt>
                <c:pt idx="48" formatCode="0">
                  <c:v>0.136762285971432</c:v>
                </c:pt>
                <c:pt idx="49" formatCode="0">
                  <c:v>0.152702821840166</c:v>
                </c:pt>
                <c:pt idx="50" formatCode="0">
                  <c:v>0.16839970267979</c:v>
                </c:pt>
                <c:pt idx="51" formatCode="0">
                  <c:v>0.183856652817621</c:v>
                </c:pt>
                <c:pt idx="52" formatCode="0">
                  <c:v>0.199077339653715</c:v>
                </c:pt>
                <c:pt idx="53" formatCode="0">
                  <c:v>0.214065374531011</c:v>
                </c:pt>
                <c:pt idx="54" formatCode="0">
                  <c:v>0.228824313592181</c:v>
                </c:pt>
                <c:pt idx="55" formatCode="0">
                  <c:v>0.243357658623375</c:v>
                </c:pt>
                <c:pt idx="56" formatCode="0">
                  <c:v>0.257668857885079</c:v>
                </c:pt>
                <c:pt idx="57" formatCode="0">
                  <c:v>0.271761306930262</c:v>
                </c:pt>
                <c:pt idx="58" formatCode="0">
                  <c:v>0.285638349410031</c:v>
                </c:pt>
                <c:pt idx="59" formatCode="0">
                  <c:v>0.299303277866957</c:v>
                </c:pt>
                <c:pt idx="60" formatCode="0">
                  <c:v>0.312759334516286</c:v>
                </c:pt>
                <c:pt idx="61" formatCode="0">
                  <c:v>0.326009712015202</c:v>
                </c:pt>
                <c:pt idx="62" formatCode="0">
                  <c:v>0.339057554220334</c:v>
                </c:pt>
                <c:pt idx="63" formatCode="0">
                  <c:v>0.351905956933689</c:v>
                </c:pt>
                <c:pt idx="64" formatCode="0">
                  <c:v>0.364557968637172</c:v>
                </c:pt>
                <c:pt idx="65" formatCode="0">
                  <c:v>0.377016591215891</c:v>
                </c:pt>
                <c:pt idx="66" formatCode="0">
                  <c:v>0.389284780670397</c:v>
                </c:pt>
                <c:pt idx="67" formatCode="0">
                  <c:v>0.401365447818044</c:v>
                </c:pt>
                <c:pt idx="68" formatCode="0">
                  <c:v>0.413261458983623</c:v>
                </c:pt>
                <c:pt idx="69" formatCode="0">
                  <c:v>0.42497563667944</c:v>
                </c:pt>
                <c:pt idx="70" formatCode="0">
                  <c:v>0.436510760275008</c:v>
                </c:pt>
                <c:pt idx="71" formatCode="0">
                  <c:v>0.447869566656485</c:v>
                </c:pt>
                <c:pt idx="72" formatCode="0">
                  <c:v>0.459054750876051</c:v>
                </c:pt>
                <c:pt idx="73" formatCode="0">
                  <c:v>0.470068966791347</c:v>
                </c:pt>
                <c:pt idx="74" formatCode="0">
                  <c:v>0.480914827695145</c:v>
                </c:pt>
                <c:pt idx="75" formatCode="0">
                  <c:v>0.491594906935389</c:v>
                </c:pt>
                <c:pt idx="76" formatCode="0">
                  <c:v>0.502111738525766</c:v>
                </c:pt>
                <c:pt idx="77" formatCode="0">
                  <c:v>0.512467817746937</c:v>
                </c:pt>
                <c:pt idx="78" formatCode="0">
                  <c:v>0.522665601738582</c:v>
                </c:pt>
                <c:pt idx="79" formatCode="0">
                  <c:v>0.532707510082394</c:v>
                </c:pt>
                <c:pt idx="80" formatCode="0">
                  <c:v>0.54259592537616</c:v>
                </c:pt>
                <c:pt idx="81" formatCode="0">
                  <c:v>0.944429037957378</c:v>
                </c:pt>
                <c:pt idx="82" formatCode="0">
                  <c:v>1.340120032133663</c:v>
                </c:pt>
                <c:pt idx="83" formatCode="0">
                  <c:v>1.729762791702343</c:v>
                </c:pt>
                <c:pt idx="84" formatCode="0">
                  <c:v>2.113449765423705</c:v>
                </c:pt>
                <c:pt idx="85" formatCode="0">
                  <c:v>2.491271988955899</c:v>
                </c:pt>
                <c:pt idx="86" formatCode="0">
                  <c:v>2.86331910645454</c:v>
                </c:pt>
                <c:pt idx="87" formatCode="0">
                  <c:v>3.229679391842179</c:v>
                </c:pt>
                <c:pt idx="88" formatCode="0">
                  <c:v>3.590439769752655</c:v>
                </c:pt>
                <c:pt idx="89" formatCode="0">
                  <c:v>3.945685836155306</c:v>
                </c:pt>
                <c:pt idx="90" formatCode="0">
                  <c:v>4.29550187866392</c:v>
                </c:pt>
                <c:pt idx="91" formatCode="0">
                  <c:v>4.639970896535287</c:v>
                </c:pt>
                <c:pt idx="92" formatCode="0">
                  <c:v>4.97917462036206</c:v>
                </c:pt>
                <c:pt idx="93" formatCode="0">
                  <c:v>5.313193531464575</c:v>
                </c:pt>
                <c:pt idx="94" formatCode="0">
                  <c:v>5.642106880986319</c:v>
                </c:pt>
                <c:pt idx="95" formatCode="0">
                  <c:v>5.965992708697459</c:v>
                </c:pt>
                <c:pt idx="96" formatCode="0">
                  <c:v>6.284927861510997</c:v>
                </c:pt>
                <c:pt idx="97" formatCode="0">
                  <c:v>6.598988011715887</c:v>
                </c:pt>
                <c:pt idx="98" formatCode="0">
                  <c:v>6.908247674931444</c:v>
                </c:pt>
                <c:pt idx="99" formatCode="0">
                  <c:v>7.212780227787341</c:v>
                </c:pt>
                <c:pt idx="100" formatCode="0">
                  <c:v>7.512657925333323</c:v>
                </c:pt>
                <c:pt idx="101" formatCode="0">
                  <c:v>7.807951918182863</c:v>
                </c:pt>
                <c:pt idx="102" formatCode="0">
                  <c:v>8.098732269394716</c:v>
                </c:pt>
                <c:pt idx="103" formatCode="0">
                  <c:v>8.385067971096486</c:v>
                </c:pt>
                <c:pt idx="104" formatCode="0">
                  <c:v>8.667026960854054</c:v>
                </c:pt>
                <c:pt idx="105" formatCode="0">
                  <c:v>8.944676137790815</c:v>
                </c:pt>
                <c:pt idx="106" formatCode="0">
                  <c:v>9.218081378460543</c:v>
                </c:pt>
                <c:pt idx="107" formatCode="0">
                  <c:v>9.487307552477622</c:v>
                </c:pt>
                <c:pt idx="108" formatCode="0">
                  <c:v>9.75241853790832</c:v>
                </c:pt>
                <c:pt idx="109" formatCode="0">
                  <c:v>10.01347723642692</c:v>
                </c:pt>
                <c:pt idx="110" formatCode="0">
                  <c:v>10.27054558824005</c:v>
                </c:pt>
                <c:pt idx="111" formatCode="0">
                  <c:v>10.52368458678298</c:v>
                </c:pt>
                <c:pt idx="112" formatCode="0">
                  <c:v>10.77295429319124</c:v>
                </c:pt>
                <c:pt idx="113" formatCode="0">
                  <c:v>11.0184138505511</c:v>
                </c:pt>
                <c:pt idx="114" formatCode="0">
                  <c:v>11.2601214979321</c:v>
                </c:pt>
                <c:pt idx="115" formatCode="0">
                  <c:v>11.49813458420525</c:v>
                </c:pt>
                <c:pt idx="116" formatCode="0">
                  <c:v>11.73250958164987</c:v>
                </c:pt>
                <c:pt idx="117" formatCode="0">
                  <c:v>11.96330209935256</c:v>
                </c:pt>
                <c:pt idx="118" formatCode="0">
                  <c:v>12.19056689640128</c:v>
                </c:pt>
                <c:pt idx="119" formatCode="0">
                  <c:v>12.41435789487781</c:v>
                </c:pt>
                <c:pt idx="120" formatCode="0">
                  <c:v>12.63472819265157</c:v>
                </c:pt>
                <c:pt idx="121" formatCode="0">
                  <c:v>12.85173007597795</c:v>
                </c:pt>
                <c:pt idx="122" formatCode="0">
                  <c:v>13.06541503190398</c:v>
                </c:pt>
                <c:pt idx="123" formatCode="0">
                  <c:v>13.2758337604845</c:v>
                </c:pt>
                <c:pt idx="124" formatCode="0">
                  <c:v>13.48303618681144</c:v>
                </c:pt>
                <c:pt idx="125" formatCode="0">
                  <c:v>13.68707147285938</c:v>
                </c:pt>
                <c:pt idx="126" formatCode="0">
                  <c:v>13.88798802915</c:v>
                </c:pt>
                <c:pt idx="127" formatCode="0">
                  <c:v>14.08583352623813</c:v>
                </c:pt>
                <c:pt idx="128" formatCode="0">
                  <c:v>14.28065490602247</c:v>
                </c:pt>
                <c:pt idx="129" formatCode="0">
                  <c:v>14.47249839288316</c:v>
                </c:pt>
                <c:pt idx="130" formatCode="0">
                  <c:v>14.66140950464925</c:v>
                </c:pt>
                <c:pt idx="131" formatCode="0">
                  <c:v>14.84743306339857</c:v>
                </c:pt>
                <c:pt idx="132" formatCode="0">
                  <c:v>15.0306132060924</c:v>
                </c:pt>
                <c:pt idx="133" formatCode="0">
                  <c:v>15.21099339504763</c:v>
                </c:pt>
                <c:pt idx="134" formatCode="0">
                  <c:v>15.38861642824895</c:v>
                </c:pt>
                <c:pt idx="135" formatCode="0">
                  <c:v>15.56352444950326</c:v>
                </c:pt>
                <c:pt idx="136" formatCode="0">
                  <c:v>15.73575895843894</c:v>
                </c:pt>
                <c:pt idx="137" formatCode="0">
                  <c:v>15.90536082035233</c:v>
                </c:pt>
                <c:pt idx="138" formatCode="0">
                  <c:v>16.07237027590359</c:v>
                </c:pt>
                <c:pt idx="139" formatCode="0">
                  <c:v>16.23682695066446</c:v>
                </c:pt>
                <c:pt idx="140" formatCode="0">
                  <c:v>16.39876986452003</c:v>
                </c:pt>
                <c:pt idx="141" formatCode="0">
                  <c:v>16.5582374409268</c:v>
                </c:pt>
                <c:pt idx="142" formatCode="0">
                  <c:v>16.71526751602925</c:v>
                </c:pt>
                <c:pt idx="143" formatCode="0">
                  <c:v>16.86989734763702</c:v>
                </c:pt>
                <c:pt idx="144" formatCode="0">
                  <c:v>17.02216362406497</c:v>
                </c:pt>
                <c:pt idx="145" formatCode="0">
                  <c:v>17.17210247283796</c:v>
                </c:pt>
                <c:pt idx="146" formatCode="0">
                  <c:v>17.31974946926273</c:v>
                </c:pt>
                <c:pt idx="147" formatCode="0">
                  <c:v>17.46513964486866</c:v>
                </c:pt>
                <c:pt idx="148" formatCode="0">
                  <c:v>17.60830749571954</c:v>
                </c:pt>
                <c:pt idx="149" formatCode="0">
                  <c:v>17.74928699059833</c:v>
                </c:pt>
                <c:pt idx="150" formatCode="0">
                  <c:v>17.88811157906671</c:v>
                </c:pt>
                <c:pt idx="151" formatCode="0">
                  <c:v>18.02481419940157</c:v>
                </c:pt>
                <c:pt idx="152" formatCode="0">
                  <c:v>18.15942728641011</c:v>
                </c:pt>
                <c:pt idx="153" formatCode="0">
                  <c:v>18.29198277912546</c:v>
                </c:pt>
                <c:pt idx="154" formatCode="0">
                  <c:v>18.42251212838476</c:v>
                </c:pt>
                <c:pt idx="155" formatCode="0">
                  <c:v>18.55104630429132</c:v>
                </c:pt>
                <c:pt idx="156" formatCode="0">
                  <c:v>18.67761580356279</c:v>
                </c:pt>
                <c:pt idx="157" formatCode="0">
                  <c:v>18.80225065676692</c:v>
                </c:pt>
                <c:pt idx="158" formatCode="0">
                  <c:v>18.92498043544684</c:v>
                </c:pt>
                <c:pt idx="159" formatCode="0">
                  <c:v>19.04583425913734</c:v>
                </c:pt>
                <c:pt idx="160" formatCode="0">
                  <c:v>19.16484080227392</c:v>
                </c:pt>
                <c:pt idx="161" formatCode="0">
                  <c:v>18.28533619135505</c:v>
                </c:pt>
                <c:pt idx="162" formatCode="0">
                  <c:v>18.84740004223255</c:v>
                </c:pt>
                <c:pt idx="163" formatCode="0">
                  <c:v>19.40087260828276</c:v>
                </c:pt>
                <c:pt idx="164" formatCode="0">
                  <c:v>19.94588520941688</c:v>
                </c:pt>
                <c:pt idx="165" formatCode="0">
                  <c:v>20.48256715828881</c:v>
                </c:pt>
                <c:pt idx="166" formatCode="0">
                  <c:v>21.01104579097661</c:v>
                </c:pt>
                <c:pt idx="167" formatCode="0">
                  <c:v>21.53144649719489</c:v>
                </c:pt>
                <c:pt idx="168" formatCode="0">
                  <c:v>22.04389275004554</c:v>
                </c:pt>
                <c:pt idx="169" formatCode="0">
                  <c:v>22.54850613531353</c:v>
                </c:pt>
                <c:pt idx="170" formatCode="0">
                  <c:v>23.04540638031511</c:v>
                </c:pt>
                <c:pt idx="171" formatCode="0">
                  <c:v>23.53471138230491</c:v>
                </c:pt>
                <c:pt idx="172" formatCode="0">
                  <c:v>24.01653723644887</c:v>
                </c:pt>
                <c:pt idx="173" formatCode="0">
                  <c:v>24.49099826336966</c:v>
                </c:pt>
                <c:pt idx="174" formatCode="0">
                  <c:v>24.95820703627098</c:v>
                </c:pt>
                <c:pt idx="175" formatCode="0">
                  <c:v>25.4182744076473</c:v>
                </c:pt>
                <c:pt idx="176" formatCode="0">
                  <c:v>25.87130953558533</c:v>
                </c:pt>
                <c:pt idx="177" formatCode="0">
                  <c:v>26.31741990966345</c:v>
                </c:pt>
                <c:pt idx="178" formatCode="0">
                  <c:v>26.75671137645527</c:v>
                </c:pt>
                <c:pt idx="179" formatCode="0">
                  <c:v>27.18928816464338</c:v>
                </c:pt>
                <c:pt idx="180" formatCode="0">
                  <c:v>27.6152529097492</c:v>
                </c:pt>
                <c:pt idx="181" formatCode="0">
                  <c:v>28.03470667848487</c:v>
                </c:pt>
                <c:pt idx="182" formatCode="0">
                  <c:v>28.44774899273282</c:v>
                </c:pt>
                <c:pt idx="183" formatCode="0">
                  <c:v>28.85447785315895</c:v>
                </c:pt>
                <c:pt idx="184" formatCode="0">
                  <c:v>29.25498976246478</c:v>
                </c:pt>
                <c:pt idx="185" formatCode="0">
                  <c:v>29.64937974828417</c:v>
                </c:pt>
                <c:pt idx="186" formatCode="0">
                  <c:v>30.03774138573012</c:v>
                </c:pt>
                <c:pt idx="187" formatCode="0">
                  <c:v>30.42016681959691</c:v>
                </c:pt>
                <c:pt idx="188" formatCode="0">
                  <c:v>30.7967467862229</c:v>
                </c:pt>
                <c:pt idx="189" formatCode="0">
                  <c:v>31.16757063501906</c:v>
                </c:pt>
                <c:pt idx="190" formatCode="0">
                  <c:v>31.53272634966858</c:v>
                </c:pt>
                <c:pt idx="191" formatCode="0">
                  <c:v>31.89230056900227</c:v>
                </c:pt>
                <c:pt idx="192" formatCode="0">
                  <c:v>32.24637860755503</c:v>
                </c:pt>
                <c:pt idx="193" formatCode="0">
                  <c:v>32.59504447580802</c:v>
                </c:pt>
                <c:pt idx="194" formatCode="0">
                  <c:v>32.93838090012144</c:v>
                </c:pt>
                <c:pt idx="195" formatCode="0">
                  <c:v>33.27646934236262</c:v>
                </c:pt>
                <c:pt idx="196" formatCode="0">
                  <c:v>33.60939001923413</c:v>
                </c:pt>
                <c:pt idx="197" formatCode="0">
                  <c:v>33.93722192130641</c:v>
                </c:pt>
                <c:pt idx="198" formatCode="0">
                  <c:v>34.26004283175954</c:v>
                </c:pt>
                <c:pt idx="199" formatCode="0">
                  <c:v>34.57792934483848</c:v>
                </c:pt>
                <c:pt idx="200" formatCode="0">
                  <c:v>34.89095688402619</c:v>
                </c:pt>
                <c:pt idx="201" formatCode="0">
                  <c:v>35.19919971993908</c:v>
                </c:pt>
                <c:pt idx="202" formatCode="0">
                  <c:v>35.50273098794886</c:v>
                </c:pt>
                <c:pt idx="203" formatCode="0">
                  <c:v>35.80162270553498</c:v>
                </c:pt>
                <c:pt idx="204" formatCode="0">
                  <c:v>36.09594578937195</c:v>
                </c:pt>
                <c:pt idx="205" formatCode="0">
                  <c:v>36.38577007215537</c:v>
                </c:pt>
                <c:pt idx="206" formatCode="0">
                  <c:v>36.67116431917084</c:v>
                </c:pt>
                <c:pt idx="207" formatCode="0">
                  <c:v>36.95219624460959</c:v>
                </c:pt>
                <c:pt idx="208" formatCode="0">
                  <c:v>37.2289325276347</c:v>
                </c:pt>
                <c:pt idx="209" formatCode="0">
                  <c:v>37.50143882820174</c:v>
                </c:pt>
                <c:pt idx="210" formatCode="0">
                  <c:v>37.76977980263771</c:v>
                </c:pt>
                <c:pt idx="211" formatCode="0">
                  <c:v>38.03401911898161</c:v>
                </c:pt>
                <c:pt idx="212" formatCode="0">
                  <c:v>38.29421947209075</c:v>
                </c:pt>
                <c:pt idx="213" formatCode="0">
                  <c:v>38.55044259851607</c:v>
                </c:pt>
                <c:pt idx="214" formatCode="0">
                  <c:v>38.80274929115008</c:v>
                </c:pt>
                <c:pt idx="215" formatCode="0">
                  <c:v>39.05119941365086</c:v>
                </c:pt>
                <c:pt idx="216" formatCode="0">
                  <c:v>39.29585191464576</c:v>
                </c:pt>
                <c:pt idx="217" formatCode="0">
                  <c:v>39.53676484171774</c:v>
                </c:pt>
                <c:pt idx="218" formatCode="0">
                  <c:v>39.77399535517814</c:v>
                </c:pt>
                <c:pt idx="219" formatCode="0">
                  <c:v>40.00759974162881</c:v>
                </c:pt>
                <c:pt idx="220" formatCode="0">
                  <c:v>40.23763342731696</c:v>
                </c:pt>
                <c:pt idx="221" formatCode="0">
                  <c:v>40.46415099128597</c:v>
                </c:pt>
                <c:pt idx="222" formatCode="0">
                  <c:v>40.68720617832504</c:v>
                </c:pt>
                <c:pt idx="223" formatCode="0">
                  <c:v>40.90685191172095</c:v>
                </c:pt>
                <c:pt idx="224" formatCode="0">
                  <c:v>41.123140305815</c:v>
                </c:pt>
                <c:pt idx="225" formatCode="0">
                  <c:v>41.33612267836791</c:v>
                </c:pt>
                <c:pt idx="226" formatCode="0">
                  <c:v>41.54584956273574</c:v>
                </c:pt>
                <c:pt idx="227" formatCode="0">
                  <c:v>41.75237071985971</c:v>
                </c:pt>
                <c:pt idx="228" formatCode="0">
                  <c:v>41.95573515007278</c:v>
                </c:pt>
                <c:pt idx="229" formatCode="0">
                  <c:v>42.1559911047257</c:v>
                </c:pt>
                <c:pt idx="230" formatCode="0">
                  <c:v>42.3531860976354</c:v>
                </c:pt>
                <c:pt idx="231" formatCode="0">
                  <c:v>42.54736691635837</c:v>
                </c:pt>
                <c:pt idx="232" formatCode="0">
                  <c:v>42.73857963329176</c:v>
                </c:pt>
                <c:pt idx="233" formatCode="0">
                  <c:v>42.92686961660476</c:v>
                </c:pt>
                <c:pt idx="234" formatCode="0">
                  <c:v>43.11228154100284</c:v>
                </c:pt>
                <c:pt idx="235" formatCode="0">
                  <c:v>43.29485939832759</c:v>
                </c:pt>
                <c:pt idx="236" formatCode="0">
                  <c:v>43.47464650799444</c:v>
                </c:pt>
                <c:pt idx="237" formatCode="0">
                  <c:v>43.65168552727081</c:v>
                </c:pt>
                <c:pt idx="238" formatCode="0">
                  <c:v>43.82601846139731</c:v>
                </c:pt>
                <c:pt idx="239" formatCode="0">
                  <c:v>43.99768667355401</c:v>
                </c:pt>
                <c:pt idx="240" formatCode="0">
                  <c:v>44.1667308946746</c:v>
                </c:pt>
              </c:numCache>
            </c:numRef>
          </c:val>
        </c:ser>
        <c:ser>
          <c:idx val="7"/>
          <c:order val="7"/>
          <c:tx>
            <c:strRef>
              <c:f>'Even MixConT@40H@80U00'!$AN$77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cat>
            <c:numRef>
              <c:f>'Even MixConT@40H@80U00'!$AE$78:$AE$318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'Even MixConT@40H@80U00'!$AN$78:$AN$318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0.00900648411541453</c:v>
                </c:pt>
                <c:pt idx="42" formatCode="0">
                  <c:v>0.0178753018959328</c:v>
                </c:pt>
                <c:pt idx="43" formatCode="0">
                  <c:v>0.0266085576054963</c:v>
                </c:pt>
                <c:pt idx="44" formatCode="0">
                  <c:v>0.0352083233438524</c:v>
                </c:pt>
                <c:pt idx="45" formatCode="0">
                  <c:v>0.0436766395381917</c:v>
                </c:pt>
                <c:pt idx="46" formatCode="0">
                  <c:v>0.0520155154272712</c:v>
                </c:pt>
                <c:pt idx="47" formatCode="0">
                  <c:v>0.0602269295381369</c:v>
                </c:pt>
                <c:pt idx="48" formatCode="0">
                  <c:v>0.0683128301555604</c:v>
                </c:pt>
                <c:pt idx="49" formatCode="0">
                  <c:v>0.0762751357842989</c:v>
                </c:pt>
                <c:pt idx="50" formatCode="0">
                  <c:v>0.0841157356042907</c:v>
                </c:pt>
                <c:pt idx="51" formatCode="0">
                  <c:v>0.0918364899188915</c:v>
                </c:pt>
                <c:pt idx="52" formatCode="0">
                  <c:v>0.0994392305962611</c:v>
                </c:pt>
                <c:pt idx="53" formatCode="0">
                  <c:v>0.106925761504002</c:v>
                </c:pt>
                <c:pt idx="54" formatCode="0">
                  <c:v>0.114297858937153</c:v>
                </c:pt>
                <c:pt idx="55" formatCode="0">
                  <c:v>0.121557272039648</c:v>
                </c:pt>
                <c:pt idx="56" formatCode="0">
                  <c:v>0.12870572321932</c:v>
                </c:pt>
                <c:pt idx="57" formatCode="0">
                  <c:v>0.135744908556574</c:v>
                </c:pt>
                <c:pt idx="58" formatCode="0">
                  <c:v>0.142676498206809</c:v>
                </c:pt>
                <c:pt idx="59" formatCode="0">
                  <c:v>0.149502136796682</c:v>
                </c:pt>
                <c:pt idx="60" formatCode="0">
                  <c:v>0.156223443814329</c:v>
                </c:pt>
                <c:pt idx="61" formatCode="0">
                  <c:v>0.162842013993607</c:v>
                </c:pt>
                <c:pt idx="62" formatCode="0">
                  <c:v>0.169359417692475</c:v>
                </c:pt>
                <c:pt idx="63" formatCode="0">
                  <c:v>0.175777201265579</c:v>
                </c:pt>
                <c:pt idx="64" formatCode="0">
                  <c:v>0.182096887431155</c:v>
                </c:pt>
                <c:pt idx="65" formatCode="0">
                  <c:v>0.188319975632313</c:v>
                </c:pt>
                <c:pt idx="66" formatCode="0">
                  <c:v>0.194447942392806</c:v>
                </c:pt>
                <c:pt idx="67" formatCode="0">
                  <c:v>0.200482241667355</c:v>
                </c:pt>
                <c:pt idx="68" formatCode="0">
                  <c:v>0.206424305186625</c:v>
                </c:pt>
                <c:pt idx="69" formatCode="0">
                  <c:v>0.212275542796923</c:v>
                </c:pt>
                <c:pt idx="70" formatCode="0">
                  <c:v>0.218037342794709</c:v>
                </c:pt>
                <c:pt idx="71" formatCode="0">
                  <c:v>0.223711072255986</c:v>
                </c:pt>
                <c:pt idx="72" formatCode="0">
                  <c:v>0.229298077360665</c:v>
                </c:pt>
                <c:pt idx="73" formatCode="0">
                  <c:v>0.234799683711962</c:v>
                </c:pt>
                <c:pt idx="74" formatCode="0">
                  <c:v>0.240217196650921</c:v>
                </c:pt>
                <c:pt idx="75" formatCode="0">
                  <c:v>0.245551901566128</c:v>
                </c:pt>
                <c:pt idx="76" formatCode="0">
                  <c:v>0.250805064198684</c:v>
                </c:pt>
                <c:pt idx="77" formatCode="0">
                  <c:v>0.255977930942526</c:v>
                </c:pt>
                <c:pt idx="78" formatCode="0">
                  <c:v>0.261071729140151</c:v>
                </c:pt>
                <c:pt idx="79" formatCode="0">
                  <c:v>0.266087667373823</c:v>
                </c:pt>
                <c:pt idx="80" formatCode="0">
                  <c:v>0.271026935752328</c:v>
                </c:pt>
                <c:pt idx="81" formatCode="0">
                  <c:v>0.471742776202486</c:v>
                </c:pt>
                <c:pt idx="82" formatCode="0">
                  <c:v>0.66939062544139</c:v>
                </c:pt>
                <c:pt idx="83" formatCode="0">
                  <c:v>0.864017378472699</c:v>
                </c:pt>
                <c:pt idx="84" formatCode="0">
                  <c:v>1.055669213498354</c:v>
                </c:pt>
                <c:pt idx="85" formatCode="0">
                  <c:v>1.244391602875074</c:v>
                </c:pt>
                <c:pt idx="86" formatCode="0">
                  <c:v>1.430229323903366</c:v>
                </c:pt>
                <c:pt idx="87" formatCode="0">
                  <c:v>1.613226469451638</c:v>
                </c:pt>
                <c:pt idx="88" formatCode="0">
                  <c:v>1.79342645841791</c:v>
                </c:pt>
                <c:pt idx="89" formatCode="0">
                  <c:v>1.970872046031621</c:v>
                </c:pt>
                <c:pt idx="90" formatCode="0">
                  <c:v>2.145605333997962</c:v>
                </c:pt>
                <c:pt idx="91" formatCode="0">
                  <c:v>2.317667780487156</c:v>
                </c:pt>
                <c:pt idx="92" formatCode="0">
                  <c:v>2.487100209971057</c:v>
                </c:pt>
                <c:pt idx="93" formatCode="0">
                  <c:v>2.653942822909379</c:v>
                </c:pt>
                <c:pt idx="94" formatCode="0">
                  <c:v>2.818235205287872</c:v>
                </c:pt>
                <c:pt idx="95" formatCode="0">
                  <c:v>2.980016338010718</c:v>
                </c:pt>
                <c:pt idx="96" formatCode="0">
                  <c:v>3.13932460614935</c:v>
                </c:pt>
                <c:pt idx="97" formatCode="0">
                  <c:v>3.296197808049893</c:v>
                </c:pt>
                <c:pt idx="98" formatCode="0">
                  <c:v>3.450673164301421</c:v>
                </c:pt>
                <c:pt idx="99" formatCode="0">
                  <c:v>3.602787326567103</c:v>
                </c:pt>
                <c:pt idx="100" formatCode="0">
                  <c:v>3.752576386280381</c:v>
                </c:pt>
                <c:pt idx="101" formatCode="0">
                  <c:v>3.900075883208223</c:v>
                </c:pt>
                <c:pt idx="102" formatCode="0">
                  <c:v>4.045320813883474</c:v>
                </c:pt>
                <c:pt idx="103" formatCode="0">
                  <c:v>4.188345639908334</c:v>
                </c:pt>
                <c:pt idx="104" formatCode="0">
                  <c:v>4.329184296130895</c:v>
                </c:pt>
                <c:pt idx="105" formatCode="0">
                  <c:v>4.46787019869671</c:v>
                </c:pt>
                <c:pt idx="106" formatCode="0">
                  <c:v>4.604436252977294</c:v>
                </c:pt>
                <c:pt idx="107" formatCode="0">
                  <c:v>4.738914861377433</c:v>
                </c:pt>
                <c:pt idx="108" formatCode="0">
                  <c:v>4.871337931023137</c:v>
                </c:pt>
                <c:pt idx="109" formatCode="0">
                  <c:v>5.00173688133213</c:v>
                </c:pt>
                <c:pt idx="110" formatCode="0">
                  <c:v>5.130142651468557</c:v>
                </c:pt>
                <c:pt idx="111" formatCode="0">
                  <c:v>5.256585707683804</c:v>
                </c:pt>
                <c:pt idx="112" formatCode="0">
                  <c:v>5.381096050545075</c:v>
                </c:pt>
                <c:pt idx="113" formatCode="0">
                  <c:v>5.503703222053494</c:v>
                </c:pt>
                <c:pt idx="114" formatCode="0">
                  <c:v>5.624436312653397</c:v>
                </c:pt>
                <c:pt idx="115" formatCode="0">
                  <c:v>5.74332396813449</c:v>
                </c:pt>
                <c:pt idx="116" formatCode="0">
                  <c:v>5.860394396428506</c:v>
                </c:pt>
                <c:pt idx="117" formatCode="0">
                  <c:v>5.975675374301978</c:v>
                </c:pt>
                <c:pt idx="118" formatCode="0">
                  <c:v>6.089194253946695</c:v>
                </c:pt>
                <c:pt idx="119" formatCode="0">
                  <c:v>6.200977969469434</c:v>
                </c:pt>
                <c:pt idx="120" formatCode="0">
                  <c:v>6.3110530432825</c:v>
                </c:pt>
                <c:pt idx="121" formatCode="0">
                  <c:v>6.419445592396573</c:v>
                </c:pt>
                <c:pt idx="122" formatCode="0">
                  <c:v>6.526181334617373</c:v>
                </c:pt>
                <c:pt idx="123" formatCode="0">
                  <c:v>6.631285594647599</c:v>
                </c:pt>
                <c:pt idx="124" formatCode="0">
                  <c:v>6.73478331009562</c:v>
                </c:pt>
                <c:pt idx="125" formatCode="0">
                  <c:v>6.836699037392295</c:v>
                </c:pt>
                <c:pt idx="126" formatCode="0">
                  <c:v>6.937056957617374</c:v>
                </c:pt>
                <c:pt idx="127" formatCode="0">
                  <c:v>7.035880882236826</c:v>
                </c:pt>
                <c:pt idx="128" formatCode="0">
                  <c:v>7.13319425875248</c:v>
                </c:pt>
                <c:pt idx="129" formatCode="0">
                  <c:v>7.229020176265307</c:v>
                </c:pt>
                <c:pt idx="130" formatCode="0">
                  <c:v>7.323381370953669</c:v>
                </c:pt>
                <c:pt idx="131" formatCode="0">
                  <c:v>7.416300231467813</c:v>
                </c:pt>
                <c:pt idx="132" formatCode="0">
                  <c:v>7.507798804241951</c:v>
                </c:pt>
                <c:pt idx="133" formatCode="0">
                  <c:v>7.597898798725088</c:v>
                </c:pt>
                <c:pt idx="134" formatCode="0">
                  <c:v>7.686621592531942</c:v>
                </c:pt>
                <c:pt idx="135" formatCode="0">
                  <c:v>7.773988236515113</c:v>
                </c:pt>
                <c:pt idx="136" formatCode="0">
                  <c:v>7.86001945975971</c:v>
                </c:pt>
                <c:pt idx="137" formatCode="0">
                  <c:v>7.94473567450166</c:v>
                </c:pt>
                <c:pt idx="138" formatCode="0">
                  <c:v>8.02815698097082</c:v>
                </c:pt>
                <c:pt idx="139" formatCode="0">
                  <c:v>8.110303172160068</c:v>
                </c:pt>
                <c:pt idx="140" formatCode="0">
                  <c:v>8.191193738521491</c:v>
                </c:pt>
                <c:pt idx="141" formatCode="0">
                  <c:v>8.270847872590807</c:v>
                </c:pt>
                <c:pt idx="142" formatCode="0">
                  <c:v>8.349284473541077</c:v>
                </c:pt>
                <c:pt idx="143" formatCode="0">
                  <c:v>8.42652215166684</c:v>
                </c:pt>
                <c:pt idx="144" formatCode="0">
                  <c:v>8.50257923279968</c:v>
                </c:pt>
                <c:pt idx="145" formatCode="0">
                  <c:v>8.577473762656322</c:v>
                </c:pt>
                <c:pt idx="146" formatCode="0">
                  <c:v>8.651223511120242</c:v>
                </c:pt>
                <c:pt idx="147" formatCode="0">
                  <c:v>8.72384597645787</c:v>
                </c:pt>
                <c:pt idx="148" formatCode="0">
                  <c:v>8.7953583894703</c:v>
                </c:pt>
                <c:pt idx="149" formatCode="0">
                  <c:v>8.86577771758158</c:v>
                </c:pt>
                <c:pt idx="150" formatCode="0">
                  <c:v>8.935120668864485</c:v>
                </c:pt>
                <c:pt idx="151" formatCode="0">
                  <c:v>9.003403696004777</c:v>
                </c:pt>
                <c:pt idx="152" formatCode="0">
                  <c:v>9.070643000204848</c:v>
                </c:pt>
                <c:pt idx="153" formatCode="0">
                  <c:v>9.1368545350277</c:v>
                </c:pt>
                <c:pt idx="154" formatCode="0">
                  <c:v>9.202054010182195</c:v>
                </c:pt>
                <c:pt idx="155" formatCode="0">
                  <c:v>9.26625689525041</c:v>
                </c:pt>
                <c:pt idx="156" formatCode="0">
                  <c:v>9.329478423358035</c:v>
                </c:pt>
                <c:pt idx="157" formatCode="0">
                  <c:v>9.39173359478867</c:v>
                </c:pt>
                <c:pt idx="158" formatCode="0">
                  <c:v>9.45303718054288</c:v>
                </c:pt>
                <c:pt idx="159" formatCode="0">
                  <c:v>9.513403725842831</c:v>
                </c:pt>
                <c:pt idx="160" formatCode="0">
                  <c:v>9.572847553583377</c:v>
                </c:pt>
                <c:pt idx="161" formatCode="0">
                  <c:v>9.133534561116412</c:v>
                </c:pt>
                <c:pt idx="162" formatCode="0">
                  <c:v>9.414285735380897</c:v>
                </c:pt>
                <c:pt idx="163" formatCode="0">
                  <c:v>9.690745558582795</c:v>
                </c:pt>
                <c:pt idx="164" formatCode="0">
                  <c:v>9.962979625083354</c:v>
                </c:pt>
                <c:pt idx="165" formatCode="0">
                  <c:v>10.23105252661778</c:v>
                </c:pt>
                <c:pt idx="166" formatCode="0">
                  <c:v>10.49502786762068</c:v>
                </c:pt>
                <c:pt idx="167" formatCode="0">
                  <c:v>10.75496828031713</c:v>
                </c:pt>
                <c:pt idx="168" formatCode="0">
                  <c:v>11.01093543958318</c:v>
                </c:pt>
                <c:pt idx="169" formatCode="0">
                  <c:v>11.26299007757918</c:v>
                </c:pt>
                <c:pt idx="170" formatCode="0">
                  <c:v>11.5111919981594</c:v>
                </c:pt>
                <c:pt idx="171" formatCode="0">
                  <c:v>11.7556000910614</c:v>
                </c:pt>
                <c:pt idx="172" formatCode="0">
                  <c:v>11.99627234587855</c:v>
                </c:pt>
                <c:pt idx="173" formatCode="0">
                  <c:v>12.23326586581901</c:v>
                </c:pt>
                <c:pt idx="174" formatCode="0">
                  <c:v>12.46663688125424</c:v>
                </c:pt>
                <c:pt idx="175" formatCode="0">
                  <c:v>12.69644076306059</c:v>
                </c:pt>
                <c:pt idx="176" formatCode="0">
                  <c:v>12.92273203575691</c:v>
                </c:pt>
                <c:pt idx="177" formatCode="0">
                  <c:v>13.14556439044128</c:v>
                </c:pt>
                <c:pt idx="178" formatCode="0">
                  <c:v>13.3649906975301</c:v>
                </c:pt>
                <c:pt idx="179" formatCode="0">
                  <c:v>13.58106301930238</c:v>
                </c:pt>
                <c:pt idx="180" formatCode="0">
                  <c:v>13.79383262225235</c:v>
                </c:pt>
                <c:pt idx="181" formatCode="0">
                  <c:v>14.00334998925318</c:v>
                </c:pt>
                <c:pt idx="182" formatCode="0">
                  <c:v>14.20966483153487</c:v>
                </c:pt>
                <c:pt idx="183" formatCode="0">
                  <c:v>14.41282610047899</c:v>
                </c:pt>
                <c:pt idx="184" formatCode="0">
                  <c:v>14.61288199923315</c:v>
                </c:pt>
                <c:pt idx="185" formatCode="0">
                  <c:v>14.80987999414793</c:v>
                </c:pt>
                <c:pt idx="186" formatCode="0">
                  <c:v>15.00386682603902</c:v>
                </c:pt>
                <c:pt idx="187" formatCode="0">
                  <c:v>15.19488852127717</c:v>
                </c:pt>
                <c:pt idx="188" formatCode="0">
                  <c:v>15.38299040270874</c:v>
                </c:pt>
                <c:pt idx="189" formatCode="0">
                  <c:v>15.56821710040912</c:v>
                </c:pt>
                <c:pt idx="190" formatCode="0">
                  <c:v>15.75061256227201</c:v>
                </c:pt>
                <c:pt idx="191" formatCode="0">
                  <c:v>15.93022006443669</c:v>
                </c:pt>
                <c:pt idx="192" formatCode="0">
                  <c:v>16.10708222155596</c:v>
                </c:pt>
                <c:pt idx="193" formatCode="0">
                  <c:v>16.2812409969071</c:v>
                </c:pt>
                <c:pt idx="194" formatCode="0">
                  <c:v>16.45273771234837</c:v>
                </c:pt>
                <c:pt idx="195" formatCode="0">
                  <c:v>16.62161305812318</c:v>
                </c:pt>
                <c:pt idx="196" formatCode="0">
                  <c:v>16.78790710251454</c:v>
                </c:pt>
                <c:pt idx="197" formatCode="0">
                  <c:v>16.95165930135185</c:v>
                </c:pt>
                <c:pt idx="198" formatCode="0">
                  <c:v>17.1129085073724</c:v>
                </c:pt>
                <c:pt idx="199" formatCode="0">
                  <c:v>17.2716929794398</c:v>
                </c:pt>
                <c:pt idx="200" formatCode="0">
                  <c:v>17.42805039162147</c:v>
                </c:pt>
                <c:pt idx="201" formatCode="0">
                  <c:v>17.58201784212741</c:v>
                </c:pt>
                <c:pt idx="202" formatCode="0">
                  <c:v>17.73363186211231</c:v>
                </c:pt>
                <c:pt idx="203" formatCode="0">
                  <c:v>17.88292842434314</c:v>
                </c:pt>
                <c:pt idx="204" formatCode="0">
                  <c:v>18.02994295173423</c:v>
                </c:pt>
                <c:pt idx="205" formatCode="0">
                  <c:v>18.17471032575192</c:v>
                </c:pt>
                <c:pt idx="206" formatCode="0">
                  <c:v>18.31726489469072</c:v>
                </c:pt>
                <c:pt idx="207" formatCode="0">
                  <c:v>18.45764048182296</c:v>
                </c:pt>
                <c:pt idx="208" formatCode="0">
                  <c:v>18.59587039342392</c:v>
                </c:pt>
                <c:pt idx="209" formatCode="0">
                  <c:v>18.7319874266742</c:v>
                </c:pt>
                <c:pt idx="210" formatCode="0">
                  <c:v>18.86602387744141</c:v>
                </c:pt>
                <c:pt idx="211" formatCode="0">
                  <c:v>18.99801154794285</c:v>
                </c:pt>
                <c:pt idx="212" formatCode="0">
                  <c:v>19.12798175429107</c:v>
                </c:pt>
                <c:pt idx="213" formatCode="0">
                  <c:v>19.25596533392411</c:v>
                </c:pt>
                <c:pt idx="214" formatCode="0">
                  <c:v>19.38199265292211</c:v>
                </c:pt>
                <c:pt idx="215" formatCode="0">
                  <c:v>19.50609361321221</c:v>
                </c:pt>
                <c:pt idx="216" formatCode="0">
                  <c:v>19.62829765966321</c:v>
                </c:pt>
                <c:pt idx="217" formatCode="0">
                  <c:v>19.74863378707179</c:v>
                </c:pt>
                <c:pt idx="218" formatCode="0">
                  <c:v>19.86713054704202</c:v>
                </c:pt>
                <c:pt idx="219" formatCode="0">
                  <c:v>19.98381605475963</c:v>
                </c:pt>
                <c:pt idx="220" formatCode="0">
                  <c:v>20.09871799566281</c:v>
                </c:pt>
                <c:pt idx="221" formatCode="0">
                  <c:v>20.21186363201096</c:v>
                </c:pt>
                <c:pt idx="222" formatCode="0">
                  <c:v>20.32327980935315</c:v>
                </c:pt>
                <c:pt idx="223" formatCode="0">
                  <c:v>20.43299296289756</c:v>
                </c:pt>
                <c:pt idx="224" formatCode="0">
                  <c:v>20.54102912378371</c:v>
                </c:pt>
                <c:pt idx="225" formatCode="0">
                  <c:v>20.64741392525869</c:v>
                </c:pt>
                <c:pt idx="226" formatCode="0">
                  <c:v>20.7521726087591</c:v>
                </c:pt>
                <c:pt idx="227" formatCode="0">
                  <c:v>20.85533002989995</c:v>
                </c:pt>
                <c:pt idx="228" formatCode="0">
                  <c:v>20.95691066437201</c:v>
                </c:pt>
                <c:pt idx="229" formatCode="0">
                  <c:v>21.05693861374909</c:v>
                </c:pt>
                <c:pt idx="230" formatCode="0">
                  <c:v>21.15543761120648</c:v>
                </c:pt>
                <c:pt idx="231" formatCode="0">
                  <c:v>21.25243102715202</c:v>
                </c:pt>
                <c:pt idx="232" formatCode="0">
                  <c:v>21.3479418747711</c:v>
                </c:pt>
                <c:pt idx="233" formatCode="0">
                  <c:v>21.44199281548688</c:v>
                </c:pt>
                <c:pt idx="234" formatCode="0">
                  <c:v>21.53460616433707</c:v>
                </c:pt>
                <c:pt idx="235" formatCode="0">
                  <c:v>21.62580389526852</c:v>
                </c:pt>
                <c:pt idx="236" formatCode="0">
                  <c:v>21.71560764635086</c:v>
                </c:pt>
                <c:pt idx="237" formatCode="0">
                  <c:v>21.8040387249105</c:v>
                </c:pt>
                <c:pt idx="238" formatCode="0">
                  <c:v>21.89111811258606</c:v>
                </c:pt>
                <c:pt idx="239" formatCode="0">
                  <c:v>21.9768664703067</c:v>
                </c:pt>
                <c:pt idx="240" formatCode="0">
                  <c:v>22.0613041431941</c:v>
                </c:pt>
              </c:numCache>
            </c:numRef>
          </c:val>
        </c:ser>
        <c:ser>
          <c:idx val="8"/>
          <c:order val="8"/>
          <c:tx>
            <c:strRef>
              <c:f>'Even MixConT@40H@80U00'!$AO$77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bg1"/>
              </a:fgClr>
              <a:bgClr>
                <a:schemeClr val="accent6"/>
              </a:bgClr>
            </a:pattFill>
          </c:spPr>
          <c:invertIfNegative val="0"/>
          <c:cat>
            <c:numRef>
              <c:f>'Even MixConT@40H@80U00'!$AE$78:$AE$318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'Even MixConT@40H@80U00'!$AO$78:$AO$318</c:f>
              <c:numCache>
                <c:formatCode>General</c:formatCode>
                <c:ptCount val="241"/>
                <c:pt idx="40" formatCode="0">
                  <c:v>1.343438133191928</c:v>
                </c:pt>
                <c:pt idx="41" formatCode="0">
                  <c:v>1.343438133191928</c:v>
                </c:pt>
                <c:pt idx="42" formatCode="0">
                  <c:v>1.343438133191928</c:v>
                </c:pt>
                <c:pt idx="43" formatCode="0">
                  <c:v>1.343438133191928</c:v>
                </c:pt>
                <c:pt idx="44" formatCode="0">
                  <c:v>1.343438133191928</c:v>
                </c:pt>
                <c:pt idx="45" formatCode="0">
                  <c:v>1.343438133191928</c:v>
                </c:pt>
                <c:pt idx="46" formatCode="0">
                  <c:v>1.343438133191928</c:v>
                </c:pt>
                <c:pt idx="47" formatCode="0">
                  <c:v>1.343438133191928</c:v>
                </c:pt>
                <c:pt idx="48" formatCode="0">
                  <c:v>1.343438133191928</c:v>
                </c:pt>
                <c:pt idx="49" formatCode="0">
                  <c:v>1.343438133191928</c:v>
                </c:pt>
                <c:pt idx="50" formatCode="0">
                  <c:v>1.343438133191928</c:v>
                </c:pt>
                <c:pt idx="51" formatCode="0">
                  <c:v>1.343438133191928</c:v>
                </c:pt>
                <c:pt idx="52" formatCode="0">
                  <c:v>1.343438133191928</c:v>
                </c:pt>
                <c:pt idx="53" formatCode="0">
                  <c:v>1.343438133191928</c:v>
                </c:pt>
                <c:pt idx="54" formatCode="0">
                  <c:v>1.343438133191928</c:v>
                </c:pt>
                <c:pt idx="55" formatCode="0">
                  <c:v>1.343438133191928</c:v>
                </c:pt>
                <c:pt idx="56" formatCode="0">
                  <c:v>1.343438133191928</c:v>
                </c:pt>
                <c:pt idx="57" formatCode="0">
                  <c:v>1.343438133191928</c:v>
                </c:pt>
                <c:pt idx="58" formatCode="0">
                  <c:v>1.343438133191928</c:v>
                </c:pt>
                <c:pt idx="59" formatCode="0">
                  <c:v>1.343438133191928</c:v>
                </c:pt>
                <c:pt idx="60" formatCode="0">
                  <c:v>1.343438133191928</c:v>
                </c:pt>
                <c:pt idx="61" formatCode="0">
                  <c:v>1.343438133191928</c:v>
                </c:pt>
                <c:pt idx="62" formatCode="0">
                  <c:v>1.343438133191928</c:v>
                </c:pt>
                <c:pt idx="63" formatCode="0">
                  <c:v>1.343438133191928</c:v>
                </c:pt>
                <c:pt idx="64" formatCode="0">
                  <c:v>1.343438133191928</c:v>
                </c:pt>
                <c:pt idx="65" formatCode="0">
                  <c:v>1.343438133191928</c:v>
                </c:pt>
                <c:pt idx="66" formatCode="0">
                  <c:v>1.343438133191928</c:v>
                </c:pt>
                <c:pt idx="67" formatCode="0">
                  <c:v>1.343438133191928</c:v>
                </c:pt>
                <c:pt idx="68" formatCode="0">
                  <c:v>1.343438133191928</c:v>
                </c:pt>
                <c:pt idx="69" formatCode="0">
                  <c:v>1.343438133191928</c:v>
                </c:pt>
                <c:pt idx="70" formatCode="0">
                  <c:v>1.343438133191928</c:v>
                </c:pt>
                <c:pt idx="71" formatCode="0">
                  <c:v>1.343438133191928</c:v>
                </c:pt>
                <c:pt idx="72" formatCode="0">
                  <c:v>1.343438133191928</c:v>
                </c:pt>
                <c:pt idx="73" formatCode="0">
                  <c:v>1.343438133191928</c:v>
                </c:pt>
                <c:pt idx="74" formatCode="0">
                  <c:v>1.343438133191928</c:v>
                </c:pt>
                <c:pt idx="75" formatCode="0">
                  <c:v>1.343438133191928</c:v>
                </c:pt>
                <c:pt idx="76" formatCode="0">
                  <c:v>1.343438133191928</c:v>
                </c:pt>
                <c:pt idx="77" formatCode="0">
                  <c:v>1.343438133191928</c:v>
                </c:pt>
                <c:pt idx="78" formatCode="0">
                  <c:v>1.343438133191928</c:v>
                </c:pt>
                <c:pt idx="79" formatCode="0">
                  <c:v>1.343438133191928</c:v>
                </c:pt>
                <c:pt idx="80" formatCode="0">
                  <c:v>23.25391418104315</c:v>
                </c:pt>
                <c:pt idx="81" formatCode="0">
                  <c:v>23.25391418104315</c:v>
                </c:pt>
                <c:pt idx="82" formatCode="0">
                  <c:v>23.25391418104315</c:v>
                </c:pt>
                <c:pt idx="83" formatCode="0">
                  <c:v>23.25391418104315</c:v>
                </c:pt>
                <c:pt idx="84" formatCode="0">
                  <c:v>23.25391418104315</c:v>
                </c:pt>
                <c:pt idx="85" formatCode="0">
                  <c:v>23.25391418104315</c:v>
                </c:pt>
                <c:pt idx="86" formatCode="0">
                  <c:v>23.25391418104315</c:v>
                </c:pt>
                <c:pt idx="87" formatCode="0">
                  <c:v>23.25391418104315</c:v>
                </c:pt>
                <c:pt idx="88" formatCode="0">
                  <c:v>23.25391418104315</c:v>
                </c:pt>
                <c:pt idx="89" formatCode="0">
                  <c:v>23.25391418104315</c:v>
                </c:pt>
                <c:pt idx="90" formatCode="0">
                  <c:v>23.25391418104315</c:v>
                </c:pt>
                <c:pt idx="91" formatCode="0">
                  <c:v>23.25391418104315</c:v>
                </c:pt>
                <c:pt idx="92" formatCode="0">
                  <c:v>23.25391418104315</c:v>
                </c:pt>
                <c:pt idx="93" formatCode="0">
                  <c:v>23.25391418104315</c:v>
                </c:pt>
                <c:pt idx="94" formatCode="0">
                  <c:v>23.25391418104315</c:v>
                </c:pt>
                <c:pt idx="95" formatCode="0">
                  <c:v>23.25391418104315</c:v>
                </c:pt>
                <c:pt idx="96" formatCode="0">
                  <c:v>23.25391418104315</c:v>
                </c:pt>
                <c:pt idx="97" formatCode="0">
                  <c:v>23.25391418104315</c:v>
                </c:pt>
                <c:pt idx="98" formatCode="0">
                  <c:v>23.25391418104315</c:v>
                </c:pt>
                <c:pt idx="99" formatCode="0">
                  <c:v>23.25391418104315</c:v>
                </c:pt>
                <c:pt idx="100" formatCode="0">
                  <c:v>23.25391418104315</c:v>
                </c:pt>
                <c:pt idx="101" formatCode="0">
                  <c:v>23.25391418104315</c:v>
                </c:pt>
                <c:pt idx="102" formatCode="0">
                  <c:v>23.25391418104315</c:v>
                </c:pt>
                <c:pt idx="103" formatCode="0">
                  <c:v>23.25391418104315</c:v>
                </c:pt>
                <c:pt idx="104" formatCode="0">
                  <c:v>23.25391418104315</c:v>
                </c:pt>
                <c:pt idx="105" formatCode="0">
                  <c:v>23.25391418104315</c:v>
                </c:pt>
                <c:pt idx="106" formatCode="0">
                  <c:v>23.25391418104315</c:v>
                </c:pt>
                <c:pt idx="107" formatCode="0">
                  <c:v>23.25391418104315</c:v>
                </c:pt>
                <c:pt idx="108" formatCode="0">
                  <c:v>23.25391418104315</c:v>
                </c:pt>
                <c:pt idx="109" formatCode="0">
                  <c:v>23.25391418104315</c:v>
                </c:pt>
                <c:pt idx="110" formatCode="0">
                  <c:v>23.25391418104315</c:v>
                </c:pt>
                <c:pt idx="111" formatCode="0">
                  <c:v>23.25391418104315</c:v>
                </c:pt>
                <c:pt idx="112" formatCode="0">
                  <c:v>23.25391418104315</c:v>
                </c:pt>
                <c:pt idx="113" formatCode="0">
                  <c:v>23.25391418104315</c:v>
                </c:pt>
                <c:pt idx="114" formatCode="0">
                  <c:v>23.25391418104315</c:v>
                </c:pt>
                <c:pt idx="115" formatCode="0">
                  <c:v>23.25391418104315</c:v>
                </c:pt>
                <c:pt idx="116" formatCode="0">
                  <c:v>23.25391418104315</c:v>
                </c:pt>
                <c:pt idx="117" formatCode="0">
                  <c:v>23.25391418104315</c:v>
                </c:pt>
                <c:pt idx="118" formatCode="0">
                  <c:v>23.25391418104315</c:v>
                </c:pt>
                <c:pt idx="119" formatCode="0">
                  <c:v>23.25391418104315</c:v>
                </c:pt>
                <c:pt idx="120" formatCode="0">
                  <c:v>23.25391418104315</c:v>
                </c:pt>
                <c:pt idx="121" formatCode="0">
                  <c:v>23.25391418104315</c:v>
                </c:pt>
                <c:pt idx="122" formatCode="0">
                  <c:v>23.25391418104315</c:v>
                </c:pt>
                <c:pt idx="123" formatCode="0">
                  <c:v>23.25391418104315</c:v>
                </c:pt>
                <c:pt idx="124" formatCode="0">
                  <c:v>23.25391418104315</c:v>
                </c:pt>
                <c:pt idx="125" formatCode="0">
                  <c:v>23.25391418104315</c:v>
                </c:pt>
                <c:pt idx="126" formatCode="0">
                  <c:v>23.25391418104315</c:v>
                </c:pt>
                <c:pt idx="127" formatCode="0">
                  <c:v>23.25391418104315</c:v>
                </c:pt>
                <c:pt idx="128" formatCode="0">
                  <c:v>23.25391418104315</c:v>
                </c:pt>
                <c:pt idx="129" formatCode="0">
                  <c:v>23.25391418104315</c:v>
                </c:pt>
                <c:pt idx="130" formatCode="0">
                  <c:v>23.25391418104315</c:v>
                </c:pt>
                <c:pt idx="131" formatCode="0">
                  <c:v>23.25391418104315</c:v>
                </c:pt>
                <c:pt idx="132" formatCode="0">
                  <c:v>23.25391418104315</c:v>
                </c:pt>
                <c:pt idx="133" formatCode="0">
                  <c:v>23.25391418104315</c:v>
                </c:pt>
                <c:pt idx="134" formatCode="0">
                  <c:v>23.25391418104315</c:v>
                </c:pt>
                <c:pt idx="135" formatCode="0">
                  <c:v>23.25391418104315</c:v>
                </c:pt>
                <c:pt idx="136" formatCode="0">
                  <c:v>23.25391418104315</c:v>
                </c:pt>
                <c:pt idx="137" formatCode="0">
                  <c:v>23.25391418104315</c:v>
                </c:pt>
                <c:pt idx="138" formatCode="0">
                  <c:v>23.25391418104315</c:v>
                </c:pt>
                <c:pt idx="139" formatCode="0">
                  <c:v>23.25391418104315</c:v>
                </c:pt>
                <c:pt idx="140" formatCode="0">
                  <c:v>23.25391418104315</c:v>
                </c:pt>
                <c:pt idx="141" formatCode="0">
                  <c:v>23.25391418104315</c:v>
                </c:pt>
                <c:pt idx="142" formatCode="0">
                  <c:v>23.25391418104315</c:v>
                </c:pt>
                <c:pt idx="143" formatCode="0">
                  <c:v>23.25391418104315</c:v>
                </c:pt>
                <c:pt idx="144" formatCode="0">
                  <c:v>23.25391418104315</c:v>
                </c:pt>
                <c:pt idx="145" formatCode="0">
                  <c:v>23.25391418104315</c:v>
                </c:pt>
                <c:pt idx="146" formatCode="0">
                  <c:v>23.25391418104315</c:v>
                </c:pt>
                <c:pt idx="147" formatCode="0">
                  <c:v>23.25391418104315</c:v>
                </c:pt>
                <c:pt idx="148" formatCode="0">
                  <c:v>23.25391418104315</c:v>
                </c:pt>
                <c:pt idx="149" formatCode="0">
                  <c:v>23.25391418104315</c:v>
                </c:pt>
                <c:pt idx="150" formatCode="0">
                  <c:v>23.25391418104315</c:v>
                </c:pt>
                <c:pt idx="151" formatCode="0">
                  <c:v>23.25391418104315</c:v>
                </c:pt>
                <c:pt idx="152" formatCode="0">
                  <c:v>23.25391418104315</c:v>
                </c:pt>
                <c:pt idx="153" formatCode="0">
                  <c:v>23.25391418104315</c:v>
                </c:pt>
                <c:pt idx="154" formatCode="0">
                  <c:v>23.25391418104315</c:v>
                </c:pt>
                <c:pt idx="155" formatCode="0">
                  <c:v>23.25391418104315</c:v>
                </c:pt>
                <c:pt idx="156" formatCode="0">
                  <c:v>23.25391418104315</c:v>
                </c:pt>
                <c:pt idx="157" formatCode="0">
                  <c:v>23.25391418104315</c:v>
                </c:pt>
                <c:pt idx="158" formatCode="0">
                  <c:v>23.25391418104315</c:v>
                </c:pt>
                <c:pt idx="159" formatCode="0">
                  <c:v>23.25391418104315</c:v>
                </c:pt>
                <c:pt idx="160" formatCode="0">
                  <c:v>23.25391418104315</c:v>
                </c:pt>
                <c:pt idx="161" formatCode="0">
                  <c:v>36.15505377202963</c:v>
                </c:pt>
                <c:pt idx="162" formatCode="0">
                  <c:v>36.15505377202963</c:v>
                </c:pt>
                <c:pt idx="163" formatCode="0">
                  <c:v>36.15505377202963</c:v>
                </c:pt>
                <c:pt idx="164" formatCode="0">
                  <c:v>36.15505377202963</c:v>
                </c:pt>
                <c:pt idx="165" formatCode="0">
                  <c:v>36.15505377202963</c:v>
                </c:pt>
                <c:pt idx="166" formatCode="0">
                  <c:v>36.15505377202963</c:v>
                </c:pt>
                <c:pt idx="167" formatCode="0">
                  <c:v>36.15505377202963</c:v>
                </c:pt>
                <c:pt idx="168" formatCode="0">
                  <c:v>36.15505377202963</c:v>
                </c:pt>
                <c:pt idx="169" formatCode="0">
                  <c:v>36.15505377202963</c:v>
                </c:pt>
                <c:pt idx="170" formatCode="0">
                  <c:v>36.15505377202963</c:v>
                </c:pt>
                <c:pt idx="171" formatCode="0">
                  <c:v>36.15505377202963</c:v>
                </c:pt>
                <c:pt idx="172" formatCode="0">
                  <c:v>36.15505377202963</c:v>
                </c:pt>
                <c:pt idx="173" formatCode="0">
                  <c:v>36.15505377202963</c:v>
                </c:pt>
                <c:pt idx="174" formatCode="0">
                  <c:v>36.15505377202963</c:v>
                </c:pt>
                <c:pt idx="175" formatCode="0">
                  <c:v>36.15505377202963</c:v>
                </c:pt>
                <c:pt idx="176" formatCode="0">
                  <c:v>36.15505377202963</c:v>
                </c:pt>
                <c:pt idx="177" formatCode="0">
                  <c:v>36.15505377202963</c:v>
                </c:pt>
                <c:pt idx="178" formatCode="0">
                  <c:v>36.15505377202963</c:v>
                </c:pt>
                <c:pt idx="179" formatCode="0">
                  <c:v>36.15505377202963</c:v>
                </c:pt>
                <c:pt idx="180" formatCode="0">
                  <c:v>36.15505377202963</c:v>
                </c:pt>
                <c:pt idx="181" formatCode="0">
                  <c:v>36.15505377202963</c:v>
                </c:pt>
                <c:pt idx="182" formatCode="0">
                  <c:v>36.15505377202963</c:v>
                </c:pt>
                <c:pt idx="183" formatCode="0">
                  <c:v>36.15505377202963</c:v>
                </c:pt>
                <c:pt idx="184" formatCode="0">
                  <c:v>36.15505377202963</c:v>
                </c:pt>
                <c:pt idx="185" formatCode="0">
                  <c:v>36.15505377202963</c:v>
                </c:pt>
                <c:pt idx="186" formatCode="0">
                  <c:v>36.15505377202963</c:v>
                </c:pt>
                <c:pt idx="187" formatCode="0">
                  <c:v>36.15505377202963</c:v>
                </c:pt>
                <c:pt idx="188" formatCode="0">
                  <c:v>36.15505377202963</c:v>
                </c:pt>
                <c:pt idx="189" formatCode="0">
                  <c:v>36.15505377202963</c:v>
                </c:pt>
                <c:pt idx="190" formatCode="0">
                  <c:v>36.15505377202963</c:v>
                </c:pt>
                <c:pt idx="191" formatCode="0">
                  <c:v>36.15505377202963</c:v>
                </c:pt>
                <c:pt idx="192" formatCode="0">
                  <c:v>36.15505377202963</c:v>
                </c:pt>
                <c:pt idx="193" formatCode="0">
                  <c:v>36.15505377202963</c:v>
                </c:pt>
                <c:pt idx="194" formatCode="0">
                  <c:v>36.15505377202963</c:v>
                </c:pt>
                <c:pt idx="195" formatCode="0">
                  <c:v>36.15505377202963</c:v>
                </c:pt>
                <c:pt idx="196" formatCode="0">
                  <c:v>36.15505377202963</c:v>
                </c:pt>
                <c:pt idx="197" formatCode="0">
                  <c:v>36.15505377202963</c:v>
                </c:pt>
                <c:pt idx="198" formatCode="0">
                  <c:v>36.15505377202963</c:v>
                </c:pt>
                <c:pt idx="199" formatCode="0">
                  <c:v>36.15505377202963</c:v>
                </c:pt>
                <c:pt idx="200" formatCode="0">
                  <c:v>36.15505377202963</c:v>
                </c:pt>
                <c:pt idx="201" formatCode="0">
                  <c:v>36.15505377202963</c:v>
                </c:pt>
                <c:pt idx="202" formatCode="0">
                  <c:v>36.15505377202963</c:v>
                </c:pt>
                <c:pt idx="203" formatCode="0">
                  <c:v>36.15505377202963</c:v>
                </c:pt>
                <c:pt idx="204" formatCode="0">
                  <c:v>36.15505377202963</c:v>
                </c:pt>
                <c:pt idx="205" formatCode="0">
                  <c:v>36.15505377202963</c:v>
                </c:pt>
                <c:pt idx="206" formatCode="0">
                  <c:v>36.15505377202963</c:v>
                </c:pt>
                <c:pt idx="207" formatCode="0">
                  <c:v>36.15505377202963</c:v>
                </c:pt>
                <c:pt idx="208" formatCode="0">
                  <c:v>36.15505377202963</c:v>
                </c:pt>
                <c:pt idx="209" formatCode="0">
                  <c:v>36.15505377202963</c:v>
                </c:pt>
                <c:pt idx="210" formatCode="0">
                  <c:v>36.15505377202963</c:v>
                </c:pt>
                <c:pt idx="211" formatCode="0">
                  <c:v>36.15505377202963</c:v>
                </c:pt>
                <c:pt idx="212" formatCode="0">
                  <c:v>36.15505377202963</c:v>
                </c:pt>
                <c:pt idx="213" formatCode="0">
                  <c:v>36.15505377202963</c:v>
                </c:pt>
                <c:pt idx="214" formatCode="0">
                  <c:v>36.15505377202963</c:v>
                </c:pt>
                <c:pt idx="215" formatCode="0">
                  <c:v>36.15505377202963</c:v>
                </c:pt>
                <c:pt idx="216" formatCode="0">
                  <c:v>36.15505377202963</c:v>
                </c:pt>
                <c:pt idx="217" formatCode="0">
                  <c:v>36.15505377202963</c:v>
                </c:pt>
                <c:pt idx="218" formatCode="0">
                  <c:v>36.15505377202963</c:v>
                </c:pt>
                <c:pt idx="219" formatCode="0">
                  <c:v>36.15505377202963</c:v>
                </c:pt>
                <c:pt idx="220" formatCode="0">
                  <c:v>36.15505377202963</c:v>
                </c:pt>
                <c:pt idx="221" formatCode="0">
                  <c:v>36.15505377202963</c:v>
                </c:pt>
                <c:pt idx="222" formatCode="0">
                  <c:v>36.15505377202963</c:v>
                </c:pt>
                <c:pt idx="223" formatCode="0">
                  <c:v>36.15505377202963</c:v>
                </c:pt>
                <c:pt idx="224" formatCode="0">
                  <c:v>36.15505377202963</c:v>
                </c:pt>
                <c:pt idx="225" formatCode="0">
                  <c:v>36.15505377202963</c:v>
                </c:pt>
                <c:pt idx="226" formatCode="0">
                  <c:v>36.15505377202963</c:v>
                </c:pt>
                <c:pt idx="227" formatCode="0">
                  <c:v>36.15505377202963</c:v>
                </c:pt>
                <c:pt idx="228" formatCode="0">
                  <c:v>36.15505377202963</c:v>
                </c:pt>
                <c:pt idx="229" formatCode="0">
                  <c:v>36.15505377202963</c:v>
                </c:pt>
                <c:pt idx="230" formatCode="0">
                  <c:v>36.15505377202963</c:v>
                </c:pt>
                <c:pt idx="231" formatCode="0">
                  <c:v>36.15505377202963</c:v>
                </c:pt>
                <c:pt idx="232" formatCode="0">
                  <c:v>36.15505377202963</c:v>
                </c:pt>
                <c:pt idx="233" formatCode="0">
                  <c:v>36.15505377202963</c:v>
                </c:pt>
                <c:pt idx="234" formatCode="0">
                  <c:v>36.15505377202963</c:v>
                </c:pt>
                <c:pt idx="235" formatCode="0">
                  <c:v>36.15505377202963</c:v>
                </c:pt>
                <c:pt idx="236" formatCode="0">
                  <c:v>36.15505377202963</c:v>
                </c:pt>
                <c:pt idx="237" formatCode="0">
                  <c:v>36.15505377202963</c:v>
                </c:pt>
                <c:pt idx="238" formatCode="0">
                  <c:v>36.15505377202963</c:v>
                </c:pt>
                <c:pt idx="239" formatCode="0">
                  <c:v>36.15505377202963</c:v>
                </c:pt>
                <c:pt idx="240" formatCode="0">
                  <c:v>36.15505377202963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116589160"/>
        <c:axId val="-2116879160"/>
      </c:barChart>
      <c:lineChart>
        <c:grouping val="standard"/>
        <c:varyColors val="0"/>
        <c:ser>
          <c:idx val="0"/>
          <c:order val="0"/>
          <c:tx>
            <c:strRef>
              <c:f>'Even MixConT@40H@80U00'!$AG$77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val>
            <c:numRef>
              <c:f>'Even MixConT@40H@80U00'!$AG$78:$AG$318</c:f>
              <c:numCache>
                <c:formatCode>0</c:formatCode>
                <c:ptCount val="24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18.2171957703053</c:v>
                </c:pt>
                <c:pt idx="42">
                  <c:v>19.94036919288419</c:v>
                </c:pt>
                <c:pt idx="43">
                  <c:v>21.66354261546308</c:v>
                </c:pt>
                <c:pt idx="44">
                  <c:v>23.38671603804196</c:v>
                </c:pt>
                <c:pt idx="45">
                  <c:v>25.10988946062085</c:v>
                </c:pt>
                <c:pt idx="46">
                  <c:v>26.83306288319974</c:v>
                </c:pt>
                <c:pt idx="47">
                  <c:v>28.55623630577863</c:v>
                </c:pt>
                <c:pt idx="48">
                  <c:v>30.27940972835752</c:v>
                </c:pt>
                <c:pt idx="49">
                  <c:v>32.00258315093641</c:v>
                </c:pt>
                <c:pt idx="50">
                  <c:v>33.7257565735153</c:v>
                </c:pt>
                <c:pt idx="51">
                  <c:v>35.44892999609419</c:v>
                </c:pt>
                <c:pt idx="52">
                  <c:v>37.17210341867307</c:v>
                </c:pt>
                <c:pt idx="53">
                  <c:v>38.89527684125196</c:v>
                </c:pt>
                <c:pt idx="54">
                  <c:v>40.61845026383085</c:v>
                </c:pt>
                <c:pt idx="55">
                  <c:v>42.34162368640974</c:v>
                </c:pt>
                <c:pt idx="56">
                  <c:v>44.06479710898863</c:v>
                </c:pt>
                <c:pt idx="57">
                  <c:v>45.78797053156752</c:v>
                </c:pt>
                <c:pt idx="58">
                  <c:v>47.51114395414641</c:v>
                </c:pt>
                <c:pt idx="59">
                  <c:v>49.2343173767253</c:v>
                </c:pt>
                <c:pt idx="60">
                  <c:v>50.95749079930418</c:v>
                </c:pt>
                <c:pt idx="61">
                  <c:v>52.68066422188307</c:v>
                </c:pt>
                <c:pt idx="62">
                  <c:v>54.40383764446196</c:v>
                </c:pt>
                <c:pt idx="63">
                  <c:v>56.12701106704085</c:v>
                </c:pt>
                <c:pt idx="64">
                  <c:v>57.85018448961974</c:v>
                </c:pt>
                <c:pt idx="65">
                  <c:v>59.57335791219862</c:v>
                </c:pt>
                <c:pt idx="66">
                  <c:v>61.2965313347775</c:v>
                </c:pt>
                <c:pt idx="67">
                  <c:v>63.0197047573564</c:v>
                </c:pt>
                <c:pt idx="68">
                  <c:v>64.74287817993529</c:v>
                </c:pt>
                <c:pt idx="69">
                  <c:v>66.46605160251418</c:v>
                </c:pt>
                <c:pt idx="70">
                  <c:v>68.18922502509308</c:v>
                </c:pt>
                <c:pt idx="71">
                  <c:v>69.91239844767198</c:v>
                </c:pt>
                <c:pt idx="72">
                  <c:v>71.63557187025087</c:v>
                </c:pt>
                <c:pt idx="73">
                  <c:v>73.35874529282977</c:v>
                </c:pt>
                <c:pt idx="74">
                  <c:v>75.08191871540866</c:v>
                </c:pt>
                <c:pt idx="75">
                  <c:v>76.80509213798756</c:v>
                </c:pt>
                <c:pt idx="76">
                  <c:v>78.52826556056645</c:v>
                </c:pt>
                <c:pt idx="77">
                  <c:v>80.25143898314534</c:v>
                </c:pt>
                <c:pt idx="78">
                  <c:v>81.97461240572424</c:v>
                </c:pt>
                <c:pt idx="79">
                  <c:v>83.69778582830314</c:v>
                </c:pt>
                <c:pt idx="80">
                  <c:v>85.42095925088196</c:v>
                </c:pt>
                <c:pt idx="81">
                  <c:v>86.71105885116137</c:v>
                </c:pt>
                <c:pt idx="82">
                  <c:v>87.98815549932785</c:v>
                </c:pt>
                <c:pt idx="83">
                  <c:v>89.25207374798569</c:v>
                </c:pt>
                <c:pt idx="84">
                  <c:v>90.50265516982493</c:v>
                </c:pt>
                <c:pt idx="85">
                  <c:v>91.73975768915416</c:v>
                </c:pt>
                <c:pt idx="86">
                  <c:v>92.96325492803624</c:v>
                </c:pt>
                <c:pt idx="87">
                  <c:v>94.17303556736168</c:v>
                </c:pt>
                <c:pt idx="88">
                  <c:v>95.3690027231239</c:v>
                </c:pt>
                <c:pt idx="89">
                  <c:v>96.55107333809586</c:v>
                </c:pt>
                <c:pt idx="90">
                  <c:v>97.71917758904893</c:v>
                </c:pt>
                <c:pt idx="91">
                  <c:v>98.87325830960242</c:v>
                </c:pt>
                <c:pt idx="92">
                  <c:v>100.0132704287426</c:v>
                </c:pt>
                <c:pt idx="93">
                  <c:v>101.139180425008</c:v>
                </c:pt>
                <c:pt idx="94">
                  <c:v>102.2509657962968</c:v>
                </c:pt>
                <c:pt idx="95">
                  <c:v>103.3486145452175</c:v>
                </c:pt>
                <c:pt idx="96">
                  <c:v>104.4321246798715</c:v>
                </c:pt>
                <c:pt idx="97">
                  <c:v>105.5015037299297</c:v>
                </c:pt>
                <c:pt idx="98">
                  <c:v>106.5567682778356</c:v>
                </c:pt>
                <c:pt idx="99">
                  <c:v>107.5979435049508</c:v>
                </c:pt>
                <c:pt idx="100">
                  <c:v>108.6250627524327</c:v>
                </c:pt>
                <c:pt idx="101">
                  <c:v>109.6381670966215</c:v>
                </c:pt>
                <c:pt idx="102">
                  <c:v>110.6373049386964</c:v>
                </c:pt>
                <c:pt idx="103">
                  <c:v>111.6225316083471</c:v>
                </c:pt>
                <c:pt idx="104">
                  <c:v>112.5939089811971</c:v>
                </c:pt>
                <c:pt idx="105">
                  <c:v>113.5515051097048</c:v>
                </c:pt>
                <c:pt idx="106">
                  <c:v>114.495393867261</c:v>
                </c:pt>
                <c:pt idx="107">
                  <c:v>115.4256546051933</c:v>
                </c:pt>
                <c:pt idx="108">
                  <c:v>116.3423718223867</c:v>
                </c:pt>
                <c:pt idx="109">
                  <c:v>117.2456348472197</c:v>
                </c:pt>
                <c:pt idx="110">
                  <c:v>118.1355375315197</c:v>
                </c:pt>
                <c:pt idx="111">
                  <c:v>119.0121779562328</c:v>
                </c:pt>
                <c:pt idx="112">
                  <c:v>119.8756581485074</c:v>
                </c:pt>
                <c:pt idx="113">
                  <c:v>120.7260838098875</c:v>
                </c:pt>
                <c:pt idx="114">
                  <c:v>121.5635640553153</c:v>
                </c:pt>
                <c:pt idx="115">
                  <c:v>122.3882111626412</c:v>
                </c:pt>
                <c:pt idx="116">
                  <c:v>123.2001403323428</c:v>
                </c:pt>
                <c:pt idx="117">
                  <c:v>123.9994694571578</c:v>
                </c:pt>
                <c:pt idx="118">
                  <c:v>124.7863189013368</c:v>
                </c:pt>
                <c:pt idx="119">
                  <c:v>125.5608112892266</c:v>
                </c:pt>
                <c:pt idx="120">
                  <c:v>126.323071302899</c:v>
                </c:pt>
                <c:pt idx="121">
                  <c:v>127.0732254885427</c:v>
                </c:pt>
                <c:pt idx="122">
                  <c:v>127.8114020713414</c:v>
                </c:pt>
                <c:pt idx="123">
                  <c:v>128.5377307785662</c:v>
                </c:pt>
                <c:pt idx="124">
                  <c:v>129.2523426706143</c:v>
                </c:pt>
                <c:pt idx="125">
                  <c:v>129.9553699797319</c:v>
                </c:pt>
                <c:pt idx="126">
                  <c:v>130.6469459561647</c:v>
                </c:pt>
                <c:pt idx="127">
                  <c:v>131.3272047214833</c:v>
                </c:pt>
                <c:pt idx="128">
                  <c:v>131.9962811288383</c:v>
                </c:pt>
                <c:pt idx="129">
                  <c:v>132.6543106299048</c:v>
                </c:pt>
                <c:pt idx="130">
                  <c:v>133.3014291482797</c:v>
                </c:pt>
                <c:pt idx="131">
                  <c:v>133.9377729591053</c:v>
                </c:pt>
                <c:pt idx="132">
                  <c:v>134.5634785746921</c:v>
                </c:pt>
                <c:pt idx="133">
                  <c:v>135.1786826359275</c:v>
                </c:pt>
                <c:pt idx="134">
                  <c:v>135.7835218092532</c:v>
                </c:pt>
                <c:pt idx="135">
                  <c:v>136.3781326890098</c:v>
                </c:pt>
                <c:pt idx="136">
                  <c:v>136.9626517049435</c:v>
                </c:pt>
                <c:pt idx="137">
                  <c:v>137.5372150346831</c:v>
                </c:pt>
                <c:pt idx="138">
                  <c:v>138.1019585209953</c:v>
                </c:pt>
                <c:pt idx="139">
                  <c:v>138.6570175936353</c:v>
                </c:pt>
                <c:pt idx="140">
                  <c:v>139.202527195614</c:v>
                </c:pt>
                <c:pt idx="141">
                  <c:v>139.7386217137076</c:v>
                </c:pt>
                <c:pt idx="142">
                  <c:v>140.265434913042</c:v>
                </c:pt>
                <c:pt idx="143">
                  <c:v>140.7830998755894</c:v>
                </c:pt>
                <c:pt idx="144">
                  <c:v>141.2917489424176</c:v>
                </c:pt>
                <c:pt idx="145">
                  <c:v>141.7915136595419</c:v>
                </c:pt>
                <c:pt idx="146">
                  <c:v>142.2825247272286</c:v>
                </c:pt>
                <c:pt idx="147">
                  <c:v>142.7649119526085</c:v>
                </c:pt>
                <c:pt idx="148">
                  <c:v>143.238804205462</c:v>
                </c:pt>
                <c:pt idx="149">
                  <c:v>143.7043293770408</c:v>
                </c:pt>
                <c:pt idx="150">
                  <c:v>144.1616143417985</c:v>
                </c:pt>
                <c:pt idx="151">
                  <c:v>144.6107849219023</c:v>
                </c:pt>
                <c:pt idx="152">
                  <c:v>145.0519658544084</c:v>
                </c:pt>
                <c:pt idx="153">
                  <c:v>145.485280760981</c:v>
                </c:pt>
                <c:pt idx="154">
                  <c:v>145.9108521200458</c:v>
                </c:pt>
                <c:pt idx="155">
                  <c:v>146.3288012412665</c:v>
                </c:pt>
                <c:pt idx="156">
                  <c:v>146.7392482422407</c:v>
                </c:pt>
                <c:pt idx="157">
                  <c:v>147.1423120273151</c:v>
                </c:pt>
                <c:pt idx="158">
                  <c:v>147.5381102684207</c:v>
                </c:pt>
                <c:pt idx="159">
                  <c:v>147.926759387836</c:v>
                </c:pt>
                <c:pt idx="160">
                  <c:v>148.3083745427871</c:v>
                </c:pt>
                <c:pt idx="161">
                  <c:v>148.6830696117966</c:v>
                </c:pt>
                <c:pt idx="162">
                  <c:v>149.0509571827004</c:v>
                </c:pt>
                <c:pt idx="163">
                  <c:v>149.412148542248</c:v>
                </c:pt>
                <c:pt idx="164">
                  <c:v>149.766753667212</c:v>
                </c:pt>
                <c:pt idx="165">
                  <c:v>150.1148812169305</c:v>
                </c:pt>
                <c:pt idx="166">
                  <c:v>150.4566385272107</c:v>
                </c:pt>
                <c:pt idx="167">
                  <c:v>150.792131605525</c:v>
                </c:pt>
                <c:pt idx="168">
                  <c:v>151.1214651274338</c:v>
                </c:pt>
                <c:pt idx="169">
                  <c:v>151.4447424341706</c:v>
                </c:pt>
                <c:pt idx="170">
                  <c:v>151.7620655313278</c:v>
                </c:pt>
                <c:pt idx="171">
                  <c:v>152.0735350885863</c:v>
                </c:pt>
                <c:pt idx="172">
                  <c:v>152.3792504404302</c:v>
                </c:pt>
                <c:pt idx="173">
                  <c:v>152.6793095877948</c:v>
                </c:pt>
                <c:pt idx="174">
                  <c:v>152.9738092005933</c:v>
                </c:pt>
                <c:pt idx="175">
                  <c:v>153.2628446210756</c:v>
                </c:pt>
                <c:pt idx="176">
                  <c:v>153.546509867969</c:v>
                </c:pt>
                <c:pt idx="177">
                  <c:v>153.8248976413555</c:v>
                </c:pt>
                <c:pt idx="178">
                  <c:v>154.0980993282435</c:v>
                </c:pt>
                <c:pt idx="179">
                  <c:v>154.3662050087893</c:v>
                </c:pt>
                <c:pt idx="180">
                  <c:v>154.6293034631307</c:v>
                </c:pt>
                <c:pt idx="181">
                  <c:v>154.8874821787927</c:v>
                </c:pt>
                <c:pt idx="182">
                  <c:v>155.1408273586285</c:v>
                </c:pt>
                <c:pt idx="183">
                  <c:v>155.3894239292618</c:v>
                </c:pt>
                <c:pt idx="184">
                  <c:v>155.6333555499951</c:v>
                </c:pt>
                <c:pt idx="185">
                  <c:v>155.872704622153</c:v>
                </c:pt>
                <c:pt idx="186">
                  <c:v>156.1075522988293</c:v>
                </c:pt>
                <c:pt idx="187">
                  <c:v>156.3379784950081</c:v>
                </c:pt>
                <c:pt idx="188">
                  <c:v>156.5640618980319</c:v>
                </c:pt>
                <c:pt idx="189">
                  <c:v>156.785879978388</c:v>
                </c:pt>
                <c:pt idx="190">
                  <c:v>157.0035090007905</c:v>
                </c:pt>
                <c:pt idx="191">
                  <c:v>157.2170240355302</c:v>
                </c:pt>
                <c:pt idx="192">
                  <c:v>157.426498970072</c:v>
                </c:pt>
                <c:pt idx="193">
                  <c:v>157.6320065208753</c:v>
                </c:pt>
                <c:pt idx="194">
                  <c:v>157.8336182454183</c:v>
                </c:pt>
                <c:pt idx="195">
                  <c:v>158.0314045544048</c:v>
                </c:pt>
                <c:pt idx="196">
                  <c:v>158.2254347241343</c:v>
                </c:pt>
                <c:pt idx="197">
                  <c:v>158.4157769090179</c:v>
                </c:pt>
                <c:pt idx="198">
                  <c:v>158.6024981542229</c:v>
                </c:pt>
                <c:pt idx="199">
                  <c:v>158.7856644084281</c:v>
                </c:pt>
                <c:pt idx="200">
                  <c:v>158.9653405366756</c:v>
                </c:pt>
                <c:pt idx="201">
                  <c:v>159.1415903333042</c:v>
                </c:pt>
                <c:pt idx="202">
                  <c:v>159.3144765349492</c:v>
                </c:pt>
                <c:pt idx="203">
                  <c:v>159.4840608335961</c:v>
                </c:pt>
                <c:pt idx="204">
                  <c:v>159.6504038896766</c:v>
                </c:pt>
                <c:pt idx="205">
                  <c:v>159.8135653451913</c:v>
                </c:pt>
                <c:pt idx="206">
                  <c:v>159.9736038368528</c:v>
                </c:pt>
                <c:pt idx="207">
                  <c:v>160.1305770092337</c:v>
                </c:pt>
                <c:pt idx="208">
                  <c:v>160.2845415279132</c:v>
                </c:pt>
                <c:pt idx="209">
                  <c:v>160.4355530926093</c:v>
                </c:pt>
                <c:pt idx="210">
                  <c:v>160.583666450291</c:v>
                </c:pt>
                <c:pt idx="211">
                  <c:v>160.7289354082586</c:v>
                </c:pt>
                <c:pt idx="212">
                  <c:v>160.8714128471875</c:v>
                </c:pt>
                <c:pt idx="213">
                  <c:v>161.0111507341245</c:v>
                </c:pt>
                <c:pt idx="214">
                  <c:v>161.1482001354321</c:v>
                </c:pt>
                <c:pt idx="215">
                  <c:v>161.2826112296733</c:v>
                </c:pt>
                <c:pt idx="216">
                  <c:v>161.4144333204302</c:v>
                </c:pt>
                <c:pt idx="217">
                  <c:v>161.5437148490511</c:v>
                </c:pt>
                <c:pt idx="218">
                  <c:v>161.6705034073209</c:v>
                </c:pt>
                <c:pt idx="219">
                  <c:v>161.7948457500485</c:v>
                </c:pt>
                <c:pt idx="220">
                  <c:v>161.9167878075679</c:v>
                </c:pt>
                <c:pt idx="221">
                  <c:v>162.0363746981476</c:v>
                </c:pt>
                <c:pt idx="222">
                  <c:v>162.1536507403046</c:v>
                </c:pt>
                <c:pt idx="223">
                  <c:v>162.2686594650193</c:v>
                </c:pt>
                <c:pt idx="224">
                  <c:v>162.3814436278471</c:v>
                </c:pt>
                <c:pt idx="225">
                  <c:v>162.4920452209242</c:v>
                </c:pt>
                <c:pt idx="226">
                  <c:v>162.6005054848648</c:v>
                </c:pt>
                <c:pt idx="227">
                  <c:v>162.7068649205455</c:v>
                </c:pt>
                <c:pt idx="228">
                  <c:v>162.8111633007765</c:v>
                </c:pt>
                <c:pt idx="229">
                  <c:v>162.9134396818556</c:v>
                </c:pt>
                <c:pt idx="230">
                  <c:v>163.0137324150037</c:v>
                </c:pt>
                <c:pt idx="231">
                  <c:v>163.1120791576799</c:v>
                </c:pt>
                <c:pt idx="232">
                  <c:v>163.2085168847747</c:v>
                </c:pt>
                <c:pt idx="233">
                  <c:v>163.3030818996792</c:v>
                </c:pt>
                <c:pt idx="234">
                  <c:v>163.3958098452297</c:v>
                </c:pt>
                <c:pt idx="235">
                  <c:v>163.4867357145264</c:v>
                </c:pt>
                <c:pt idx="236">
                  <c:v>163.5758938616243</c:v>
                </c:pt>
                <c:pt idx="237">
                  <c:v>163.6633180120978</c:v>
                </c:pt>
                <c:pt idx="238">
                  <c:v>163.749041273475</c:v>
                </c:pt>
                <c:pt idx="239">
                  <c:v>163.833096145545</c:v>
                </c:pt>
                <c:pt idx="240">
                  <c:v>163.9155145305334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6589160"/>
        <c:axId val="-2116879160"/>
      </c:lineChart>
      <c:catAx>
        <c:axId val="-2116589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6879160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-2116879160"/>
        <c:scaling>
          <c:orientation val="minMax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baseline="0">
                    <a:effectLst/>
                  </a:rPr>
                  <a:t>Climate Benefits in Tonnes of Carbon per Hectare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6589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1588570085456"/>
          <c:y val="0.249801049868766"/>
          <c:w val="0.3257366129838"/>
          <c:h val="0.578984881889764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200" b="1" i="0" baseline="0">
                <a:effectLst/>
              </a:rPr>
              <a:t>Climate Benefits of California Mixed Conifer Forest: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Forest&amp;Products v Let-Grow Forest </a:t>
            </a:r>
          </a:p>
          <a:p>
            <a:pPr algn="l">
              <a:defRPr/>
            </a:pPr>
            <a:r>
              <a:rPr lang="en-US" sz="1200" b="1" i="0" baseline="0">
                <a:effectLst/>
              </a:rPr>
              <a:t>With Year 40 thin and 25% utilization of logging residues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0444915254237288"/>
          <c:y val="0.0214723926380368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'MixCon Even T40H80U25'!$AH$77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cat>
            <c:numRef>
              <c:f>'MixCon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'MixCon Even T40H80U25'!$AH$78:$AH$318</c:f>
              <c:numCache>
                <c:formatCode>General</c:formatCode>
                <c:ptCount val="241"/>
                <c:pt idx="40" formatCode="0">
                  <c:v>6.060623157256816</c:v>
                </c:pt>
                <c:pt idx="41" formatCode="0">
                  <c:v>5.854176083517556</c:v>
                </c:pt>
                <c:pt idx="42" formatCode="0">
                  <c:v>5.654761354992578</c:v>
                </c:pt>
                <c:pt idx="43" formatCode="0">
                  <c:v>5.462139424187616</c:v>
                </c:pt>
                <c:pt idx="44" formatCode="0">
                  <c:v>5.276078903475455</c:v>
                </c:pt>
                <c:pt idx="45" formatCode="0">
                  <c:v>5.096356287140906</c:v>
                </c:pt>
                <c:pt idx="46" formatCode="0">
                  <c:v>4.922755682893943</c:v>
                </c:pt>
                <c:pt idx="47" formatCode="0">
                  <c:v>4.755068552528496</c:v>
                </c:pt>
                <c:pt idx="48" formatCode="0">
                  <c:v>4.593093461415355</c:v>
                </c:pt>
                <c:pt idx="49" formatCode="0">
                  <c:v>4.43663583652826</c:v>
                </c:pt>
                <c:pt idx="50" formatCode="0">
                  <c:v>4.285507732712518</c:v>
                </c:pt>
                <c:pt idx="51" formatCode="0">
                  <c:v>4.139527606915368</c:v>
                </c:pt>
                <c:pt idx="52" formatCode="0">
                  <c:v>3.998520100106881</c:v>
                </c:pt>
                <c:pt idx="53" formatCode="0">
                  <c:v>3.862315826629448</c:v>
                </c:pt>
                <c:pt idx="54" formatCode="0">
                  <c:v>3.730751170722779</c:v>
                </c:pt>
                <c:pt idx="55" formatCode="0">
                  <c:v>3.60366808998003</c:v>
                </c:pt>
                <c:pt idx="56" formatCode="0">
                  <c:v>3.480913925498921</c:v>
                </c:pt>
                <c:pt idx="57" formatCode="0">
                  <c:v>3.362341218499801</c:v>
                </c:pt>
                <c:pt idx="58" formatCode="0">
                  <c:v>3.247807533190389</c:v>
                </c:pt>
                <c:pt idx="59" formatCode="0">
                  <c:v>3.137175285664384</c:v>
                </c:pt>
                <c:pt idx="60" formatCode="0">
                  <c:v>3.030311578628408</c:v>
                </c:pt>
                <c:pt idx="61" formatCode="0">
                  <c:v>2.927088041758778</c:v>
                </c:pt>
                <c:pt idx="62" formatCode="0">
                  <c:v>2.82738067749629</c:v>
                </c:pt>
                <c:pt idx="63" formatCode="0">
                  <c:v>2.731069712093808</c:v>
                </c:pt>
                <c:pt idx="64" formatCode="0">
                  <c:v>2.638039451737728</c:v>
                </c:pt>
                <c:pt idx="65" formatCode="0">
                  <c:v>2.548178143570453</c:v>
                </c:pt>
                <c:pt idx="66" formatCode="0">
                  <c:v>2.461377841446971</c:v>
                </c:pt>
                <c:pt idx="67" formatCode="0">
                  <c:v>2.377534276264248</c:v>
                </c:pt>
                <c:pt idx="68" formatCode="0">
                  <c:v>2.296546730707678</c:v>
                </c:pt>
                <c:pt idx="69" formatCode="0">
                  <c:v>2.21831791826413</c:v>
                </c:pt>
                <c:pt idx="70" formatCode="0">
                  <c:v>2.14275386635626</c:v>
                </c:pt>
                <c:pt idx="71" formatCode="0">
                  <c:v>2.069763803457684</c:v>
                </c:pt>
                <c:pt idx="72" formatCode="0">
                  <c:v>1.999260050053441</c:v>
                </c:pt>
                <c:pt idx="73" formatCode="0">
                  <c:v>1.931157913314724</c:v>
                </c:pt>
                <c:pt idx="74" formatCode="0">
                  <c:v>1.865375585361389</c:v>
                </c:pt>
                <c:pt idx="75" formatCode="0">
                  <c:v>1.801834044990015</c:v>
                </c:pt>
                <c:pt idx="76" formatCode="0">
                  <c:v>1.74045696274946</c:v>
                </c:pt>
                <c:pt idx="77" formatCode="0">
                  <c:v>1.6811706092499</c:v>
                </c:pt>
                <c:pt idx="78" formatCode="0">
                  <c:v>1.623903766595195</c:v>
                </c:pt>
                <c:pt idx="79" formatCode="0">
                  <c:v>1.568587642832192</c:v>
                </c:pt>
                <c:pt idx="80" formatCode="0">
                  <c:v>27.1414435645788</c:v>
                </c:pt>
                <c:pt idx="81" formatCode="0">
                  <c:v>26.21690635849012</c:v>
                </c:pt>
                <c:pt idx="82" formatCode="0">
                  <c:v>25.32386228368638</c:v>
                </c:pt>
                <c:pt idx="83" formatCode="0">
                  <c:v>24.46123856850238</c:v>
                </c:pt>
                <c:pt idx="84" formatCode="0">
                  <c:v>23.62799898381403</c:v>
                </c:pt>
                <c:pt idx="85" formatCode="0">
                  <c:v>22.82314259826531</c:v>
                </c:pt>
                <c:pt idx="86" formatCode="0">
                  <c:v>22.04570257589666</c:v>
                </c:pt>
                <c:pt idx="87" formatCode="0">
                  <c:v>21.29474501473063</c:v>
                </c:pt>
                <c:pt idx="88" formatCode="0">
                  <c:v>20.56936782491956</c:v>
                </c:pt>
                <c:pt idx="89" formatCode="0">
                  <c:v>19.86869964510763</c:v>
                </c:pt>
                <c:pt idx="90" formatCode="0">
                  <c:v>19.19189879570565</c:v>
                </c:pt>
                <c:pt idx="91" formatCode="0">
                  <c:v>18.53815226782108</c:v>
                </c:pt>
                <c:pt idx="92" formatCode="0">
                  <c:v>17.90667474662889</c:v>
                </c:pt>
                <c:pt idx="93" formatCode="0">
                  <c:v>17.29670766800995</c:v>
                </c:pt>
                <c:pt idx="94" formatCode="0">
                  <c:v>16.70751830732376</c:v>
                </c:pt>
                <c:pt idx="95" formatCode="0">
                  <c:v>16.13839889922096</c:v>
                </c:pt>
                <c:pt idx="96" formatCode="0">
                  <c:v>15.58866578743827</c:v>
                </c:pt>
                <c:pt idx="97" formatCode="0">
                  <c:v>15.05765860355445</c:v>
                </c:pt>
                <c:pt idx="98" formatCode="0">
                  <c:v>14.544739473721</c:v>
                </c:pt>
                <c:pt idx="99" formatCode="0">
                  <c:v>14.04929225241436</c:v>
                </c:pt>
                <c:pt idx="100" formatCode="0">
                  <c:v>13.5707217822894</c:v>
                </c:pt>
                <c:pt idx="101" formatCode="0">
                  <c:v>13.10845317924506</c:v>
                </c:pt>
                <c:pt idx="102" formatCode="0">
                  <c:v>12.66193114184319</c:v>
                </c:pt>
                <c:pt idx="103" formatCode="0">
                  <c:v>12.23061928425119</c:v>
                </c:pt>
                <c:pt idx="104" formatCode="0">
                  <c:v>11.81399949190702</c:v>
                </c:pt>
                <c:pt idx="105" formatCode="0">
                  <c:v>11.41157129913265</c:v>
                </c:pt>
                <c:pt idx="106" formatCode="0">
                  <c:v>11.02285128794833</c:v>
                </c:pt>
                <c:pt idx="107" formatCode="0">
                  <c:v>10.64737250736531</c:v>
                </c:pt>
                <c:pt idx="108" formatCode="0">
                  <c:v>10.28468391245978</c:v>
                </c:pt>
                <c:pt idx="109" formatCode="0">
                  <c:v>9.93434982255382</c:v>
                </c:pt>
                <c:pt idx="110" formatCode="0">
                  <c:v>9.595949397852825</c:v>
                </c:pt>
                <c:pt idx="111" formatCode="0">
                  <c:v>9.26907613391054</c:v>
                </c:pt>
                <c:pt idx="112" formatCode="0">
                  <c:v>8.953337373314447</c:v>
                </c:pt>
                <c:pt idx="113" formatCode="0">
                  <c:v>8.648353834004975</c:v>
                </c:pt>
                <c:pt idx="114" formatCode="0">
                  <c:v>8.35375915366188</c:v>
                </c:pt>
                <c:pt idx="115" formatCode="0">
                  <c:v>8.069199449610481</c:v>
                </c:pt>
                <c:pt idx="116" formatCode="0">
                  <c:v>7.794332893719132</c:v>
                </c:pt>
                <c:pt idx="117" formatCode="0">
                  <c:v>7.528829301777226</c:v>
                </c:pt>
                <c:pt idx="118" formatCode="0">
                  <c:v>7.272369736860501</c:v>
                </c:pt>
                <c:pt idx="119" formatCode="0">
                  <c:v>7.02464612620718</c:v>
                </c:pt>
                <c:pt idx="120" formatCode="0">
                  <c:v>6.7853608911447</c:v>
                </c:pt>
                <c:pt idx="121" formatCode="0">
                  <c:v>6.554226589622531</c:v>
                </c:pt>
                <c:pt idx="122" formatCode="0">
                  <c:v>6.330965570921597</c:v>
                </c:pt>
                <c:pt idx="123" formatCode="0">
                  <c:v>6.115309642125596</c:v>
                </c:pt>
                <c:pt idx="124" formatCode="0">
                  <c:v>5.906999745953508</c:v>
                </c:pt>
                <c:pt idx="125" formatCode="0">
                  <c:v>5.705785649566328</c:v>
                </c:pt>
                <c:pt idx="126" formatCode="0">
                  <c:v>5.511425643974165</c:v>
                </c:pt>
                <c:pt idx="127" formatCode="0">
                  <c:v>5.323686253682657</c:v>
                </c:pt>
                <c:pt idx="128" formatCode="0">
                  <c:v>5.142341956229889</c:v>
                </c:pt>
                <c:pt idx="129" formatCode="0">
                  <c:v>4.967174911276908</c:v>
                </c:pt>
                <c:pt idx="130" formatCode="0">
                  <c:v>4.797974698926413</c:v>
                </c:pt>
                <c:pt idx="131" formatCode="0">
                  <c:v>4.634538066955272</c:v>
                </c:pt>
                <c:pt idx="132" formatCode="0">
                  <c:v>4.476668686657223</c:v>
                </c:pt>
                <c:pt idx="133" formatCode="0">
                  <c:v>4.324176917002489</c:v>
                </c:pt>
                <c:pt idx="134" formatCode="0">
                  <c:v>4.17687957683094</c:v>
                </c:pt>
                <c:pt idx="135" formatCode="0">
                  <c:v>4.03459972480524</c:v>
                </c:pt>
                <c:pt idx="136" formatCode="0">
                  <c:v>3.897166446859567</c:v>
                </c:pt>
                <c:pt idx="137" formatCode="0">
                  <c:v>3.764414650888613</c:v>
                </c:pt>
                <c:pt idx="138" formatCode="0">
                  <c:v>3.636184868430252</c:v>
                </c:pt>
                <c:pt idx="139" formatCode="0">
                  <c:v>3.512323063103588</c:v>
                </c:pt>
                <c:pt idx="140" formatCode="0">
                  <c:v>3.39268044557235</c:v>
                </c:pt>
                <c:pt idx="141" formatCode="0">
                  <c:v>3.277113294811266</c:v>
                </c:pt>
                <c:pt idx="142" formatCode="0">
                  <c:v>3.165482785460799</c:v>
                </c:pt>
                <c:pt idx="143" formatCode="0">
                  <c:v>3.057654821062798</c:v>
                </c:pt>
                <c:pt idx="144" formatCode="0">
                  <c:v>2.953499872976755</c:v>
                </c:pt>
                <c:pt idx="145" formatCode="0">
                  <c:v>2.852892824783165</c:v>
                </c:pt>
                <c:pt idx="146" formatCode="0">
                  <c:v>2.755712821987083</c:v>
                </c:pt>
                <c:pt idx="147" formatCode="0">
                  <c:v>2.661843126841329</c:v>
                </c:pt>
                <c:pt idx="148" formatCode="0">
                  <c:v>2.571170978114945</c:v>
                </c:pt>
                <c:pt idx="149" formatCode="0">
                  <c:v>2.483587455638454</c:v>
                </c:pt>
                <c:pt idx="150" formatCode="0">
                  <c:v>2.398987349463206</c:v>
                </c:pt>
                <c:pt idx="151" formatCode="0">
                  <c:v>2.317269033477635</c:v>
                </c:pt>
                <c:pt idx="152" formatCode="0">
                  <c:v>2.238334343328612</c:v>
                </c:pt>
                <c:pt idx="153" formatCode="0">
                  <c:v>2.162088458501244</c:v>
                </c:pt>
                <c:pt idx="154" formatCode="0">
                  <c:v>2.08843978841547</c:v>
                </c:pt>
                <c:pt idx="155" formatCode="0">
                  <c:v>2.01729986240262</c:v>
                </c:pt>
                <c:pt idx="156" formatCode="0">
                  <c:v>1.948583223429783</c:v>
                </c:pt>
                <c:pt idx="157" formatCode="0">
                  <c:v>1.882207325444307</c:v>
                </c:pt>
                <c:pt idx="158" formatCode="0">
                  <c:v>1.818092434215126</c:v>
                </c:pt>
                <c:pt idx="159" formatCode="0">
                  <c:v>1.756161531551795</c:v>
                </c:pt>
                <c:pt idx="160" formatCode="0">
                  <c:v>1.696340222786175</c:v>
                </c:pt>
                <c:pt idx="161" formatCode="0">
                  <c:v>30.92278782736616</c:v>
                </c:pt>
                <c:pt idx="162" formatCode="0">
                  <c:v>29.86944415408797</c:v>
                </c:pt>
                <c:pt idx="163" formatCode="0">
                  <c:v>28.85198123322542</c:v>
                </c:pt>
                <c:pt idx="164" formatCode="0">
                  <c:v>27.8691768346303</c:v>
                </c:pt>
                <c:pt idx="165" formatCode="0">
                  <c:v>26.91985036180014</c:v>
                </c:pt>
                <c:pt idx="166" formatCode="0">
                  <c:v>26.0028614336834</c:v>
                </c:pt>
                <c:pt idx="167" formatCode="0">
                  <c:v>25.1171085147936</c:v>
                </c:pt>
                <c:pt idx="168" formatCode="0">
                  <c:v>24.26152759198671</c:v>
                </c:pt>
                <c:pt idx="169" formatCode="0">
                  <c:v>23.43509089631249</c:v>
                </c:pt>
                <c:pt idx="170" formatCode="0">
                  <c:v>22.63680566840415</c:v>
                </c:pt>
                <c:pt idx="171" formatCode="0">
                  <c:v>21.86571296592344</c:v>
                </c:pt>
                <c:pt idx="172" formatCode="0">
                  <c:v>21.12088651162848</c:v>
                </c:pt>
                <c:pt idx="173" formatCode="0">
                  <c:v>20.4014315806807</c:v>
                </c:pt>
                <c:pt idx="174" formatCode="0">
                  <c:v>19.70648392585413</c:v>
                </c:pt>
                <c:pt idx="175" formatCode="0">
                  <c:v>19.03520873935602</c:v>
                </c:pt>
                <c:pt idx="176" formatCode="0">
                  <c:v>18.38679965001169</c:v>
                </c:pt>
                <c:pt idx="177" formatCode="0">
                  <c:v>17.76047775460892</c:v>
                </c:pt>
                <c:pt idx="178" formatCode="0">
                  <c:v>17.15549068223833</c:v>
                </c:pt>
                <c:pt idx="179" formatCode="0">
                  <c:v>16.57111169050568</c:v>
                </c:pt>
                <c:pt idx="180" formatCode="0">
                  <c:v>16.00663879253066</c:v>
                </c:pt>
                <c:pt idx="181" formatCode="0">
                  <c:v>15.46139391368308</c:v>
                </c:pt>
                <c:pt idx="182" formatCode="0">
                  <c:v>14.93472207704399</c:v>
                </c:pt>
                <c:pt idx="183" formatCode="0">
                  <c:v>14.42599061661271</c:v>
                </c:pt>
                <c:pt idx="184" formatCode="0">
                  <c:v>13.93458841731515</c:v>
                </c:pt>
                <c:pt idx="185" formatCode="0">
                  <c:v>13.45992518090007</c:v>
                </c:pt>
                <c:pt idx="186" formatCode="0">
                  <c:v>13.0014307168417</c:v>
                </c:pt>
                <c:pt idx="187" formatCode="0">
                  <c:v>12.5585542573968</c:v>
                </c:pt>
                <c:pt idx="188" formatCode="0">
                  <c:v>12.13076379599335</c:v>
                </c:pt>
                <c:pt idx="189" formatCode="0">
                  <c:v>11.71754544815624</c:v>
                </c:pt>
                <c:pt idx="190" formatCode="0">
                  <c:v>11.31840283420208</c:v>
                </c:pt>
                <c:pt idx="191" formatCode="0">
                  <c:v>10.93285648296172</c:v>
                </c:pt>
                <c:pt idx="192" formatCode="0">
                  <c:v>10.56044325581424</c:v>
                </c:pt>
                <c:pt idx="193" formatCode="0">
                  <c:v>10.20071579034035</c:v>
                </c:pt>
                <c:pt idx="194" formatCode="0">
                  <c:v>9.853241962927064</c:v>
                </c:pt>
                <c:pt idx="195" formatCode="0">
                  <c:v>9.517604369678007</c:v>
                </c:pt>
                <c:pt idx="196" formatCode="0">
                  <c:v>9.193399825005844</c:v>
                </c:pt>
                <c:pt idx="197" formatCode="0">
                  <c:v>8.88023887730446</c:v>
                </c:pt>
                <c:pt idx="198" formatCode="0">
                  <c:v>8.577745341119165</c:v>
                </c:pt>
                <c:pt idx="199" formatCode="0">
                  <c:v>8.285555845252842</c:v>
                </c:pt>
                <c:pt idx="200" formatCode="0">
                  <c:v>8.003319396265327</c:v>
                </c:pt>
                <c:pt idx="201" formatCode="0">
                  <c:v>7.73069695684154</c:v>
                </c:pt>
                <c:pt idx="202" formatCode="0">
                  <c:v>7.467361038521995</c:v>
                </c:pt>
                <c:pt idx="203" formatCode="0">
                  <c:v>7.212995308306356</c:v>
                </c:pt>
                <c:pt idx="204" formatCode="0">
                  <c:v>6.967294208657576</c:v>
                </c:pt>
                <c:pt idx="205" formatCode="0">
                  <c:v>6.729962590450035</c:v>
                </c:pt>
                <c:pt idx="206" formatCode="0">
                  <c:v>6.500715358420852</c:v>
                </c:pt>
                <c:pt idx="207" formatCode="0">
                  <c:v>6.2792771286984</c:v>
                </c:pt>
                <c:pt idx="208" formatCode="0">
                  <c:v>6.065381897996676</c:v>
                </c:pt>
                <c:pt idx="209" formatCode="0">
                  <c:v>5.85877272407812</c:v>
                </c:pt>
                <c:pt idx="210" formatCode="0">
                  <c:v>5.659201417101037</c:v>
                </c:pt>
                <c:pt idx="211" formatCode="0">
                  <c:v>5.46642824148086</c:v>
                </c:pt>
                <c:pt idx="212" formatCode="0">
                  <c:v>5.280221627907122</c:v>
                </c:pt>
                <c:pt idx="213" formatCode="0">
                  <c:v>5.100357895170175</c:v>
                </c:pt>
                <c:pt idx="214" formatCode="0">
                  <c:v>4.926620981463533</c:v>
                </c:pt>
                <c:pt idx="215" formatCode="0">
                  <c:v>4.758802184839003</c:v>
                </c:pt>
                <c:pt idx="216" formatCode="0">
                  <c:v>4.596699912502922</c:v>
                </c:pt>
                <c:pt idx="217" formatCode="0">
                  <c:v>4.440119438652232</c:v>
                </c:pt>
                <c:pt idx="218" formatCode="0">
                  <c:v>4.288872670559583</c:v>
                </c:pt>
                <c:pt idx="219" formatCode="0">
                  <c:v>4.142777922626422</c:v>
                </c:pt>
                <c:pt idx="220" formatCode="0">
                  <c:v>4.00165969813266</c:v>
                </c:pt>
                <c:pt idx="221" formatCode="0">
                  <c:v>3.86534847842077</c:v>
                </c:pt>
                <c:pt idx="222" formatCode="0">
                  <c:v>3.733680519260997</c:v>
                </c:pt>
                <c:pt idx="223" formatCode="0">
                  <c:v>3.606497654153178</c:v>
                </c:pt>
                <c:pt idx="224" formatCode="0">
                  <c:v>3.483647104328789</c:v>
                </c:pt>
                <c:pt idx="225" formatCode="0">
                  <c:v>3.364981295225018</c:v>
                </c:pt>
                <c:pt idx="226" formatCode="0">
                  <c:v>3.250357679210426</c:v>
                </c:pt>
                <c:pt idx="227" formatCode="0">
                  <c:v>3.1396385643492</c:v>
                </c:pt>
                <c:pt idx="228" formatCode="0">
                  <c:v>3.032690948998339</c:v>
                </c:pt>
                <c:pt idx="229" formatCode="0">
                  <c:v>2.929386362039061</c:v>
                </c:pt>
                <c:pt idx="230" formatCode="0">
                  <c:v>2.82960070855052</c:v>
                </c:pt>
                <c:pt idx="231" formatCode="0">
                  <c:v>2.73321412074043</c:v>
                </c:pt>
                <c:pt idx="232" formatCode="0">
                  <c:v>2.640110813953561</c:v>
                </c:pt>
                <c:pt idx="233" formatCode="0">
                  <c:v>2.550178947585088</c:v>
                </c:pt>
                <c:pt idx="234" formatCode="0">
                  <c:v>2.463310490731766</c:v>
                </c:pt>
                <c:pt idx="235" formatCode="0">
                  <c:v>2.379401092419502</c:v>
                </c:pt>
                <c:pt idx="236" formatCode="0">
                  <c:v>2.298349956251461</c:v>
                </c:pt>
                <c:pt idx="237" formatCode="0">
                  <c:v>2.220059719326116</c:v>
                </c:pt>
                <c:pt idx="238" formatCode="0">
                  <c:v>2.144436335279791</c:v>
                </c:pt>
                <c:pt idx="239" formatCode="0">
                  <c:v>2.071388961313211</c:v>
                </c:pt>
                <c:pt idx="240" formatCode="0">
                  <c:v>2.000829849066332</c:v>
                </c:pt>
              </c:numCache>
            </c:numRef>
          </c:val>
        </c:ser>
        <c:ser>
          <c:idx val="2"/>
          <c:order val="2"/>
          <c:tx>
            <c:strRef>
              <c:f>'MixCon Even T40H80U25'!$AI$77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cat>
            <c:numRef>
              <c:f>'MixCon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'MixCon Even T40H80U25'!$AI$78:$AI$318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0.0</c:v>
                </c:pt>
                <c:pt idx="81" formatCode="0">
                  <c:v>0.00668801632245595</c:v>
                </c:pt>
                <c:pt idx="82" formatCode="0">
                  <c:v>0.0504185326109012</c:v>
                </c:pt>
                <c:pt idx="83" formatCode="0">
                  <c:v>0.160413357645756</c:v>
                </c:pt>
                <c:pt idx="84" formatCode="0">
                  <c:v>0.35859718815809</c:v>
                </c:pt>
                <c:pt idx="85" formatCode="0">
                  <c:v>0.660785573896258</c:v>
                </c:pt>
                <c:pt idx="86" formatCode="0">
                  <c:v>1.077708464550237</c:v>
                </c:pt>
                <c:pt idx="87" formatCode="0">
                  <c:v>1.615890329645917</c:v>
                </c:pt>
                <c:pt idx="88" formatCode="0">
                  <c:v>2.278405281062679</c:v>
                </c:pt>
                <c:pt idx="89" formatCode="0">
                  <c:v>3.06552337058766</c:v>
                </c:pt>
                <c:pt idx="90" formatCode="0">
                  <c:v>3.975262246372517</c:v>
                </c:pt>
                <c:pt idx="91" formatCode="0">
                  <c:v>5.003856600881361</c:v>
                </c:pt>
                <c:pt idx="92" formatCode="0">
                  <c:v>6.146156301122398</c:v>
                </c:pt>
                <c:pt idx="93" formatCode="0">
                  <c:v>7.395962735068286</c:v>
                </c:pt>
                <c:pt idx="94" formatCode="0">
                  <c:v>8.746311714465289</c:v>
                </c:pt>
                <c:pt idx="95" formatCode="0">
                  <c:v>10.18971022450242</c:v>
                </c:pt>
                <c:pt idx="96" formatCode="0">
                  <c:v>11.71833338808361</c:v>
                </c:pt>
                <c:pt idx="97" formatCode="0">
                  <c:v>13.32418720171437</c:v>
                </c:pt>
                <c:pt idx="98" formatCode="0">
                  <c:v>14.99924188802333</c:v>
                </c:pt>
                <c:pt idx="99" formatCode="0">
                  <c:v>16.7355400849764</c:v>
                </c:pt>
                <c:pt idx="100" formatCode="0">
                  <c:v>18.5252835435601</c:v>
                </c:pt>
                <c:pt idx="101" formatCode="0">
                  <c:v>20.360901524977</c:v>
                </c:pt>
                <c:pt idx="102" formatCode="0">
                  <c:v>22.2351036671383</c:v>
                </c:pt>
                <c:pt idx="103" formatCode="0">
                  <c:v>24.14091972133881</c:v>
                </c:pt>
                <c:pt idx="104" formatCode="0">
                  <c:v>26.07172823716755</c:v>
                </c:pt>
                <c:pt idx="105" formatCode="0">
                  <c:v>28.02127599139918</c:v>
                </c:pt>
                <c:pt idx="106" formatCode="0">
                  <c:v>29.98368970993027</c:v>
                </c:pt>
                <c:pt idx="107" formatCode="0">
                  <c:v>31.9534814164577</c:v>
                </c:pt>
                <c:pt idx="108" formatCode="0">
                  <c:v>33.92554855373363</c:v>
                </c:pt>
                <c:pt idx="109" formatCode="0">
                  <c:v>35.89516985952151</c:v>
                </c:pt>
                <c:pt idx="110" formatCode="0">
                  <c:v>37.85799783686052</c:v>
                </c:pt>
                <c:pt idx="111" formatCode="0">
                  <c:v>39.81004853431885</c:v>
                </c:pt>
                <c:pt idx="112" formatCode="0">
                  <c:v>41.74768924428267</c:v>
                </c:pt>
                <c:pt idx="113" formatCode="0">
                  <c:v>43.6676246339707</c:v>
                </c:pt>
                <c:pt idx="114" formatCode="0">
                  <c:v>45.56688174300185</c:v>
                </c:pt>
                <c:pt idx="115" formatCode="0">
                  <c:v>47.44279421141578</c:v>
                </c:pt>
                <c:pt idx="116" formatCode="0">
                  <c:v>49.2929860416739</c:v>
                </c:pt>
                <c:pt idx="117" formatCode="0">
                  <c:v>51.11535514614482</c:v>
                </c:pt>
                <c:pt idx="118" formatCode="0">
                  <c:v>52.90805688683921</c:v>
                </c:pt>
                <c:pt idx="119" formatCode="0">
                  <c:v>54.6694877757727</c:v>
                </c:pt>
                <c:pt idx="120" formatCode="0">
                  <c:v>56.39826947148036</c:v>
                </c:pt>
                <c:pt idx="121" formatCode="0">
                  <c:v>58.09323317916701</c:v>
                </c:pt>
                <c:pt idx="122" formatCode="0">
                  <c:v>59.75340453812044</c:v>
                </c:pt>
                <c:pt idx="123" formatCode="0">
                  <c:v>61.37798905978897</c:v>
                </c:pt>
                <c:pt idx="124" formatCode="0">
                  <c:v>62.9663581628481</c:v>
                </c:pt>
                <c:pt idx="125" formatCode="0">
                  <c:v>64.51803583722602</c:v>
                </c:pt>
                <c:pt idx="126" formatCode="0">
                  <c:v>66.03268595705948</c:v>
                </c:pt>
                <c:pt idx="127" formatCode="0">
                  <c:v>67.51010025258091</c:v>
                </c:pt>
                <c:pt idx="128" formatCode="0">
                  <c:v>68.95018694271826</c:v>
                </c:pt>
                <c:pt idx="129" formatCode="0">
                  <c:v>70.35296002346652</c:v>
                </c:pt>
                <c:pt idx="130" formatCode="0">
                  <c:v>71.7185292016597</c:v>
                </c:pt>
                <c:pt idx="131" formatCode="0">
                  <c:v>73.0470904594357</c:v>
                </c:pt>
                <c:pt idx="132" formatCode="0">
                  <c:v>74.33891723129203</c:v>
                </c:pt>
                <c:pt idx="133" formatCode="0">
                  <c:v>75.59435217302817</c:v>
                </c:pt>
                <c:pt idx="134" formatCode="0">
                  <c:v>76.81379949994392</c:v>
                </c:pt>
                <c:pt idx="135" formatCode="0">
                  <c:v>77.99771787030171</c:v>
                </c:pt>
                <c:pt idx="136" formatCode="0">
                  <c:v>79.146613789177</c:v>
                </c:pt>
                <c:pt idx="137" formatCode="0">
                  <c:v>80.26103550733013</c:v>
                </c:pt>
                <c:pt idx="138" formatCode="0">
                  <c:v>81.34156738957395</c:v>
                </c:pt>
                <c:pt idx="139" formatCode="0">
                  <c:v>82.38882472721718</c:v>
                </c:pt>
                <c:pt idx="140" formatCode="0">
                  <c:v>83.40344896949128</c:v>
                </c:pt>
                <c:pt idx="141" formatCode="0">
                  <c:v>84.38610334936986</c:v>
                </c:pt>
                <c:pt idx="142" formatCode="0">
                  <c:v>85.33746887983068</c:v>
                </c:pt>
                <c:pt idx="143" formatCode="0">
                  <c:v>86.25824069735708</c:v>
                </c:pt>
                <c:pt idx="144" formatCode="0">
                  <c:v>87.14912473030602</c:v>
                </c:pt>
                <c:pt idx="145" formatCode="0">
                  <c:v>88.01083467065497</c:v>
                </c:pt>
                <c:pt idx="146" formatCode="0">
                  <c:v>88.84408922856835</c:v>
                </c:pt>
                <c:pt idx="147" formatCode="0">
                  <c:v>89.64960965017287</c:v>
                </c:pt>
                <c:pt idx="148" formatCode="0">
                  <c:v>90.42811747989307</c:v>
                </c:pt>
                <c:pt idx="149" formatCode="0">
                  <c:v>91.18033254965907</c:v>
                </c:pt>
                <c:pt idx="150" formatCode="0">
                  <c:v>91.90697117825042</c:v>
                </c:pt>
                <c:pt idx="151" formatCode="0">
                  <c:v>92.60874456497581</c:v>
                </c:pt>
                <c:pt idx="152" formatCode="0">
                  <c:v>93.28635736280309</c:v>
                </c:pt>
                <c:pt idx="153" formatCode="0">
                  <c:v>93.94050641694188</c:v>
                </c:pt>
                <c:pt idx="154" formatCode="0">
                  <c:v>94.57187965573975</c:v>
                </c:pt>
                <c:pt idx="155" formatCode="0">
                  <c:v>95.18115512158023</c:v>
                </c:pt>
                <c:pt idx="156" formatCode="0">
                  <c:v>95.76900013026282</c:v>
                </c:pt>
                <c:pt idx="157" formatCode="0">
                  <c:v>96.33607054810381</c:v>
                </c:pt>
                <c:pt idx="158" formatCode="0">
                  <c:v>96.88301017671954</c:v>
                </c:pt>
                <c:pt idx="159" formatCode="0">
                  <c:v>97.41045023613991</c:v>
                </c:pt>
                <c:pt idx="160" formatCode="0">
                  <c:v>97.91900893755162</c:v>
                </c:pt>
                <c:pt idx="161" formatCode="0">
                  <c:v>0.0</c:v>
                </c:pt>
                <c:pt idx="162" formatCode="0">
                  <c:v>0.00668801632245595</c:v>
                </c:pt>
                <c:pt idx="163" formatCode="0">
                  <c:v>0.0504185326109012</c:v>
                </c:pt>
                <c:pt idx="164" formatCode="0">
                  <c:v>0.160413357645756</c:v>
                </c:pt>
                <c:pt idx="165" formatCode="0">
                  <c:v>0.35859718815809</c:v>
                </c:pt>
                <c:pt idx="166" formatCode="0">
                  <c:v>0.660785573896258</c:v>
                </c:pt>
                <c:pt idx="167" formatCode="0">
                  <c:v>1.077708464550237</c:v>
                </c:pt>
                <c:pt idx="168" formatCode="0">
                  <c:v>1.615890329645917</c:v>
                </c:pt>
                <c:pt idx="169" formatCode="0">
                  <c:v>2.278405281062679</c:v>
                </c:pt>
                <c:pt idx="170" formatCode="0">
                  <c:v>3.06552337058766</c:v>
                </c:pt>
                <c:pt idx="171" formatCode="0">
                  <c:v>3.975262246372517</c:v>
                </c:pt>
                <c:pt idx="172" formatCode="0">
                  <c:v>5.003856600881361</c:v>
                </c:pt>
                <c:pt idx="173" formatCode="0">
                  <c:v>6.146156301122398</c:v>
                </c:pt>
                <c:pt idx="174" formatCode="0">
                  <c:v>7.395962735068286</c:v>
                </c:pt>
                <c:pt idx="175" formatCode="0">
                  <c:v>8.746311714465289</c:v>
                </c:pt>
                <c:pt idx="176" formatCode="0">
                  <c:v>10.18971022450242</c:v>
                </c:pt>
                <c:pt idx="177" formatCode="0">
                  <c:v>11.71833338808361</c:v>
                </c:pt>
                <c:pt idx="178" formatCode="0">
                  <c:v>13.32418720171437</c:v>
                </c:pt>
                <c:pt idx="179" formatCode="0">
                  <c:v>14.99924188802333</c:v>
                </c:pt>
                <c:pt idx="180" formatCode="0">
                  <c:v>16.7355400849764</c:v>
                </c:pt>
                <c:pt idx="181" formatCode="0">
                  <c:v>18.5252835435601</c:v>
                </c:pt>
                <c:pt idx="182" formatCode="0">
                  <c:v>20.360901524977</c:v>
                </c:pt>
                <c:pt idx="183" formatCode="0">
                  <c:v>22.2351036671383</c:v>
                </c:pt>
                <c:pt idx="184" formatCode="0">
                  <c:v>24.14091972133881</c:v>
                </c:pt>
                <c:pt idx="185" formatCode="0">
                  <c:v>26.07172823716755</c:v>
                </c:pt>
                <c:pt idx="186" formatCode="0">
                  <c:v>28.02127599139918</c:v>
                </c:pt>
                <c:pt idx="187" formatCode="0">
                  <c:v>29.98368970993027</c:v>
                </c:pt>
                <c:pt idx="188" formatCode="0">
                  <c:v>31.9534814164577</c:v>
                </c:pt>
                <c:pt idx="189" formatCode="0">
                  <c:v>33.92554855373363</c:v>
                </c:pt>
                <c:pt idx="190" formatCode="0">
                  <c:v>35.89516985952151</c:v>
                </c:pt>
                <c:pt idx="191" formatCode="0">
                  <c:v>37.85799783686052</c:v>
                </c:pt>
                <c:pt idx="192" formatCode="0">
                  <c:v>39.81004853431885</c:v>
                </c:pt>
                <c:pt idx="193" formatCode="0">
                  <c:v>41.74768924428267</c:v>
                </c:pt>
                <c:pt idx="194" formatCode="0">
                  <c:v>43.6676246339707</c:v>
                </c:pt>
                <c:pt idx="195" formatCode="0">
                  <c:v>45.56688174300185</c:v>
                </c:pt>
                <c:pt idx="196" formatCode="0">
                  <c:v>47.44279421141578</c:v>
                </c:pt>
                <c:pt idx="197" formatCode="0">
                  <c:v>49.2929860416739</c:v>
                </c:pt>
                <c:pt idx="198" formatCode="0">
                  <c:v>51.11535514614482</c:v>
                </c:pt>
                <c:pt idx="199" formatCode="0">
                  <c:v>52.90805688683921</c:v>
                </c:pt>
                <c:pt idx="200" formatCode="0">
                  <c:v>54.6694877757727</c:v>
                </c:pt>
                <c:pt idx="201" formatCode="0">
                  <c:v>56.39826947148036</c:v>
                </c:pt>
                <c:pt idx="202" formatCode="0">
                  <c:v>58.09323317916701</c:v>
                </c:pt>
                <c:pt idx="203" formatCode="0">
                  <c:v>59.75340453812044</c:v>
                </c:pt>
                <c:pt idx="204" formatCode="0">
                  <c:v>61.37798905978897</c:v>
                </c:pt>
                <c:pt idx="205" formatCode="0">
                  <c:v>62.9663581628481</c:v>
                </c:pt>
                <c:pt idx="206" formatCode="0">
                  <c:v>64.51803583722602</c:v>
                </c:pt>
                <c:pt idx="207" formatCode="0">
                  <c:v>66.03268595705948</c:v>
                </c:pt>
                <c:pt idx="208" formatCode="0">
                  <c:v>67.51010025258091</c:v>
                </c:pt>
                <c:pt idx="209" formatCode="0">
                  <c:v>68.95018694271826</c:v>
                </c:pt>
                <c:pt idx="210" formatCode="0">
                  <c:v>70.35296002346652</c:v>
                </c:pt>
                <c:pt idx="211" formatCode="0">
                  <c:v>71.7185292016597</c:v>
                </c:pt>
                <c:pt idx="212" formatCode="0">
                  <c:v>73.0470904594357</c:v>
                </c:pt>
                <c:pt idx="213" formatCode="0">
                  <c:v>74.33891723129203</c:v>
                </c:pt>
                <c:pt idx="214" formatCode="0">
                  <c:v>75.59435217302817</c:v>
                </c:pt>
                <c:pt idx="215" formatCode="0">
                  <c:v>76.81379949994392</c:v>
                </c:pt>
                <c:pt idx="216" formatCode="0">
                  <c:v>77.99771787030171</c:v>
                </c:pt>
                <c:pt idx="217" formatCode="0">
                  <c:v>79.146613789177</c:v>
                </c:pt>
                <c:pt idx="218" formatCode="0">
                  <c:v>80.26103550733013</c:v>
                </c:pt>
                <c:pt idx="219" formatCode="0">
                  <c:v>81.34156738957395</c:v>
                </c:pt>
                <c:pt idx="220" formatCode="0">
                  <c:v>82.38882472721718</c:v>
                </c:pt>
                <c:pt idx="221" formatCode="0">
                  <c:v>83.40344896949128</c:v>
                </c:pt>
                <c:pt idx="222" formatCode="0">
                  <c:v>84.38610334936986</c:v>
                </c:pt>
                <c:pt idx="223" formatCode="0">
                  <c:v>85.33746887983068</c:v>
                </c:pt>
                <c:pt idx="224" formatCode="0">
                  <c:v>86.25824069735708</c:v>
                </c:pt>
                <c:pt idx="225" formatCode="0">
                  <c:v>87.14912473030602</c:v>
                </c:pt>
                <c:pt idx="226" formatCode="0">
                  <c:v>88.01083467065497</c:v>
                </c:pt>
                <c:pt idx="227" formatCode="0">
                  <c:v>88.84408922856835</c:v>
                </c:pt>
                <c:pt idx="228" formatCode="0">
                  <c:v>89.64960965017287</c:v>
                </c:pt>
                <c:pt idx="229" formatCode="0">
                  <c:v>90.42811747989307</c:v>
                </c:pt>
                <c:pt idx="230" formatCode="0">
                  <c:v>91.18033254965907</c:v>
                </c:pt>
                <c:pt idx="231" formatCode="0">
                  <c:v>91.90697117825042</c:v>
                </c:pt>
                <c:pt idx="232" formatCode="0">
                  <c:v>92.60874456497581</c:v>
                </c:pt>
                <c:pt idx="233" formatCode="0">
                  <c:v>93.28635736280309</c:v>
                </c:pt>
                <c:pt idx="234" formatCode="0">
                  <c:v>93.94050641694188</c:v>
                </c:pt>
                <c:pt idx="235" formatCode="0">
                  <c:v>94.57187965573975</c:v>
                </c:pt>
                <c:pt idx="236" formatCode="0">
                  <c:v>95.18115512158023</c:v>
                </c:pt>
                <c:pt idx="237" formatCode="0">
                  <c:v>95.76900013026282</c:v>
                </c:pt>
                <c:pt idx="238" formatCode="0">
                  <c:v>96.33607054810381</c:v>
                </c:pt>
                <c:pt idx="239" formatCode="0">
                  <c:v>96.88301017671954</c:v>
                </c:pt>
                <c:pt idx="240" formatCode="0">
                  <c:v>97.41045023613991</c:v>
                </c:pt>
              </c:numCache>
            </c:numRef>
          </c:val>
        </c:ser>
        <c:ser>
          <c:idx val="3"/>
          <c:order val="3"/>
          <c:tx>
            <c:strRef>
              <c:f>'MixCon Even T40H80U25'!$AJ$77</c:f>
              <c:strCache>
                <c:ptCount val="1"/>
                <c:pt idx="0">
                  <c:v>Energy from logging residues</c:v>
                </c:pt>
              </c:strCache>
            </c:strRef>
          </c:tx>
          <c:spPr>
            <a:pattFill prst="smConfetti">
              <a:fgClr>
                <a:schemeClr val="bg1"/>
              </a:fgClr>
              <a:bgClr>
                <a:schemeClr val="accent5">
                  <a:lumMod val="75000"/>
                </a:schemeClr>
              </a:bgClr>
            </a:pattFill>
          </c:spPr>
          <c:invertIfNegative val="0"/>
          <c:cat>
            <c:numRef>
              <c:f>'MixCon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'MixCon Even T40H80U25'!$AJ$78:$AJ$318</c:f>
              <c:numCache>
                <c:formatCode>General</c:formatCode>
                <c:ptCount val="241"/>
                <c:pt idx="40" formatCode="0">
                  <c:v>2.020207719085605</c:v>
                </c:pt>
                <c:pt idx="41" formatCode="0">
                  <c:v>2.020207719085605</c:v>
                </c:pt>
                <c:pt idx="42" formatCode="0">
                  <c:v>2.020207719085605</c:v>
                </c:pt>
                <c:pt idx="43" formatCode="0">
                  <c:v>2.020207719085605</c:v>
                </c:pt>
                <c:pt idx="44" formatCode="0">
                  <c:v>2.020207719085605</c:v>
                </c:pt>
                <c:pt idx="45" formatCode="0">
                  <c:v>2.020207719085605</c:v>
                </c:pt>
                <c:pt idx="46" formatCode="0">
                  <c:v>2.020207719085605</c:v>
                </c:pt>
                <c:pt idx="47" formatCode="0">
                  <c:v>2.020207719085605</c:v>
                </c:pt>
                <c:pt idx="48" formatCode="0">
                  <c:v>2.020207719085605</c:v>
                </c:pt>
                <c:pt idx="49" formatCode="0">
                  <c:v>2.020207719085605</c:v>
                </c:pt>
                <c:pt idx="50" formatCode="0">
                  <c:v>2.020207719085605</c:v>
                </c:pt>
                <c:pt idx="51" formatCode="0">
                  <c:v>2.020207719085605</c:v>
                </c:pt>
                <c:pt idx="52" formatCode="0">
                  <c:v>2.020207719085605</c:v>
                </c:pt>
                <c:pt idx="53" formatCode="0">
                  <c:v>2.020207719085605</c:v>
                </c:pt>
                <c:pt idx="54" formatCode="0">
                  <c:v>2.020207719085605</c:v>
                </c:pt>
                <c:pt idx="55" formatCode="0">
                  <c:v>2.020207719085605</c:v>
                </c:pt>
                <c:pt idx="56" formatCode="0">
                  <c:v>2.020207719085605</c:v>
                </c:pt>
                <c:pt idx="57" formatCode="0">
                  <c:v>2.020207719085605</c:v>
                </c:pt>
                <c:pt idx="58" formatCode="0">
                  <c:v>2.020207719085605</c:v>
                </c:pt>
                <c:pt idx="59" formatCode="0">
                  <c:v>2.020207719085605</c:v>
                </c:pt>
                <c:pt idx="60" formatCode="0">
                  <c:v>2.020207719085605</c:v>
                </c:pt>
                <c:pt idx="61" formatCode="0">
                  <c:v>2.020207719085605</c:v>
                </c:pt>
                <c:pt idx="62" formatCode="0">
                  <c:v>2.020207719085605</c:v>
                </c:pt>
                <c:pt idx="63" formatCode="0">
                  <c:v>2.020207719085605</c:v>
                </c:pt>
                <c:pt idx="64" formatCode="0">
                  <c:v>2.020207719085605</c:v>
                </c:pt>
                <c:pt idx="65" formatCode="0">
                  <c:v>2.020207719085605</c:v>
                </c:pt>
                <c:pt idx="66" formatCode="0">
                  <c:v>2.020207719085605</c:v>
                </c:pt>
                <c:pt idx="67" formatCode="0">
                  <c:v>2.020207719085605</c:v>
                </c:pt>
                <c:pt idx="68" formatCode="0">
                  <c:v>2.020207719085605</c:v>
                </c:pt>
                <c:pt idx="69" formatCode="0">
                  <c:v>2.020207719085605</c:v>
                </c:pt>
                <c:pt idx="70" formatCode="0">
                  <c:v>2.020207719085605</c:v>
                </c:pt>
                <c:pt idx="71" formatCode="0">
                  <c:v>2.020207719085605</c:v>
                </c:pt>
                <c:pt idx="72" formatCode="0">
                  <c:v>2.020207719085605</c:v>
                </c:pt>
                <c:pt idx="73" formatCode="0">
                  <c:v>2.020207719085605</c:v>
                </c:pt>
                <c:pt idx="74" formatCode="0">
                  <c:v>2.020207719085605</c:v>
                </c:pt>
                <c:pt idx="75" formatCode="0">
                  <c:v>2.020207719085605</c:v>
                </c:pt>
                <c:pt idx="76" formatCode="0">
                  <c:v>2.020207719085605</c:v>
                </c:pt>
                <c:pt idx="77" formatCode="0">
                  <c:v>2.020207719085605</c:v>
                </c:pt>
                <c:pt idx="78" formatCode="0">
                  <c:v>2.020207719085605</c:v>
                </c:pt>
                <c:pt idx="79" formatCode="0">
                  <c:v>2.020207719085605</c:v>
                </c:pt>
                <c:pt idx="80" formatCode="0">
                  <c:v>7.999674866647342</c:v>
                </c:pt>
                <c:pt idx="81" formatCode="0">
                  <c:v>7.999674866647342</c:v>
                </c:pt>
                <c:pt idx="82" formatCode="0">
                  <c:v>7.999674866647342</c:v>
                </c:pt>
                <c:pt idx="83" formatCode="0">
                  <c:v>7.999674866647342</c:v>
                </c:pt>
                <c:pt idx="84" formatCode="0">
                  <c:v>7.999674866647342</c:v>
                </c:pt>
                <c:pt idx="85" formatCode="0">
                  <c:v>7.999674866647342</c:v>
                </c:pt>
                <c:pt idx="86" formatCode="0">
                  <c:v>7.999674866647342</c:v>
                </c:pt>
                <c:pt idx="87" formatCode="0">
                  <c:v>7.999674866647342</c:v>
                </c:pt>
                <c:pt idx="88" formatCode="0">
                  <c:v>7.999674866647342</c:v>
                </c:pt>
                <c:pt idx="89" formatCode="0">
                  <c:v>7.999674866647342</c:v>
                </c:pt>
                <c:pt idx="90" formatCode="0">
                  <c:v>7.999674866647342</c:v>
                </c:pt>
                <c:pt idx="91" formatCode="0">
                  <c:v>7.999674866647342</c:v>
                </c:pt>
                <c:pt idx="92" formatCode="0">
                  <c:v>7.999674866647342</c:v>
                </c:pt>
                <c:pt idx="93" formatCode="0">
                  <c:v>7.999674866647342</c:v>
                </c:pt>
                <c:pt idx="94" formatCode="0">
                  <c:v>7.999674866647342</c:v>
                </c:pt>
                <c:pt idx="95" formatCode="0">
                  <c:v>7.999674866647342</c:v>
                </c:pt>
                <c:pt idx="96" formatCode="0">
                  <c:v>7.999674866647342</c:v>
                </c:pt>
                <c:pt idx="97" formatCode="0">
                  <c:v>7.999674866647342</c:v>
                </c:pt>
                <c:pt idx="98" formatCode="0">
                  <c:v>7.999674866647342</c:v>
                </c:pt>
                <c:pt idx="99" formatCode="0">
                  <c:v>7.999674866647342</c:v>
                </c:pt>
                <c:pt idx="100" formatCode="0">
                  <c:v>7.999674866647342</c:v>
                </c:pt>
                <c:pt idx="101" formatCode="0">
                  <c:v>7.999674866647342</c:v>
                </c:pt>
                <c:pt idx="102" formatCode="0">
                  <c:v>7.999674866647342</c:v>
                </c:pt>
                <c:pt idx="103" formatCode="0">
                  <c:v>7.999674866647342</c:v>
                </c:pt>
                <c:pt idx="104" formatCode="0">
                  <c:v>7.999674866647342</c:v>
                </c:pt>
                <c:pt idx="105" formatCode="0">
                  <c:v>7.999674866647342</c:v>
                </c:pt>
                <c:pt idx="106" formatCode="0">
                  <c:v>7.999674866647342</c:v>
                </c:pt>
                <c:pt idx="107" formatCode="0">
                  <c:v>7.999674866647342</c:v>
                </c:pt>
                <c:pt idx="108" formatCode="0">
                  <c:v>7.999674866647342</c:v>
                </c:pt>
                <c:pt idx="109" formatCode="0">
                  <c:v>7.999674866647342</c:v>
                </c:pt>
                <c:pt idx="110" formatCode="0">
                  <c:v>7.999674866647342</c:v>
                </c:pt>
                <c:pt idx="111" formatCode="0">
                  <c:v>7.999674866647342</c:v>
                </c:pt>
                <c:pt idx="112" formatCode="0">
                  <c:v>7.999674866647342</c:v>
                </c:pt>
                <c:pt idx="113" formatCode="0">
                  <c:v>7.999674866647342</c:v>
                </c:pt>
                <c:pt idx="114" formatCode="0">
                  <c:v>7.999674866647342</c:v>
                </c:pt>
                <c:pt idx="115" formatCode="0">
                  <c:v>7.999674866647342</c:v>
                </c:pt>
                <c:pt idx="116" formatCode="0">
                  <c:v>7.999674866647342</c:v>
                </c:pt>
                <c:pt idx="117" formatCode="0">
                  <c:v>7.999674866647342</c:v>
                </c:pt>
                <c:pt idx="118" formatCode="0">
                  <c:v>7.999674866647342</c:v>
                </c:pt>
                <c:pt idx="119" formatCode="0">
                  <c:v>7.999674866647342</c:v>
                </c:pt>
                <c:pt idx="120" formatCode="0">
                  <c:v>7.999674866647342</c:v>
                </c:pt>
                <c:pt idx="121" formatCode="0">
                  <c:v>7.999674866647342</c:v>
                </c:pt>
                <c:pt idx="122" formatCode="0">
                  <c:v>7.999674866647342</c:v>
                </c:pt>
                <c:pt idx="123" formatCode="0">
                  <c:v>7.999674866647342</c:v>
                </c:pt>
                <c:pt idx="124" formatCode="0">
                  <c:v>7.999674866647342</c:v>
                </c:pt>
                <c:pt idx="125" formatCode="0">
                  <c:v>7.999674866647342</c:v>
                </c:pt>
                <c:pt idx="126" formatCode="0">
                  <c:v>7.999674866647342</c:v>
                </c:pt>
                <c:pt idx="127" formatCode="0">
                  <c:v>7.999674866647342</c:v>
                </c:pt>
                <c:pt idx="128" formatCode="0">
                  <c:v>7.999674866647342</c:v>
                </c:pt>
                <c:pt idx="129" formatCode="0">
                  <c:v>7.999674866647342</c:v>
                </c:pt>
                <c:pt idx="130" formatCode="0">
                  <c:v>7.999674866647342</c:v>
                </c:pt>
                <c:pt idx="131" formatCode="0">
                  <c:v>7.999674866647342</c:v>
                </c:pt>
                <c:pt idx="132" formatCode="0">
                  <c:v>7.999674866647342</c:v>
                </c:pt>
                <c:pt idx="133" formatCode="0">
                  <c:v>7.999674866647342</c:v>
                </c:pt>
                <c:pt idx="134" formatCode="0">
                  <c:v>7.999674866647342</c:v>
                </c:pt>
                <c:pt idx="135" formatCode="0">
                  <c:v>7.999674866647342</c:v>
                </c:pt>
                <c:pt idx="136" formatCode="0">
                  <c:v>7.999674866647342</c:v>
                </c:pt>
                <c:pt idx="137" formatCode="0">
                  <c:v>7.999674866647342</c:v>
                </c:pt>
                <c:pt idx="138" formatCode="0">
                  <c:v>7.999674866647342</c:v>
                </c:pt>
                <c:pt idx="139" formatCode="0">
                  <c:v>7.999674866647342</c:v>
                </c:pt>
                <c:pt idx="140" formatCode="0">
                  <c:v>7.999674866647342</c:v>
                </c:pt>
                <c:pt idx="141" formatCode="0">
                  <c:v>7.999674866647342</c:v>
                </c:pt>
                <c:pt idx="142" formatCode="0">
                  <c:v>7.999674866647342</c:v>
                </c:pt>
                <c:pt idx="143" formatCode="0">
                  <c:v>7.999674866647342</c:v>
                </c:pt>
                <c:pt idx="144" formatCode="0">
                  <c:v>7.999674866647342</c:v>
                </c:pt>
                <c:pt idx="145" formatCode="0">
                  <c:v>7.999674866647342</c:v>
                </c:pt>
                <c:pt idx="146" formatCode="0">
                  <c:v>7.999674866647342</c:v>
                </c:pt>
                <c:pt idx="147" formatCode="0">
                  <c:v>7.999674866647342</c:v>
                </c:pt>
                <c:pt idx="148" formatCode="0">
                  <c:v>7.999674866647342</c:v>
                </c:pt>
                <c:pt idx="149" formatCode="0">
                  <c:v>7.999674866647342</c:v>
                </c:pt>
                <c:pt idx="150" formatCode="0">
                  <c:v>7.999674866647342</c:v>
                </c:pt>
                <c:pt idx="151" formatCode="0">
                  <c:v>7.999674866647342</c:v>
                </c:pt>
                <c:pt idx="152" formatCode="0">
                  <c:v>7.999674866647342</c:v>
                </c:pt>
                <c:pt idx="153" formatCode="0">
                  <c:v>7.999674866647342</c:v>
                </c:pt>
                <c:pt idx="154" formatCode="0">
                  <c:v>7.999674866647342</c:v>
                </c:pt>
                <c:pt idx="155" formatCode="0">
                  <c:v>7.999674866647342</c:v>
                </c:pt>
                <c:pt idx="156" formatCode="0">
                  <c:v>7.999674866647342</c:v>
                </c:pt>
                <c:pt idx="157" formatCode="0">
                  <c:v>7.999674866647342</c:v>
                </c:pt>
                <c:pt idx="158" formatCode="0">
                  <c:v>7.999674866647342</c:v>
                </c:pt>
                <c:pt idx="159" formatCode="0">
                  <c:v>7.999674866647342</c:v>
                </c:pt>
                <c:pt idx="160" formatCode="0">
                  <c:v>7.999674866647342</c:v>
                </c:pt>
                <c:pt idx="161" formatCode="0">
                  <c:v>12.83379777319035</c:v>
                </c:pt>
                <c:pt idx="162" formatCode="0">
                  <c:v>12.83379777319035</c:v>
                </c:pt>
                <c:pt idx="163" formatCode="0">
                  <c:v>12.83379777319035</c:v>
                </c:pt>
                <c:pt idx="164" formatCode="0">
                  <c:v>12.83379777319035</c:v>
                </c:pt>
                <c:pt idx="165" formatCode="0">
                  <c:v>12.83379777319035</c:v>
                </c:pt>
                <c:pt idx="166" formatCode="0">
                  <c:v>12.83379777319035</c:v>
                </c:pt>
                <c:pt idx="167" formatCode="0">
                  <c:v>12.83379777319035</c:v>
                </c:pt>
                <c:pt idx="168" formatCode="0">
                  <c:v>12.83379777319035</c:v>
                </c:pt>
                <c:pt idx="169" formatCode="0">
                  <c:v>12.83379777319035</c:v>
                </c:pt>
                <c:pt idx="170" formatCode="0">
                  <c:v>12.83379777319035</c:v>
                </c:pt>
                <c:pt idx="171" formatCode="0">
                  <c:v>12.83379777319035</c:v>
                </c:pt>
                <c:pt idx="172" formatCode="0">
                  <c:v>12.83379777319035</c:v>
                </c:pt>
                <c:pt idx="173" formatCode="0">
                  <c:v>12.83379777319035</c:v>
                </c:pt>
                <c:pt idx="174" formatCode="0">
                  <c:v>12.83379777319035</c:v>
                </c:pt>
                <c:pt idx="175" formatCode="0">
                  <c:v>12.83379777319035</c:v>
                </c:pt>
                <c:pt idx="176" formatCode="0">
                  <c:v>12.83379777319035</c:v>
                </c:pt>
                <c:pt idx="177" formatCode="0">
                  <c:v>12.83379777319035</c:v>
                </c:pt>
                <c:pt idx="178" formatCode="0">
                  <c:v>12.83379777319035</c:v>
                </c:pt>
                <c:pt idx="179" formatCode="0">
                  <c:v>12.83379777319035</c:v>
                </c:pt>
                <c:pt idx="180" formatCode="0">
                  <c:v>12.83379777319035</c:v>
                </c:pt>
                <c:pt idx="181" formatCode="0">
                  <c:v>12.83379777319035</c:v>
                </c:pt>
                <c:pt idx="182" formatCode="0">
                  <c:v>12.83379777319035</c:v>
                </c:pt>
                <c:pt idx="183" formatCode="0">
                  <c:v>12.83379777319035</c:v>
                </c:pt>
                <c:pt idx="184" formatCode="0">
                  <c:v>12.83379777319035</c:v>
                </c:pt>
                <c:pt idx="185" formatCode="0">
                  <c:v>12.83379777319035</c:v>
                </c:pt>
                <c:pt idx="186" formatCode="0">
                  <c:v>12.83379777319035</c:v>
                </c:pt>
                <c:pt idx="187" formatCode="0">
                  <c:v>12.83379777319035</c:v>
                </c:pt>
                <c:pt idx="188" formatCode="0">
                  <c:v>12.83379777319035</c:v>
                </c:pt>
                <c:pt idx="189" formatCode="0">
                  <c:v>12.83379777319035</c:v>
                </c:pt>
                <c:pt idx="190" formatCode="0">
                  <c:v>12.83379777319035</c:v>
                </c:pt>
                <c:pt idx="191" formatCode="0">
                  <c:v>12.83379777319035</c:v>
                </c:pt>
                <c:pt idx="192" formatCode="0">
                  <c:v>12.83379777319035</c:v>
                </c:pt>
                <c:pt idx="193" formatCode="0">
                  <c:v>12.83379777319035</c:v>
                </c:pt>
                <c:pt idx="194" formatCode="0">
                  <c:v>12.83379777319035</c:v>
                </c:pt>
                <c:pt idx="195" formatCode="0">
                  <c:v>12.83379777319035</c:v>
                </c:pt>
                <c:pt idx="196" formatCode="0">
                  <c:v>12.83379777319035</c:v>
                </c:pt>
                <c:pt idx="197" formatCode="0">
                  <c:v>12.83379777319035</c:v>
                </c:pt>
                <c:pt idx="198" formatCode="0">
                  <c:v>12.83379777319035</c:v>
                </c:pt>
                <c:pt idx="199" formatCode="0">
                  <c:v>12.83379777319035</c:v>
                </c:pt>
                <c:pt idx="200" formatCode="0">
                  <c:v>12.83379777319035</c:v>
                </c:pt>
                <c:pt idx="201" formatCode="0">
                  <c:v>12.83379777319035</c:v>
                </c:pt>
                <c:pt idx="202" formatCode="0">
                  <c:v>12.83379777319035</c:v>
                </c:pt>
                <c:pt idx="203" formatCode="0">
                  <c:v>12.83379777319035</c:v>
                </c:pt>
                <c:pt idx="204" formatCode="0">
                  <c:v>12.83379777319035</c:v>
                </c:pt>
                <c:pt idx="205" formatCode="0">
                  <c:v>12.83379777319035</c:v>
                </c:pt>
                <c:pt idx="206" formatCode="0">
                  <c:v>12.83379777319035</c:v>
                </c:pt>
                <c:pt idx="207" formatCode="0">
                  <c:v>12.83379777319035</c:v>
                </c:pt>
                <c:pt idx="208" formatCode="0">
                  <c:v>12.83379777319035</c:v>
                </c:pt>
                <c:pt idx="209" formatCode="0">
                  <c:v>12.83379777319035</c:v>
                </c:pt>
                <c:pt idx="210" formatCode="0">
                  <c:v>12.83379777319035</c:v>
                </c:pt>
                <c:pt idx="211" formatCode="0">
                  <c:v>12.83379777319035</c:v>
                </c:pt>
                <c:pt idx="212" formatCode="0">
                  <c:v>12.83379777319035</c:v>
                </c:pt>
                <c:pt idx="213" formatCode="0">
                  <c:v>12.83379777319035</c:v>
                </c:pt>
                <c:pt idx="214" formatCode="0">
                  <c:v>12.83379777319035</c:v>
                </c:pt>
                <c:pt idx="215" formatCode="0">
                  <c:v>12.83379777319035</c:v>
                </c:pt>
                <c:pt idx="216" formatCode="0">
                  <c:v>12.83379777319035</c:v>
                </c:pt>
                <c:pt idx="217" formatCode="0">
                  <c:v>12.83379777319035</c:v>
                </c:pt>
                <c:pt idx="218" formatCode="0">
                  <c:v>12.83379777319035</c:v>
                </c:pt>
                <c:pt idx="219" formatCode="0">
                  <c:v>12.83379777319035</c:v>
                </c:pt>
                <c:pt idx="220" formatCode="0">
                  <c:v>12.83379777319035</c:v>
                </c:pt>
                <c:pt idx="221" formatCode="0">
                  <c:v>12.83379777319035</c:v>
                </c:pt>
                <c:pt idx="222" formatCode="0">
                  <c:v>12.83379777319035</c:v>
                </c:pt>
                <c:pt idx="223" formatCode="0">
                  <c:v>12.83379777319035</c:v>
                </c:pt>
                <c:pt idx="224" formatCode="0">
                  <c:v>12.83379777319035</c:v>
                </c:pt>
                <c:pt idx="225" formatCode="0">
                  <c:v>12.83379777319035</c:v>
                </c:pt>
                <c:pt idx="226" formatCode="0">
                  <c:v>12.83379777319035</c:v>
                </c:pt>
                <c:pt idx="227" formatCode="0">
                  <c:v>12.83379777319035</c:v>
                </c:pt>
                <c:pt idx="228" formatCode="0">
                  <c:v>12.83379777319035</c:v>
                </c:pt>
                <c:pt idx="229" formatCode="0">
                  <c:v>12.83379777319035</c:v>
                </c:pt>
                <c:pt idx="230" formatCode="0">
                  <c:v>12.83379777319035</c:v>
                </c:pt>
                <c:pt idx="231" formatCode="0">
                  <c:v>12.83379777319035</c:v>
                </c:pt>
                <c:pt idx="232" formatCode="0">
                  <c:v>12.83379777319035</c:v>
                </c:pt>
                <c:pt idx="233" formatCode="0">
                  <c:v>12.83379777319035</c:v>
                </c:pt>
                <c:pt idx="234" formatCode="0">
                  <c:v>12.83379777319035</c:v>
                </c:pt>
                <c:pt idx="235" formatCode="0">
                  <c:v>12.83379777319035</c:v>
                </c:pt>
                <c:pt idx="236" formatCode="0">
                  <c:v>12.83379777319035</c:v>
                </c:pt>
                <c:pt idx="237" formatCode="0">
                  <c:v>12.83379777319035</c:v>
                </c:pt>
                <c:pt idx="238" formatCode="0">
                  <c:v>12.83379777319035</c:v>
                </c:pt>
                <c:pt idx="239" formatCode="0">
                  <c:v>12.83379777319035</c:v>
                </c:pt>
                <c:pt idx="240" formatCode="0">
                  <c:v>12.83379777319035</c:v>
                </c:pt>
              </c:numCache>
            </c:numRef>
          </c:val>
        </c:ser>
        <c:ser>
          <c:idx val="4"/>
          <c:order val="4"/>
          <c:tx>
            <c:strRef>
              <c:f>'MixCon Even T40H80U25'!$AK$77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5">
                  <a:lumMod val="60000"/>
                  <a:lumOff val="40000"/>
                </a:schemeClr>
              </a:bgClr>
            </a:pattFill>
          </c:spPr>
          <c:invertIfNegative val="0"/>
          <c:cat>
            <c:numRef>
              <c:f>'MixCon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'MixCon Even T40H80U25'!$AK$78:$AK$318</c:f>
              <c:numCache>
                <c:formatCode>General</c:formatCode>
                <c:ptCount val="241"/>
                <c:pt idx="40" formatCode="0">
                  <c:v>0.754210881791959</c:v>
                </c:pt>
                <c:pt idx="41" formatCode="0">
                  <c:v>0.754210881791959</c:v>
                </c:pt>
                <c:pt idx="42" formatCode="0">
                  <c:v>0.754210881791959</c:v>
                </c:pt>
                <c:pt idx="43" formatCode="0">
                  <c:v>0.754210881791959</c:v>
                </c:pt>
                <c:pt idx="44" formatCode="0">
                  <c:v>0.754210881791959</c:v>
                </c:pt>
                <c:pt idx="45" formatCode="0">
                  <c:v>0.754210881791959</c:v>
                </c:pt>
                <c:pt idx="46" formatCode="0">
                  <c:v>0.754210881791959</c:v>
                </c:pt>
                <c:pt idx="47" formatCode="0">
                  <c:v>0.754210881791959</c:v>
                </c:pt>
                <c:pt idx="48" formatCode="0">
                  <c:v>0.754210881791959</c:v>
                </c:pt>
                <c:pt idx="49" formatCode="0">
                  <c:v>0.754210881791959</c:v>
                </c:pt>
                <c:pt idx="50" formatCode="0">
                  <c:v>0.754210881791959</c:v>
                </c:pt>
                <c:pt idx="51" formatCode="0">
                  <c:v>0.754210881791959</c:v>
                </c:pt>
                <c:pt idx="52" formatCode="0">
                  <c:v>0.754210881791959</c:v>
                </c:pt>
                <c:pt idx="53" formatCode="0">
                  <c:v>0.754210881791959</c:v>
                </c:pt>
                <c:pt idx="54" formatCode="0">
                  <c:v>0.754210881791959</c:v>
                </c:pt>
                <c:pt idx="55" formatCode="0">
                  <c:v>0.754210881791959</c:v>
                </c:pt>
                <c:pt idx="56" formatCode="0">
                  <c:v>0.754210881791959</c:v>
                </c:pt>
                <c:pt idx="57" formatCode="0">
                  <c:v>0.754210881791959</c:v>
                </c:pt>
                <c:pt idx="58" formatCode="0">
                  <c:v>0.754210881791959</c:v>
                </c:pt>
                <c:pt idx="59" formatCode="0">
                  <c:v>0.754210881791959</c:v>
                </c:pt>
                <c:pt idx="60" formatCode="0">
                  <c:v>0.754210881791959</c:v>
                </c:pt>
                <c:pt idx="61" formatCode="0">
                  <c:v>0.754210881791959</c:v>
                </c:pt>
                <c:pt idx="62" formatCode="0">
                  <c:v>0.754210881791959</c:v>
                </c:pt>
                <c:pt idx="63" formatCode="0">
                  <c:v>0.754210881791959</c:v>
                </c:pt>
                <c:pt idx="64" formatCode="0">
                  <c:v>0.754210881791959</c:v>
                </c:pt>
                <c:pt idx="65" formatCode="0">
                  <c:v>0.754210881791959</c:v>
                </c:pt>
                <c:pt idx="66" formatCode="0">
                  <c:v>0.754210881791959</c:v>
                </c:pt>
                <c:pt idx="67" formatCode="0">
                  <c:v>0.754210881791959</c:v>
                </c:pt>
                <c:pt idx="68" formatCode="0">
                  <c:v>0.754210881791959</c:v>
                </c:pt>
                <c:pt idx="69" formatCode="0">
                  <c:v>0.754210881791959</c:v>
                </c:pt>
                <c:pt idx="70" formatCode="0">
                  <c:v>0.754210881791959</c:v>
                </c:pt>
                <c:pt idx="71" formatCode="0">
                  <c:v>0.754210881791959</c:v>
                </c:pt>
                <c:pt idx="72" formatCode="0">
                  <c:v>0.754210881791959</c:v>
                </c:pt>
                <c:pt idx="73" formatCode="0">
                  <c:v>0.754210881791959</c:v>
                </c:pt>
                <c:pt idx="74" formatCode="0">
                  <c:v>0.754210881791959</c:v>
                </c:pt>
                <c:pt idx="75" formatCode="0">
                  <c:v>0.754210881791959</c:v>
                </c:pt>
                <c:pt idx="76" formatCode="0">
                  <c:v>0.754210881791959</c:v>
                </c:pt>
                <c:pt idx="77" formatCode="0">
                  <c:v>0.754210881791959</c:v>
                </c:pt>
                <c:pt idx="78" formatCode="0">
                  <c:v>0.754210881791959</c:v>
                </c:pt>
                <c:pt idx="79" formatCode="0">
                  <c:v>0.754210881791959</c:v>
                </c:pt>
                <c:pt idx="80" formatCode="0">
                  <c:v>13.05482901391896</c:v>
                </c:pt>
                <c:pt idx="81" formatCode="0">
                  <c:v>13.05482901391896</c:v>
                </c:pt>
                <c:pt idx="82" formatCode="0">
                  <c:v>13.05482901391896</c:v>
                </c:pt>
                <c:pt idx="83" formatCode="0">
                  <c:v>13.05482901391896</c:v>
                </c:pt>
                <c:pt idx="84" formatCode="0">
                  <c:v>13.05482901391896</c:v>
                </c:pt>
                <c:pt idx="85" formatCode="0">
                  <c:v>13.05482901391896</c:v>
                </c:pt>
                <c:pt idx="86" formatCode="0">
                  <c:v>13.05482901391896</c:v>
                </c:pt>
                <c:pt idx="87" formatCode="0">
                  <c:v>13.05482901391896</c:v>
                </c:pt>
                <c:pt idx="88" formatCode="0">
                  <c:v>13.05482901391896</c:v>
                </c:pt>
                <c:pt idx="89" formatCode="0">
                  <c:v>13.05482901391896</c:v>
                </c:pt>
                <c:pt idx="90" formatCode="0">
                  <c:v>13.05482901391896</c:v>
                </c:pt>
                <c:pt idx="91" formatCode="0">
                  <c:v>13.05482901391896</c:v>
                </c:pt>
                <c:pt idx="92" formatCode="0">
                  <c:v>13.05482901391896</c:v>
                </c:pt>
                <c:pt idx="93" formatCode="0">
                  <c:v>13.05482901391896</c:v>
                </c:pt>
                <c:pt idx="94" formatCode="0">
                  <c:v>13.05482901391896</c:v>
                </c:pt>
                <c:pt idx="95" formatCode="0">
                  <c:v>13.05482901391896</c:v>
                </c:pt>
                <c:pt idx="96" formatCode="0">
                  <c:v>13.05482901391896</c:v>
                </c:pt>
                <c:pt idx="97" formatCode="0">
                  <c:v>13.05482901391896</c:v>
                </c:pt>
                <c:pt idx="98" formatCode="0">
                  <c:v>13.05482901391896</c:v>
                </c:pt>
                <c:pt idx="99" formatCode="0">
                  <c:v>13.05482901391896</c:v>
                </c:pt>
                <c:pt idx="100" formatCode="0">
                  <c:v>13.05482901391896</c:v>
                </c:pt>
                <c:pt idx="101" formatCode="0">
                  <c:v>13.05482901391896</c:v>
                </c:pt>
                <c:pt idx="102" formatCode="0">
                  <c:v>13.05482901391896</c:v>
                </c:pt>
                <c:pt idx="103" formatCode="0">
                  <c:v>13.05482901391896</c:v>
                </c:pt>
                <c:pt idx="104" formatCode="0">
                  <c:v>13.05482901391896</c:v>
                </c:pt>
                <c:pt idx="105" formatCode="0">
                  <c:v>13.05482901391896</c:v>
                </c:pt>
                <c:pt idx="106" formatCode="0">
                  <c:v>13.05482901391896</c:v>
                </c:pt>
                <c:pt idx="107" formatCode="0">
                  <c:v>13.05482901391896</c:v>
                </c:pt>
                <c:pt idx="108" formatCode="0">
                  <c:v>13.05482901391896</c:v>
                </c:pt>
                <c:pt idx="109" formatCode="0">
                  <c:v>13.05482901391896</c:v>
                </c:pt>
                <c:pt idx="110" formatCode="0">
                  <c:v>13.05482901391896</c:v>
                </c:pt>
                <c:pt idx="111" formatCode="0">
                  <c:v>13.05482901391896</c:v>
                </c:pt>
                <c:pt idx="112" formatCode="0">
                  <c:v>13.05482901391896</c:v>
                </c:pt>
                <c:pt idx="113" formatCode="0">
                  <c:v>13.05482901391896</c:v>
                </c:pt>
                <c:pt idx="114" formatCode="0">
                  <c:v>13.05482901391896</c:v>
                </c:pt>
                <c:pt idx="115" formatCode="0">
                  <c:v>13.05482901391896</c:v>
                </c:pt>
                <c:pt idx="116" formatCode="0">
                  <c:v>13.05482901391896</c:v>
                </c:pt>
                <c:pt idx="117" formatCode="0">
                  <c:v>13.05482901391896</c:v>
                </c:pt>
                <c:pt idx="118" formatCode="0">
                  <c:v>13.05482901391896</c:v>
                </c:pt>
                <c:pt idx="119" formatCode="0">
                  <c:v>13.05482901391896</c:v>
                </c:pt>
                <c:pt idx="120" formatCode="0">
                  <c:v>13.05482901391896</c:v>
                </c:pt>
                <c:pt idx="121" formatCode="0">
                  <c:v>13.05482901391896</c:v>
                </c:pt>
                <c:pt idx="122" formatCode="0">
                  <c:v>13.05482901391896</c:v>
                </c:pt>
                <c:pt idx="123" formatCode="0">
                  <c:v>13.05482901391896</c:v>
                </c:pt>
                <c:pt idx="124" formatCode="0">
                  <c:v>13.05482901391896</c:v>
                </c:pt>
                <c:pt idx="125" formatCode="0">
                  <c:v>13.05482901391896</c:v>
                </c:pt>
                <c:pt idx="126" formatCode="0">
                  <c:v>13.05482901391896</c:v>
                </c:pt>
                <c:pt idx="127" formatCode="0">
                  <c:v>13.05482901391896</c:v>
                </c:pt>
                <c:pt idx="128" formatCode="0">
                  <c:v>13.05482901391896</c:v>
                </c:pt>
                <c:pt idx="129" formatCode="0">
                  <c:v>13.05482901391896</c:v>
                </c:pt>
                <c:pt idx="130" formatCode="0">
                  <c:v>13.05482901391896</c:v>
                </c:pt>
                <c:pt idx="131" formatCode="0">
                  <c:v>13.05482901391896</c:v>
                </c:pt>
                <c:pt idx="132" formatCode="0">
                  <c:v>13.05482901391896</c:v>
                </c:pt>
                <c:pt idx="133" formatCode="0">
                  <c:v>13.05482901391896</c:v>
                </c:pt>
                <c:pt idx="134" formatCode="0">
                  <c:v>13.05482901391896</c:v>
                </c:pt>
                <c:pt idx="135" formatCode="0">
                  <c:v>13.05482901391896</c:v>
                </c:pt>
                <c:pt idx="136" formatCode="0">
                  <c:v>13.05482901391896</c:v>
                </c:pt>
                <c:pt idx="137" formatCode="0">
                  <c:v>13.05482901391896</c:v>
                </c:pt>
                <c:pt idx="138" formatCode="0">
                  <c:v>13.05482901391896</c:v>
                </c:pt>
                <c:pt idx="139" formatCode="0">
                  <c:v>13.05482901391896</c:v>
                </c:pt>
                <c:pt idx="140" formatCode="0">
                  <c:v>13.05482901391896</c:v>
                </c:pt>
                <c:pt idx="141" formatCode="0">
                  <c:v>13.05482901391896</c:v>
                </c:pt>
                <c:pt idx="142" formatCode="0">
                  <c:v>13.05482901391896</c:v>
                </c:pt>
                <c:pt idx="143" formatCode="0">
                  <c:v>13.05482901391896</c:v>
                </c:pt>
                <c:pt idx="144" formatCode="0">
                  <c:v>13.05482901391896</c:v>
                </c:pt>
                <c:pt idx="145" formatCode="0">
                  <c:v>13.05482901391896</c:v>
                </c:pt>
                <c:pt idx="146" formatCode="0">
                  <c:v>13.05482901391896</c:v>
                </c:pt>
                <c:pt idx="147" formatCode="0">
                  <c:v>13.05482901391896</c:v>
                </c:pt>
                <c:pt idx="148" formatCode="0">
                  <c:v>13.05482901391896</c:v>
                </c:pt>
                <c:pt idx="149" formatCode="0">
                  <c:v>13.05482901391896</c:v>
                </c:pt>
                <c:pt idx="150" formatCode="0">
                  <c:v>13.05482901391896</c:v>
                </c:pt>
                <c:pt idx="151" formatCode="0">
                  <c:v>13.05482901391896</c:v>
                </c:pt>
                <c:pt idx="152" formatCode="0">
                  <c:v>13.05482901391896</c:v>
                </c:pt>
                <c:pt idx="153" formatCode="0">
                  <c:v>13.05482901391896</c:v>
                </c:pt>
                <c:pt idx="154" formatCode="0">
                  <c:v>13.05482901391896</c:v>
                </c:pt>
                <c:pt idx="155" formatCode="0">
                  <c:v>13.05482901391896</c:v>
                </c:pt>
                <c:pt idx="156" formatCode="0">
                  <c:v>13.05482901391896</c:v>
                </c:pt>
                <c:pt idx="157" formatCode="0">
                  <c:v>13.05482901391896</c:v>
                </c:pt>
                <c:pt idx="158" formatCode="0">
                  <c:v>13.05482901391896</c:v>
                </c:pt>
                <c:pt idx="159" formatCode="0">
                  <c:v>13.05482901391896</c:v>
                </c:pt>
                <c:pt idx="160" formatCode="0">
                  <c:v>13.05482901391896</c:v>
                </c:pt>
                <c:pt idx="161" formatCode="0">
                  <c:v>26.40095541913443</c:v>
                </c:pt>
                <c:pt idx="162" formatCode="0">
                  <c:v>26.40095541913443</c:v>
                </c:pt>
                <c:pt idx="163" formatCode="0">
                  <c:v>26.40095541913443</c:v>
                </c:pt>
                <c:pt idx="164" formatCode="0">
                  <c:v>26.40095541913443</c:v>
                </c:pt>
                <c:pt idx="165" formatCode="0">
                  <c:v>26.40095541913443</c:v>
                </c:pt>
                <c:pt idx="166" formatCode="0">
                  <c:v>26.40095541913443</c:v>
                </c:pt>
                <c:pt idx="167" formatCode="0">
                  <c:v>26.40095541913443</c:v>
                </c:pt>
                <c:pt idx="168" formatCode="0">
                  <c:v>26.40095541913443</c:v>
                </c:pt>
                <c:pt idx="169" formatCode="0">
                  <c:v>26.40095541913443</c:v>
                </c:pt>
                <c:pt idx="170" formatCode="0">
                  <c:v>26.40095541913443</c:v>
                </c:pt>
                <c:pt idx="171" formatCode="0">
                  <c:v>26.40095541913443</c:v>
                </c:pt>
                <c:pt idx="172" formatCode="0">
                  <c:v>26.40095541913443</c:v>
                </c:pt>
                <c:pt idx="173" formatCode="0">
                  <c:v>26.40095541913443</c:v>
                </c:pt>
                <c:pt idx="174" formatCode="0">
                  <c:v>26.40095541913443</c:v>
                </c:pt>
                <c:pt idx="175" formatCode="0">
                  <c:v>26.40095541913443</c:v>
                </c:pt>
                <c:pt idx="176" formatCode="0">
                  <c:v>26.40095541913443</c:v>
                </c:pt>
                <c:pt idx="177" formatCode="0">
                  <c:v>26.40095541913443</c:v>
                </c:pt>
                <c:pt idx="178" formatCode="0">
                  <c:v>26.40095541913443</c:v>
                </c:pt>
                <c:pt idx="179" formatCode="0">
                  <c:v>26.40095541913443</c:v>
                </c:pt>
                <c:pt idx="180" formatCode="0">
                  <c:v>26.40095541913443</c:v>
                </c:pt>
                <c:pt idx="181" formatCode="0">
                  <c:v>26.40095541913443</c:v>
                </c:pt>
                <c:pt idx="182" formatCode="0">
                  <c:v>26.40095541913443</c:v>
                </c:pt>
                <c:pt idx="183" formatCode="0">
                  <c:v>26.40095541913443</c:v>
                </c:pt>
                <c:pt idx="184" formatCode="0">
                  <c:v>26.40095541913443</c:v>
                </c:pt>
                <c:pt idx="185" formatCode="0">
                  <c:v>26.40095541913443</c:v>
                </c:pt>
                <c:pt idx="186" formatCode="0">
                  <c:v>26.40095541913443</c:v>
                </c:pt>
                <c:pt idx="187" formatCode="0">
                  <c:v>26.40095541913443</c:v>
                </c:pt>
                <c:pt idx="188" formatCode="0">
                  <c:v>26.40095541913443</c:v>
                </c:pt>
                <c:pt idx="189" formatCode="0">
                  <c:v>26.40095541913443</c:v>
                </c:pt>
                <c:pt idx="190" formatCode="0">
                  <c:v>26.40095541913443</c:v>
                </c:pt>
                <c:pt idx="191" formatCode="0">
                  <c:v>26.40095541913443</c:v>
                </c:pt>
                <c:pt idx="192" formatCode="0">
                  <c:v>26.40095541913443</c:v>
                </c:pt>
                <c:pt idx="193" formatCode="0">
                  <c:v>26.40095541913443</c:v>
                </c:pt>
                <c:pt idx="194" formatCode="0">
                  <c:v>26.40095541913443</c:v>
                </c:pt>
                <c:pt idx="195" formatCode="0">
                  <c:v>26.40095541913443</c:v>
                </c:pt>
                <c:pt idx="196" formatCode="0">
                  <c:v>26.40095541913443</c:v>
                </c:pt>
                <c:pt idx="197" formatCode="0">
                  <c:v>26.40095541913443</c:v>
                </c:pt>
                <c:pt idx="198" formatCode="0">
                  <c:v>26.40095541913443</c:v>
                </c:pt>
                <c:pt idx="199" formatCode="0">
                  <c:v>26.40095541913443</c:v>
                </c:pt>
                <c:pt idx="200" formatCode="0">
                  <c:v>26.40095541913443</c:v>
                </c:pt>
                <c:pt idx="201" formatCode="0">
                  <c:v>26.40095541913443</c:v>
                </c:pt>
                <c:pt idx="202" formatCode="0">
                  <c:v>26.40095541913443</c:v>
                </c:pt>
                <c:pt idx="203" formatCode="0">
                  <c:v>26.40095541913443</c:v>
                </c:pt>
                <c:pt idx="204" formatCode="0">
                  <c:v>26.40095541913443</c:v>
                </c:pt>
                <c:pt idx="205" formatCode="0">
                  <c:v>26.40095541913443</c:v>
                </c:pt>
                <c:pt idx="206" formatCode="0">
                  <c:v>26.40095541913443</c:v>
                </c:pt>
                <c:pt idx="207" formatCode="0">
                  <c:v>26.40095541913443</c:v>
                </c:pt>
                <c:pt idx="208" formatCode="0">
                  <c:v>26.40095541913443</c:v>
                </c:pt>
                <c:pt idx="209" formatCode="0">
                  <c:v>26.40095541913443</c:v>
                </c:pt>
                <c:pt idx="210" formatCode="0">
                  <c:v>26.40095541913443</c:v>
                </c:pt>
                <c:pt idx="211" formatCode="0">
                  <c:v>26.40095541913443</c:v>
                </c:pt>
                <c:pt idx="212" formatCode="0">
                  <c:v>26.40095541913443</c:v>
                </c:pt>
                <c:pt idx="213" formatCode="0">
                  <c:v>26.40095541913443</c:v>
                </c:pt>
                <c:pt idx="214" formatCode="0">
                  <c:v>26.40095541913443</c:v>
                </c:pt>
                <c:pt idx="215" formatCode="0">
                  <c:v>26.40095541913443</c:v>
                </c:pt>
                <c:pt idx="216" formatCode="0">
                  <c:v>26.40095541913443</c:v>
                </c:pt>
                <c:pt idx="217" formatCode="0">
                  <c:v>26.40095541913443</c:v>
                </c:pt>
                <c:pt idx="218" formatCode="0">
                  <c:v>26.40095541913443</c:v>
                </c:pt>
                <c:pt idx="219" formatCode="0">
                  <c:v>26.40095541913443</c:v>
                </c:pt>
                <c:pt idx="220" formatCode="0">
                  <c:v>26.40095541913443</c:v>
                </c:pt>
                <c:pt idx="221" formatCode="0">
                  <c:v>26.40095541913443</c:v>
                </c:pt>
                <c:pt idx="222" formatCode="0">
                  <c:v>26.40095541913443</c:v>
                </c:pt>
                <c:pt idx="223" formatCode="0">
                  <c:v>26.40095541913443</c:v>
                </c:pt>
                <c:pt idx="224" formatCode="0">
                  <c:v>26.40095541913443</c:v>
                </c:pt>
                <c:pt idx="225" formatCode="0">
                  <c:v>26.40095541913443</c:v>
                </c:pt>
                <c:pt idx="226" formatCode="0">
                  <c:v>26.40095541913443</c:v>
                </c:pt>
                <c:pt idx="227" formatCode="0">
                  <c:v>26.40095541913443</c:v>
                </c:pt>
                <c:pt idx="228" formatCode="0">
                  <c:v>26.40095541913443</c:v>
                </c:pt>
                <c:pt idx="229" formatCode="0">
                  <c:v>26.40095541913443</c:v>
                </c:pt>
                <c:pt idx="230" formatCode="0">
                  <c:v>26.40095541913443</c:v>
                </c:pt>
                <c:pt idx="231" formatCode="0">
                  <c:v>26.40095541913443</c:v>
                </c:pt>
                <c:pt idx="232" formatCode="0">
                  <c:v>26.40095541913443</c:v>
                </c:pt>
                <c:pt idx="233" formatCode="0">
                  <c:v>26.40095541913443</c:v>
                </c:pt>
                <c:pt idx="234" formatCode="0">
                  <c:v>26.40095541913443</c:v>
                </c:pt>
                <c:pt idx="235" formatCode="0">
                  <c:v>26.40095541913443</c:v>
                </c:pt>
                <c:pt idx="236" formatCode="0">
                  <c:v>26.40095541913443</c:v>
                </c:pt>
                <c:pt idx="237" formatCode="0">
                  <c:v>26.40095541913443</c:v>
                </c:pt>
                <c:pt idx="238" formatCode="0">
                  <c:v>26.40095541913443</c:v>
                </c:pt>
                <c:pt idx="239" formatCode="0">
                  <c:v>26.40095541913443</c:v>
                </c:pt>
                <c:pt idx="240" formatCode="0">
                  <c:v>26.40095541913443</c:v>
                </c:pt>
              </c:numCache>
            </c:numRef>
          </c:val>
        </c:ser>
        <c:ser>
          <c:idx val="5"/>
          <c:order val="5"/>
          <c:tx>
            <c:strRef>
              <c:f>'MixCon Even T40H80U25'!$AL$77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cat>
            <c:numRef>
              <c:f>'MixCon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'MixCon Even T40H80U25'!$AL$78:$AL$318</c:f>
              <c:numCache>
                <c:formatCode>General</c:formatCode>
                <c:ptCount val="241"/>
                <c:pt idx="40" formatCode="0">
                  <c:v>2.356909005599873</c:v>
                </c:pt>
                <c:pt idx="41" formatCode="0">
                  <c:v>2.320883069138215</c:v>
                </c:pt>
                <c:pt idx="42" formatCode="0">
                  <c:v>2.285407798016142</c:v>
                </c:pt>
                <c:pt idx="43" formatCode="0">
                  <c:v>2.250474775177888</c:v>
                </c:pt>
                <c:pt idx="44" formatCode="0">
                  <c:v>2.216075712224464</c:v>
                </c:pt>
                <c:pt idx="45" formatCode="0">
                  <c:v>2.182202447447107</c:v>
                </c:pt>
                <c:pt idx="46" formatCode="0">
                  <c:v>2.148846943890789</c:v>
                </c:pt>
                <c:pt idx="47" formatCode="0">
                  <c:v>2.116001287447326</c:v>
                </c:pt>
                <c:pt idx="48" formatCode="0">
                  <c:v>2.083657684977632</c:v>
                </c:pt>
                <c:pt idx="49" formatCode="0">
                  <c:v>2.051808462462677</c:v>
                </c:pt>
                <c:pt idx="50" formatCode="0">
                  <c:v>2.02044606318271</c:v>
                </c:pt>
                <c:pt idx="51" formatCode="0">
                  <c:v>1.989563045924307</c:v>
                </c:pt>
                <c:pt idx="52" formatCode="0">
                  <c:v>1.959152083214829</c:v>
                </c:pt>
                <c:pt idx="53" formatCode="0">
                  <c:v>1.929205959583866</c:v>
                </c:pt>
                <c:pt idx="54" formatCode="0">
                  <c:v>1.89971756985126</c:v>
                </c:pt>
                <c:pt idx="55" formatCode="0">
                  <c:v>1.870679917441281</c:v>
                </c:pt>
                <c:pt idx="56" formatCode="0">
                  <c:v>1.842086112722594</c:v>
                </c:pt>
                <c:pt idx="57" formatCode="0">
                  <c:v>1.813929371373575</c:v>
                </c:pt>
                <c:pt idx="58" formatCode="0">
                  <c:v>1.786203012772638</c:v>
                </c:pt>
                <c:pt idx="59" formatCode="0">
                  <c:v>1.758900458413145</c:v>
                </c:pt>
                <c:pt idx="60" formatCode="0">
                  <c:v>1.732015230342558</c:v>
                </c:pt>
                <c:pt idx="61" formatCode="0">
                  <c:v>1.705540949625444</c:v>
                </c:pt>
                <c:pt idx="62" formatCode="0">
                  <c:v>1.679471334829975</c:v>
                </c:pt>
                <c:pt idx="63" formatCode="0">
                  <c:v>1.653800200537558</c:v>
                </c:pt>
                <c:pt idx="64" formatCode="0">
                  <c:v>1.628521455875254</c:v>
                </c:pt>
                <c:pt idx="65" formatCode="0">
                  <c:v>1.603629103070621</c:v>
                </c:pt>
                <c:pt idx="66" formatCode="0">
                  <c:v>1.579117236028651</c:v>
                </c:pt>
                <c:pt idx="67" formatCode="0">
                  <c:v>1.554980038930454</c:v>
                </c:pt>
                <c:pt idx="68" formatCode="0">
                  <c:v>1.531211784853375</c:v>
                </c:pt>
                <c:pt idx="69" formatCode="0">
                  <c:v>1.50780683441218</c:v>
                </c:pt>
                <c:pt idx="70" formatCode="0">
                  <c:v>1.484759634421037</c:v>
                </c:pt>
                <c:pt idx="71" formatCode="0">
                  <c:v>1.462064716575928</c:v>
                </c:pt>
                <c:pt idx="72" formatCode="0">
                  <c:v>1.439716696157214</c:v>
                </c:pt>
                <c:pt idx="73" formatCode="0">
                  <c:v>1.417710270752027</c:v>
                </c:pt>
                <c:pt idx="74" formatCode="0">
                  <c:v>1.396040218996188</c:v>
                </c:pt>
                <c:pt idx="75" formatCode="0">
                  <c:v>1.37470139933536</c:v>
                </c:pt>
                <c:pt idx="76" formatCode="0">
                  <c:v>1.353688748805136</c:v>
                </c:pt>
                <c:pt idx="77" formatCode="0">
                  <c:v>1.33299728182977</c:v>
                </c:pt>
                <c:pt idx="78" formatCode="0">
                  <c:v>1.312622089039269</c:v>
                </c:pt>
                <c:pt idx="79" formatCode="0">
                  <c:v>1.292558336104581</c:v>
                </c:pt>
                <c:pt idx="80" formatCode="0">
                  <c:v>39.71223292548744</c:v>
                </c:pt>
                <c:pt idx="81" formatCode="0">
                  <c:v>39.10522163369595</c:v>
                </c:pt>
                <c:pt idx="82" formatCode="0">
                  <c:v>38.50748865947109</c:v>
                </c:pt>
                <c:pt idx="83" formatCode="0">
                  <c:v>37.91889218143648</c:v>
                </c:pt>
                <c:pt idx="84" formatCode="0">
                  <c:v>37.33929254599056</c:v>
                </c:pt>
                <c:pt idx="85" formatCode="0">
                  <c:v>36.76855223417155</c:v>
                </c:pt>
                <c:pt idx="86" formatCode="0">
                  <c:v>36.20653582902896</c:v>
                </c:pt>
                <c:pt idx="87" formatCode="0">
                  <c:v>35.65310998349388</c:v>
                </c:pt>
                <c:pt idx="88" formatCode="0">
                  <c:v>35.1081433887403</c:v>
                </c:pt>
                <c:pt idx="89" formatCode="0">
                  <c:v>34.57150674302997</c:v>
                </c:pt>
                <c:pt idx="90" formatCode="0">
                  <c:v>34.04307272103379</c:v>
                </c:pt>
                <c:pt idx="91" formatCode="0">
                  <c:v>33.52271594362166</c:v>
                </c:pt>
                <c:pt idx="92" formatCode="0">
                  <c:v>33.01031294811452</c:v>
                </c:pt>
                <c:pt idx="93" formatCode="0">
                  <c:v>32.50574215899085</c:v>
                </c:pt>
                <c:pt idx="94" formatCode="0">
                  <c:v>32.00888385904101</c:v>
                </c:pt>
                <c:pt idx="95" formatCode="0">
                  <c:v>31.51962016096247</c:v>
                </c:pt>
                <c:pt idx="96" formatCode="0">
                  <c:v>31.03783497938928</c:v>
                </c:pt>
                <c:pt idx="97" formatCode="0">
                  <c:v>30.56341400334896</c:v>
                </c:pt>
                <c:pt idx="98" formatCode="0">
                  <c:v>30.09624466914051</c:v>
                </c:pt>
                <c:pt idx="99" formatCode="0">
                  <c:v>29.63621613362689</c:v>
                </c:pt>
                <c:pt idx="100" formatCode="0">
                  <c:v>29.1832192479358</c:v>
                </c:pt>
                <c:pt idx="101" formatCode="0">
                  <c:v>28.73714653156244</c:v>
                </c:pt>
                <c:pt idx="102" formatCode="0">
                  <c:v>28.29789214686806</c:v>
                </c:pt>
                <c:pt idx="103" formatCode="0">
                  <c:v>27.86535187396836</c:v>
                </c:pt>
                <c:pt idx="104" formatCode="0">
                  <c:v>27.43942308600574</c:v>
                </c:pt>
                <c:pt idx="105" formatCode="0">
                  <c:v>27.02000472479948</c:v>
                </c:pt>
                <c:pt idx="106" formatCode="0">
                  <c:v>26.60699727686809</c:v>
                </c:pt>
                <c:pt idx="107" formatCode="0">
                  <c:v>26.20030274981824</c:v>
                </c:pt>
                <c:pt idx="108" formatCode="0">
                  <c:v>25.79982464909457</c:v>
                </c:pt>
                <c:pt idx="109" formatCode="0">
                  <c:v>25.4054679550848</c:v>
                </c:pt>
                <c:pt idx="110" formatCode="0">
                  <c:v>25.01713910057494</c:v>
                </c:pt>
                <c:pt idx="111" formatCode="0">
                  <c:v>24.63474594854896</c:v>
                </c:pt>
                <c:pt idx="112" formatCode="0">
                  <c:v>24.25819777032786</c:v>
                </c:pt>
                <c:pt idx="113" formatCode="0">
                  <c:v>23.88740522404298</c:v>
                </c:pt>
                <c:pt idx="114" formatCode="0">
                  <c:v>23.52228033343812</c:v>
                </c:pt>
                <c:pt idx="115" formatCode="0">
                  <c:v>23.16273646699595</c:v>
                </c:pt>
                <c:pt idx="116" formatCode="0">
                  <c:v>22.80868831738326</c:v>
                </c:pt>
                <c:pt idx="117" formatCode="0">
                  <c:v>22.4600518812105</c:v>
                </c:pt>
                <c:pt idx="118" formatCode="0">
                  <c:v>22.11674443910071</c:v>
                </c:pt>
                <c:pt idx="119" formatCode="0">
                  <c:v>21.77868453606301</c:v>
                </c:pt>
                <c:pt idx="120" formatCode="0">
                  <c:v>21.4457919621662</c:v>
                </c:pt>
                <c:pt idx="121" formatCode="0">
                  <c:v>21.11798773350771</c:v>
                </c:pt>
                <c:pt idx="122" formatCode="0">
                  <c:v>20.79519407347339</c:v>
                </c:pt>
                <c:pt idx="123" formatCode="0">
                  <c:v>20.4773343942839</c:v>
                </c:pt>
                <c:pt idx="124" formatCode="0">
                  <c:v>20.164333278823</c:v>
                </c:pt>
                <c:pt idx="125" formatCode="0">
                  <c:v>19.85611646274372</c:v>
                </c:pt>
                <c:pt idx="126" formatCode="0">
                  <c:v>19.55261081684798</c:v>
                </c:pt>
                <c:pt idx="127" formatCode="0">
                  <c:v>19.25374432973554</c:v>
                </c:pt>
                <c:pt idx="128" formatCode="0">
                  <c:v>18.95944609071824</c:v>
                </c:pt>
                <c:pt idx="129" formatCode="0">
                  <c:v>18.66964627299528</c:v>
                </c:pt>
                <c:pt idx="130" formatCode="0">
                  <c:v>18.38427611708578</c:v>
                </c:pt>
                <c:pt idx="131" formatCode="0">
                  <c:v>18.10326791451448</c:v>
                </c:pt>
                <c:pt idx="132" formatCode="0">
                  <c:v>17.82655499174694</c:v>
                </c:pt>
                <c:pt idx="133" formatCode="0">
                  <c:v>17.55407169437014</c:v>
                </c:pt>
                <c:pt idx="134" formatCode="0">
                  <c:v>17.28575337151499</c:v>
                </c:pt>
                <c:pt idx="135" formatCode="0">
                  <c:v>17.02153636051689</c:v>
                </c:pt>
                <c:pt idx="136" formatCode="0">
                  <c:v>16.76135797181083</c:v>
                </c:pt>
                <c:pt idx="137" formatCode="0">
                  <c:v>16.50515647405726</c:v>
                </c:pt>
                <c:pt idx="138" formatCode="0">
                  <c:v>16.25287107949543</c:v>
                </c:pt>
                <c:pt idx="139" formatCode="0">
                  <c:v>16.0044419295205</c:v>
                </c:pt>
                <c:pt idx="140" formatCode="0">
                  <c:v>15.75981008048123</c:v>
                </c:pt>
                <c:pt idx="141" formatCode="0">
                  <c:v>15.51891748969464</c:v>
                </c:pt>
                <c:pt idx="142" formatCode="0">
                  <c:v>15.28170700167448</c:v>
                </c:pt>
                <c:pt idx="143" formatCode="0">
                  <c:v>15.04812233457025</c:v>
                </c:pt>
                <c:pt idx="144" formatCode="0">
                  <c:v>14.81810806681344</c:v>
                </c:pt>
                <c:pt idx="145" formatCode="0">
                  <c:v>14.5916096239679</c:v>
                </c:pt>
                <c:pt idx="146" formatCode="0">
                  <c:v>14.36857326578122</c:v>
                </c:pt>
                <c:pt idx="147" formatCode="0">
                  <c:v>14.14894607343403</c:v>
                </c:pt>
                <c:pt idx="148" formatCode="0">
                  <c:v>13.93267593698418</c:v>
                </c:pt>
                <c:pt idx="149" formatCode="0">
                  <c:v>13.71971154300287</c:v>
                </c:pt>
                <c:pt idx="150" formatCode="0">
                  <c:v>13.51000236239974</c:v>
                </c:pt>
                <c:pt idx="151" formatCode="0">
                  <c:v>13.30349863843404</c:v>
                </c:pt>
                <c:pt idx="152" formatCode="0">
                  <c:v>13.10015137490912</c:v>
                </c:pt>
                <c:pt idx="153" formatCode="0">
                  <c:v>12.89991232454728</c:v>
                </c:pt>
                <c:pt idx="154" formatCode="0">
                  <c:v>12.7027339775424</c:v>
                </c:pt>
                <c:pt idx="155" formatCode="0">
                  <c:v>12.50856955028747</c:v>
                </c:pt>
                <c:pt idx="156" formatCode="0">
                  <c:v>12.31737297427448</c:v>
                </c:pt>
                <c:pt idx="157" formatCode="0">
                  <c:v>12.12909888516393</c:v>
                </c:pt>
                <c:pt idx="158" formatCode="0">
                  <c:v>11.94370261202149</c:v>
                </c:pt>
                <c:pt idx="159" formatCode="0">
                  <c:v>11.76114016671906</c:v>
                </c:pt>
                <c:pt idx="160" formatCode="0">
                  <c:v>11.58136823349797</c:v>
                </c:pt>
                <c:pt idx="161" formatCode="0">
                  <c:v>55.10238200144587</c:v>
                </c:pt>
                <c:pt idx="162" formatCode="0">
                  <c:v>54.26012847865243</c:v>
                </c:pt>
                <c:pt idx="163" formatCode="0">
                  <c:v>53.43074900904672</c:v>
                </c:pt>
                <c:pt idx="164" formatCode="0">
                  <c:v>52.61404680954504</c:v>
                </c:pt>
                <c:pt idx="165" formatCode="0">
                  <c:v>51.80982810494175</c:v>
                </c:pt>
                <c:pt idx="166" formatCode="0">
                  <c:v>51.01790208193307</c:v>
                </c:pt>
                <c:pt idx="167" formatCode="0">
                  <c:v>50.23808084384373</c:v>
                </c:pt>
                <c:pt idx="168" formatCode="0">
                  <c:v>49.47017936604556</c:v>
                </c:pt>
                <c:pt idx="169" formatCode="0">
                  <c:v>48.71401545205755</c:v>
                </c:pt>
                <c:pt idx="170" formatCode="0">
                  <c:v>47.96940969031692</c:v>
                </c:pt>
                <c:pt idx="171" formatCode="0">
                  <c:v>47.23618541161093</c:v>
                </c:pt>
                <c:pt idx="172" formatCode="0">
                  <c:v>46.51416864715945</c:v>
                </c:pt>
                <c:pt idx="173" formatCode="0">
                  <c:v>45.80318808733808</c:v>
                </c:pt>
                <c:pt idx="174" formatCode="0">
                  <c:v>45.1030750410324</c:v>
                </c:pt>
                <c:pt idx="175" formatCode="0">
                  <c:v>44.41366339561334</c:v>
                </c:pt>
                <c:pt idx="176" formatCode="0">
                  <c:v>43.73478957752438</c:v>
                </c:pt>
                <c:pt idx="177" formatCode="0">
                  <c:v>43.06629251347127</c:v>
                </c:pt>
                <c:pt idx="178" formatCode="0">
                  <c:v>42.4080135922048</c:v>
                </c:pt>
                <c:pt idx="179" formatCode="0">
                  <c:v>41.75979662688795</c:v>
                </c:pt>
                <c:pt idx="180" formatCode="0">
                  <c:v>41.12148781803806</c:v>
                </c:pt>
                <c:pt idx="181" formatCode="0">
                  <c:v>40.49293571703557</c:v>
                </c:pt>
                <c:pt idx="182" formatCode="0">
                  <c:v>39.87399119019049</c:v>
                </c:pt>
                <c:pt idx="183" formatCode="0">
                  <c:v>39.26450738335812</c:v>
                </c:pt>
                <c:pt idx="184" formatCode="0">
                  <c:v>38.66433968709564</c:v>
                </c:pt>
                <c:pt idx="185" formatCode="0">
                  <c:v>38.0733457023513</c:v>
                </c:pt>
                <c:pt idx="186" formatCode="0">
                  <c:v>37.49138520667806</c:v>
                </c:pt>
                <c:pt idx="187" formatCode="0">
                  <c:v>36.91832012096358</c:v>
                </c:pt>
                <c:pt idx="188" formatCode="0">
                  <c:v>36.35401447666889</c:v>
                </c:pt>
                <c:pt idx="189" formatCode="0">
                  <c:v>35.79833438356774</c:v>
                </c:pt>
                <c:pt idx="190" formatCode="0">
                  <c:v>35.25114799797906</c:v>
                </c:pt>
                <c:pt idx="191" formatCode="0">
                  <c:v>34.71232549148502</c:v>
                </c:pt>
                <c:pt idx="192" formatCode="0">
                  <c:v>34.18173902012724</c:v>
                </c:pt>
                <c:pt idx="193" formatCode="0">
                  <c:v>33.6592626940738</c:v>
                </c:pt>
                <c:pt idx="194" formatCode="0">
                  <c:v>33.14477254775</c:v>
                </c:pt>
                <c:pt idx="195" formatCode="0">
                  <c:v>32.63814651042556</c:v>
                </c:pt>
                <c:pt idx="196" formatCode="0">
                  <c:v>32.13926437725147</c:v>
                </c:pt>
                <c:pt idx="197" formatCode="0">
                  <c:v>31.64800778073955</c:v>
                </c:pt>
                <c:pt idx="198" formatCode="0">
                  <c:v>31.16426016267791</c:v>
                </c:pt>
                <c:pt idx="199" formatCode="0">
                  <c:v>30.68790674647571</c:v>
                </c:pt>
                <c:pt idx="200" formatCode="0">
                  <c:v>30.21883450993069</c:v>
                </c:pt>
                <c:pt idx="201" formatCode="0">
                  <c:v>29.75693215841287</c:v>
                </c:pt>
                <c:pt idx="202" formatCode="0">
                  <c:v>29.30209009845817</c:v>
                </c:pt>
                <c:pt idx="203" formatCode="0">
                  <c:v>28.85420041176567</c:v>
                </c:pt>
                <c:pt idx="204" formatCode="0">
                  <c:v>28.4131568295924</c:v>
                </c:pt>
                <c:pt idx="205" formatCode="0">
                  <c:v>27.97885470753933</c:v>
                </c:pt>
                <c:pt idx="206" formatCode="0">
                  <c:v>27.55119100072294</c:v>
                </c:pt>
                <c:pt idx="207" formatCode="0">
                  <c:v>27.13006423932622</c:v>
                </c:pt>
                <c:pt idx="208" formatCode="0">
                  <c:v>26.71537450452336</c:v>
                </c:pt>
                <c:pt idx="209" formatCode="0">
                  <c:v>26.30702340477253</c:v>
                </c:pt>
                <c:pt idx="210" formatCode="0">
                  <c:v>25.90491405247088</c:v>
                </c:pt>
                <c:pt idx="211" formatCode="0">
                  <c:v>25.50895104096654</c:v>
                </c:pt>
                <c:pt idx="212" formatCode="0">
                  <c:v>25.11904042192187</c:v>
                </c:pt>
                <c:pt idx="213" formatCode="0">
                  <c:v>24.73508968302278</c:v>
                </c:pt>
                <c:pt idx="214" formatCode="0">
                  <c:v>24.35700772602877</c:v>
                </c:pt>
                <c:pt idx="215" formatCode="0">
                  <c:v>23.98470484515846</c:v>
                </c:pt>
                <c:pt idx="216" formatCode="0">
                  <c:v>23.61809270580547</c:v>
                </c:pt>
                <c:pt idx="217" formatCode="0">
                  <c:v>23.25708432357973</c:v>
                </c:pt>
                <c:pt idx="218" formatCode="0">
                  <c:v>22.90159404366904</c:v>
                </c:pt>
                <c:pt idx="219" formatCode="0">
                  <c:v>22.5515375205162</c:v>
                </c:pt>
                <c:pt idx="220" formatCode="0">
                  <c:v>22.20683169780667</c:v>
                </c:pt>
                <c:pt idx="221" formatCode="0">
                  <c:v>21.86739478876219</c:v>
                </c:pt>
                <c:pt idx="222" formatCode="0">
                  <c:v>21.53314625673563</c:v>
                </c:pt>
                <c:pt idx="223" formatCode="0">
                  <c:v>21.2040067961024</c:v>
                </c:pt>
                <c:pt idx="224" formatCode="0">
                  <c:v>20.87989831344398</c:v>
                </c:pt>
                <c:pt idx="225" formatCode="0">
                  <c:v>20.56074390901903</c:v>
                </c:pt>
                <c:pt idx="226" formatCode="0">
                  <c:v>20.24646785851779</c:v>
                </c:pt>
                <c:pt idx="227" formatCode="0">
                  <c:v>19.93699559509524</c:v>
                </c:pt>
                <c:pt idx="228" formatCode="0">
                  <c:v>19.63225369167906</c:v>
                </c:pt>
                <c:pt idx="229" formatCode="0">
                  <c:v>19.33216984354783</c:v>
                </c:pt>
                <c:pt idx="230" formatCode="0">
                  <c:v>19.03667285117565</c:v>
                </c:pt>
                <c:pt idx="231" formatCode="0">
                  <c:v>18.74569260333903</c:v>
                </c:pt>
                <c:pt idx="232" formatCode="0">
                  <c:v>18.45916006048179</c:v>
                </c:pt>
                <c:pt idx="233" formatCode="0">
                  <c:v>18.17700723833445</c:v>
                </c:pt>
                <c:pt idx="234" formatCode="0">
                  <c:v>17.89916719178387</c:v>
                </c:pt>
                <c:pt idx="235" formatCode="0">
                  <c:v>17.62557399898953</c:v>
                </c:pt>
                <c:pt idx="236" formatCode="0">
                  <c:v>17.35616274574251</c:v>
                </c:pt>
                <c:pt idx="237" formatCode="0">
                  <c:v>17.09086951006362</c:v>
                </c:pt>
                <c:pt idx="238" formatCode="0">
                  <c:v>16.8296313470369</c:v>
                </c:pt>
                <c:pt idx="239" formatCode="0">
                  <c:v>16.572386273875</c:v>
                </c:pt>
                <c:pt idx="240" formatCode="0">
                  <c:v>16.31907325521278</c:v>
                </c:pt>
              </c:numCache>
            </c:numRef>
          </c:val>
        </c:ser>
        <c:ser>
          <c:idx val="6"/>
          <c:order val="6"/>
          <c:tx>
            <c:strRef>
              <c:f>'MixCon Even T40H80U25'!$AM$77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'MixCon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'MixCon Even T40H80U25'!$AM$78:$AM$318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0.0180309811990599</c:v>
                </c:pt>
                <c:pt idx="42" formatCode="0">
                  <c:v>0.0357863543956574</c:v>
                </c:pt>
                <c:pt idx="43" formatCode="0">
                  <c:v>0.0532703323262037</c:v>
                </c:pt>
                <c:pt idx="44" formatCode="0">
                  <c:v>0.0704870633343924</c:v>
                </c:pt>
                <c:pt idx="45" formatCode="0">
                  <c:v>0.0874406323554598</c:v>
                </c:pt>
                <c:pt idx="46" formatCode="0">
                  <c:v>0.104135061885397</c:v>
                </c:pt>
                <c:pt idx="47" formatCode="0">
                  <c:v>0.12057431293535</c:v>
                </c:pt>
                <c:pt idx="48" formatCode="0">
                  <c:v>0.136762285971432</c:v>
                </c:pt>
                <c:pt idx="49" formatCode="0">
                  <c:v>0.152702821840166</c:v>
                </c:pt>
                <c:pt idx="50" formatCode="0">
                  <c:v>0.16839970267979</c:v>
                </c:pt>
                <c:pt idx="51" formatCode="0">
                  <c:v>0.183856652817621</c:v>
                </c:pt>
                <c:pt idx="52" formatCode="0">
                  <c:v>0.199077339653715</c:v>
                </c:pt>
                <c:pt idx="53" formatCode="0">
                  <c:v>0.214065374531011</c:v>
                </c:pt>
                <c:pt idx="54" formatCode="0">
                  <c:v>0.228824313592181</c:v>
                </c:pt>
                <c:pt idx="55" formatCode="0">
                  <c:v>0.243357658623375</c:v>
                </c:pt>
                <c:pt idx="56" formatCode="0">
                  <c:v>0.257668857885079</c:v>
                </c:pt>
                <c:pt idx="57" formatCode="0">
                  <c:v>0.271761306930262</c:v>
                </c:pt>
                <c:pt idx="58" formatCode="0">
                  <c:v>0.285638349410031</c:v>
                </c:pt>
                <c:pt idx="59" formatCode="0">
                  <c:v>0.299303277866957</c:v>
                </c:pt>
                <c:pt idx="60" formatCode="0">
                  <c:v>0.312759334516286</c:v>
                </c:pt>
                <c:pt idx="61" formatCode="0">
                  <c:v>0.326009712015202</c:v>
                </c:pt>
                <c:pt idx="62" formatCode="0">
                  <c:v>0.339057554220334</c:v>
                </c:pt>
                <c:pt idx="63" formatCode="0">
                  <c:v>0.351905956933689</c:v>
                </c:pt>
                <c:pt idx="64" formatCode="0">
                  <c:v>0.364557968637172</c:v>
                </c:pt>
                <c:pt idx="65" formatCode="0">
                  <c:v>0.377016591215891</c:v>
                </c:pt>
                <c:pt idx="66" formatCode="0">
                  <c:v>0.389284780670397</c:v>
                </c:pt>
                <c:pt idx="67" formatCode="0">
                  <c:v>0.401365447818044</c:v>
                </c:pt>
                <c:pt idx="68" formatCode="0">
                  <c:v>0.413261458983623</c:v>
                </c:pt>
                <c:pt idx="69" formatCode="0">
                  <c:v>0.42497563667944</c:v>
                </c:pt>
                <c:pt idx="70" formatCode="0">
                  <c:v>0.436510760275008</c:v>
                </c:pt>
                <c:pt idx="71" formatCode="0">
                  <c:v>0.447869566656485</c:v>
                </c:pt>
                <c:pt idx="72" formatCode="0">
                  <c:v>0.459054750876051</c:v>
                </c:pt>
                <c:pt idx="73" formatCode="0">
                  <c:v>0.470068966791347</c:v>
                </c:pt>
                <c:pt idx="74" formatCode="0">
                  <c:v>0.480914827695145</c:v>
                </c:pt>
                <c:pt idx="75" formatCode="0">
                  <c:v>0.491594906935389</c:v>
                </c:pt>
                <c:pt idx="76" formatCode="0">
                  <c:v>0.502111738525766</c:v>
                </c:pt>
                <c:pt idx="77" formatCode="0">
                  <c:v>0.512467817746937</c:v>
                </c:pt>
                <c:pt idx="78" formatCode="0">
                  <c:v>0.522665601738582</c:v>
                </c:pt>
                <c:pt idx="79" formatCode="0">
                  <c:v>0.532707510082394</c:v>
                </c:pt>
                <c:pt idx="80" formatCode="0">
                  <c:v>0.54259592537616</c:v>
                </c:pt>
                <c:pt idx="81" formatCode="0">
                  <c:v>0.944429037957378</c:v>
                </c:pt>
                <c:pt idx="82" formatCode="0">
                  <c:v>1.340120032133663</c:v>
                </c:pt>
                <c:pt idx="83" formatCode="0">
                  <c:v>1.729762791702343</c:v>
                </c:pt>
                <c:pt idx="84" formatCode="0">
                  <c:v>2.113449765423705</c:v>
                </c:pt>
                <c:pt idx="85" formatCode="0">
                  <c:v>2.491271988955899</c:v>
                </c:pt>
                <c:pt idx="86" formatCode="0">
                  <c:v>2.86331910645454</c:v>
                </c:pt>
                <c:pt idx="87" formatCode="0">
                  <c:v>3.229679391842179</c:v>
                </c:pt>
                <c:pt idx="88" formatCode="0">
                  <c:v>3.590439769752655</c:v>
                </c:pt>
                <c:pt idx="89" formatCode="0">
                  <c:v>3.945685836155306</c:v>
                </c:pt>
                <c:pt idx="90" formatCode="0">
                  <c:v>4.29550187866392</c:v>
                </c:pt>
                <c:pt idx="91" formatCode="0">
                  <c:v>4.639970896535287</c:v>
                </c:pt>
                <c:pt idx="92" formatCode="0">
                  <c:v>4.97917462036206</c:v>
                </c:pt>
                <c:pt idx="93" formatCode="0">
                  <c:v>5.313193531464575</c:v>
                </c:pt>
                <c:pt idx="94" formatCode="0">
                  <c:v>5.642106880986319</c:v>
                </c:pt>
                <c:pt idx="95" formatCode="0">
                  <c:v>5.965992708697459</c:v>
                </c:pt>
                <c:pt idx="96" formatCode="0">
                  <c:v>6.284927861510997</c:v>
                </c:pt>
                <c:pt idx="97" formatCode="0">
                  <c:v>6.598988011715887</c:v>
                </c:pt>
                <c:pt idx="98" formatCode="0">
                  <c:v>6.908247674931444</c:v>
                </c:pt>
                <c:pt idx="99" formatCode="0">
                  <c:v>7.212780227787341</c:v>
                </c:pt>
                <c:pt idx="100" formatCode="0">
                  <c:v>7.512657925333323</c:v>
                </c:pt>
                <c:pt idx="101" formatCode="0">
                  <c:v>7.807951918182863</c:v>
                </c:pt>
                <c:pt idx="102" formatCode="0">
                  <c:v>8.098732269394716</c:v>
                </c:pt>
                <c:pt idx="103" formatCode="0">
                  <c:v>8.385067971096486</c:v>
                </c:pt>
                <c:pt idx="104" formatCode="0">
                  <c:v>8.667026960854054</c:v>
                </c:pt>
                <c:pt idx="105" formatCode="0">
                  <c:v>8.944676137790815</c:v>
                </c:pt>
                <c:pt idx="106" formatCode="0">
                  <c:v>9.218081378460543</c:v>
                </c:pt>
                <c:pt idx="107" formatCode="0">
                  <c:v>9.487307552477622</c:v>
                </c:pt>
                <c:pt idx="108" formatCode="0">
                  <c:v>9.75241853790832</c:v>
                </c:pt>
                <c:pt idx="109" formatCode="0">
                  <c:v>10.01347723642692</c:v>
                </c:pt>
                <c:pt idx="110" formatCode="0">
                  <c:v>10.27054558824005</c:v>
                </c:pt>
                <c:pt idx="111" formatCode="0">
                  <c:v>10.52368458678298</c:v>
                </c:pt>
                <c:pt idx="112" formatCode="0">
                  <c:v>10.77295429319124</c:v>
                </c:pt>
                <c:pt idx="113" formatCode="0">
                  <c:v>11.0184138505511</c:v>
                </c:pt>
                <c:pt idx="114" formatCode="0">
                  <c:v>11.2601214979321</c:v>
                </c:pt>
                <c:pt idx="115" formatCode="0">
                  <c:v>11.49813458420525</c:v>
                </c:pt>
                <c:pt idx="116" formatCode="0">
                  <c:v>11.73250958164987</c:v>
                </c:pt>
                <c:pt idx="117" formatCode="0">
                  <c:v>11.96330209935256</c:v>
                </c:pt>
                <c:pt idx="118" formatCode="0">
                  <c:v>12.19056689640128</c:v>
                </c:pt>
                <c:pt idx="119" formatCode="0">
                  <c:v>12.41435789487781</c:v>
                </c:pt>
                <c:pt idx="120" formatCode="0">
                  <c:v>12.63472819265157</c:v>
                </c:pt>
                <c:pt idx="121" formatCode="0">
                  <c:v>12.85173007597795</c:v>
                </c:pt>
                <c:pt idx="122" formatCode="0">
                  <c:v>13.06541503190398</c:v>
                </c:pt>
                <c:pt idx="123" formatCode="0">
                  <c:v>13.2758337604845</c:v>
                </c:pt>
                <c:pt idx="124" formatCode="0">
                  <c:v>13.48303618681144</c:v>
                </c:pt>
                <c:pt idx="125" formatCode="0">
                  <c:v>13.68707147285938</c:v>
                </c:pt>
                <c:pt idx="126" formatCode="0">
                  <c:v>13.88798802915</c:v>
                </c:pt>
                <c:pt idx="127" formatCode="0">
                  <c:v>14.08583352623813</c:v>
                </c:pt>
                <c:pt idx="128" formatCode="0">
                  <c:v>14.28065490602247</c:v>
                </c:pt>
                <c:pt idx="129" formatCode="0">
                  <c:v>14.47249839288316</c:v>
                </c:pt>
                <c:pt idx="130" formatCode="0">
                  <c:v>14.66140950464925</c:v>
                </c:pt>
                <c:pt idx="131" formatCode="0">
                  <c:v>14.84743306339857</c:v>
                </c:pt>
                <c:pt idx="132" formatCode="0">
                  <c:v>15.0306132060924</c:v>
                </c:pt>
                <c:pt idx="133" formatCode="0">
                  <c:v>15.21099339504763</c:v>
                </c:pt>
                <c:pt idx="134" formatCode="0">
                  <c:v>15.38861642824895</c:v>
                </c:pt>
                <c:pt idx="135" formatCode="0">
                  <c:v>15.56352444950326</c:v>
                </c:pt>
                <c:pt idx="136" formatCode="0">
                  <c:v>15.73575895843894</c:v>
                </c:pt>
                <c:pt idx="137" formatCode="0">
                  <c:v>15.90536082035233</c:v>
                </c:pt>
                <c:pt idx="138" formatCode="0">
                  <c:v>16.07237027590359</c:v>
                </c:pt>
                <c:pt idx="139" formatCode="0">
                  <c:v>16.23682695066446</c:v>
                </c:pt>
                <c:pt idx="140" formatCode="0">
                  <c:v>16.39876986452003</c:v>
                </c:pt>
                <c:pt idx="141" formatCode="0">
                  <c:v>16.5582374409268</c:v>
                </c:pt>
                <c:pt idx="142" formatCode="0">
                  <c:v>16.71526751602925</c:v>
                </c:pt>
                <c:pt idx="143" formatCode="0">
                  <c:v>16.86989734763702</c:v>
                </c:pt>
                <c:pt idx="144" formatCode="0">
                  <c:v>17.02216362406497</c:v>
                </c:pt>
                <c:pt idx="145" formatCode="0">
                  <c:v>17.17210247283796</c:v>
                </c:pt>
                <c:pt idx="146" formatCode="0">
                  <c:v>17.31974946926273</c:v>
                </c:pt>
                <c:pt idx="147" formatCode="0">
                  <c:v>17.46513964486866</c:v>
                </c:pt>
                <c:pt idx="148" formatCode="0">
                  <c:v>17.60830749571954</c:v>
                </c:pt>
                <c:pt idx="149" formatCode="0">
                  <c:v>17.74928699059833</c:v>
                </c:pt>
                <c:pt idx="150" formatCode="0">
                  <c:v>17.88811157906671</c:v>
                </c:pt>
                <c:pt idx="151" formatCode="0">
                  <c:v>18.02481419940157</c:v>
                </c:pt>
                <c:pt idx="152" formatCode="0">
                  <c:v>18.15942728641011</c:v>
                </c:pt>
                <c:pt idx="153" formatCode="0">
                  <c:v>18.29198277912546</c:v>
                </c:pt>
                <c:pt idx="154" formatCode="0">
                  <c:v>18.42251212838476</c:v>
                </c:pt>
                <c:pt idx="155" formatCode="0">
                  <c:v>18.55104630429132</c:v>
                </c:pt>
                <c:pt idx="156" formatCode="0">
                  <c:v>18.67761580356279</c:v>
                </c:pt>
                <c:pt idx="157" formatCode="0">
                  <c:v>18.80225065676692</c:v>
                </c:pt>
                <c:pt idx="158" formatCode="0">
                  <c:v>18.92498043544684</c:v>
                </c:pt>
                <c:pt idx="159" formatCode="0">
                  <c:v>19.04583425913734</c:v>
                </c:pt>
                <c:pt idx="160" formatCode="0">
                  <c:v>19.16484080227392</c:v>
                </c:pt>
                <c:pt idx="161" formatCode="0">
                  <c:v>18.28533619135505</c:v>
                </c:pt>
                <c:pt idx="162" formatCode="0">
                  <c:v>18.84740004223255</c:v>
                </c:pt>
                <c:pt idx="163" formatCode="0">
                  <c:v>19.40087260828276</c:v>
                </c:pt>
                <c:pt idx="164" formatCode="0">
                  <c:v>19.94588520941688</c:v>
                </c:pt>
                <c:pt idx="165" formatCode="0">
                  <c:v>20.48256715828881</c:v>
                </c:pt>
                <c:pt idx="166" formatCode="0">
                  <c:v>21.01104579097661</c:v>
                </c:pt>
                <c:pt idx="167" formatCode="0">
                  <c:v>21.53144649719489</c:v>
                </c:pt>
                <c:pt idx="168" formatCode="0">
                  <c:v>22.04389275004554</c:v>
                </c:pt>
                <c:pt idx="169" formatCode="0">
                  <c:v>22.54850613531353</c:v>
                </c:pt>
                <c:pt idx="170" formatCode="0">
                  <c:v>23.04540638031511</c:v>
                </c:pt>
                <c:pt idx="171" formatCode="0">
                  <c:v>23.53471138230491</c:v>
                </c:pt>
                <c:pt idx="172" formatCode="0">
                  <c:v>24.01653723644887</c:v>
                </c:pt>
                <c:pt idx="173" formatCode="0">
                  <c:v>24.49099826336966</c:v>
                </c:pt>
                <c:pt idx="174" formatCode="0">
                  <c:v>24.95820703627098</c:v>
                </c:pt>
                <c:pt idx="175" formatCode="0">
                  <c:v>25.4182744076473</c:v>
                </c:pt>
                <c:pt idx="176" formatCode="0">
                  <c:v>25.87130953558533</c:v>
                </c:pt>
                <c:pt idx="177" formatCode="0">
                  <c:v>26.31741990966345</c:v>
                </c:pt>
                <c:pt idx="178" formatCode="0">
                  <c:v>26.75671137645527</c:v>
                </c:pt>
                <c:pt idx="179" formatCode="0">
                  <c:v>27.18928816464338</c:v>
                </c:pt>
                <c:pt idx="180" formatCode="0">
                  <c:v>27.6152529097492</c:v>
                </c:pt>
                <c:pt idx="181" formatCode="0">
                  <c:v>28.03470667848487</c:v>
                </c:pt>
                <c:pt idx="182" formatCode="0">
                  <c:v>28.44774899273282</c:v>
                </c:pt>
                <c:pt idx="183" formatCode="0">
                  <c:v>28.85447785315895</c:v>
                </c:pt>
                <c:pt idx="184" formatCode="0">
                  <c:v>29.25498976246478</c:v>
                </c:pt>
                <c:pt idx="185" formatCode="0">
                  <c:v>29.64937974828417</c:v>
                </c:pt>
                <c:pt idx="186" formatCode="0">
                  <c:v>30.03774138573012</c:v>
                </c:pt>
                <c:pt idx="187" formatCode="0">
                  <c:v>30.42016681959691</c:v>
                </c:pt>
                <c:pt idx="188" formatCode="0">
                  <c:v>30.7967467862229</c:v>
                </c:pt>
                <c:pt idx="189" formatCode="0">
                  <c:v>31.16757063501906</c:v>
                </c:pt>
                <c:pt idx="190" formatCode="0">
                  <c:v>31.53272634966858</c:v>
                </c:pt>
                <c:pt idx="191" formatCode="0">
                  <c:v>31.89230056900227</c:v>
                </c:pt>
                <c:pt idx="192" formatCode="0">
                  <c:v>32.24637860755503</c:v>
                </c:pt>
                <c:pt idx="193" formatCode="0">
                  <c:v>32.59504447580802</c:v>
                </c:pt>
                <c:pt idx="194" formatCode="0">
                  <c:v>32.93838090012144</c:v>
                </c:pt>
                <c:pt idx="195" formatCode="0">
                  <c:v>33.27646934236262</c:v>
                </c:pt>
                <c:pt idx="196" formatCode="0">
                  <c:v>33.60939001923413</c:v>
                </c:pt>
                <c:pt idx="197" formatCode="0">
                  <c:v>33.93722192130641</c:v>
                </c:pt>
                <c:pt idx="198" formatCode="0">
                  <c:v>34.26004283175954</c:v>
                </c:pt>
                <c:pt idx="199" formatCode="0">
                  <c:v>34.57792934483848</c:v>
                </c:pt>
                <c:pt idx="200" formatCode="0">
                  <c:v>34.89095688402619</c:v>
                </c:pt>
                <c:pt idx="201" formatCode="0">
                  <c:v>35.19919971993908</c:v>
                </c:pt>
                <c:pt idx="202" formatCode="0">
                  <c:v>35.50273098794886</c:v>
                </c:pt>
                <c:pt idx="203" formatCode="0">
                  <c:v>35.80162270553498</c:v>
                </c:pt>
                <c:pt idx="204" formatCode="0">
                  <c:v>36.09594578937195</c:v>
                </c:pt>
                <c:pt idx="205" formatCode="0">
                  <c:v>36.38577007215537</c:v>
                </c:pt>
                <c:pt idx="206" formatCode="0">
                  <c:v>36.67116431917084</c:v>
                </c:pt>
                <c:pt idx="207" formatCode="0">
                  <c:v>36.95219624460959</c:v>
                </c:pt>
                <c:pt idx="208" formatCode="0">
                  <c:v>37.2289325276347</c:v>
                </c:pt>
                <c:pt idx="209" formatCode="0">
                  <c:v>37.50143882820174</c:v>
                </c:pt>
                <c:pt idx="210" formatCode="0">
                  <c:v>37.76977980263771</c:v>
                </c:pt>
                <c:pt idx="211" formatCode="0">
                  <c:v>38.03401911898161</c:v>
                </c:pt>
                <c:pt idx="212" formatCode="0">
                  <c:v>38.29421947209075</c:v>
                </c:pt>
                <c:pt idx="213" formatCode="0">
                  <c:v>38.55044259851607</c:v>
                </c:pt>
                <c:pt idx="214" formatCode="0">
                  <c:v>38.80274929115008</c:v>
                </c:pt>
                <c:pt idx="215" formatCode="0">
                  <c:v>39.05119941365086</c:v>
                </c:pt>
                <c:pt idx="216" formatCode="0">
                  <c:v>39.29585191464576</c:v>
                </c:pt>
                <c:pt idx="217" formatCode="0">
                  <c:v>39.53676484171774</c:v>
                </c:pt>
                <c:pt idx="218" formatCode="0">
                  <c:v>39.77399535517814</c:v>
                </c:pt>
                <c:pt idx="219" formatCode="0">
                  <c:v>40.00759974162881</c:v>
                </c:pt>
                <c:pt idx="220" formatCode="0">
                  <c:v>40.23763342731696</c:v>
                </c:pt>
                <c:pt idx="221" formatCode="0">
                  <c:v>40.46415099128597</c:v>
                </c:pt>
                <c:pt idx="222" formatCode="0">
                  <c:v>40.68720617832504</c:v>
                </c:pt>
                <c:pt idx="223" formatCode="0">
                  <c:v>40.90685191172095</c:v>
                </c:pt>
                <c:pt idx="224" formatCode="0">
                  <c:v>41.123140305815</c:v>
                </c:pt>
                <c:pt idx="225" formatCode="0">
                  <c:v>41.33612267836791</c:v>
                </c:pt>
                <c:pt idx="226" formatCode="0">
                  <c:v>41.54584956273574</c:v>
                </c:pt>
                <c:pt idx="227" formatCode="0">
                  <c:v>41.75237071985971</c:v>
                </c:pt>
                <c:pt idx="228" formatCode="0">
                  <c:v>41.95573515007278</c:v>
                </c:pt>
                <c:pt idx="229" formatCode="0">
                  <c:v>42.1559911047257</c:v>
                </c:pt>
                <c:pt idx="230" formatCode="0">
                  <c:v>42.3531860976354</c:v>
                </c:pt>
                <c:pt idx="231" formatCode="0">
                  <c:v>42.54736691635837</c:v>
                </c:pt>
                <c:pt idx="232" formatCode="0">
                  <c:v>42.73857963329176</c:v>
                </c:pt>
                <c:pt idx="233" formatCode="0">
                  <c:v>42.92686961660476</c:v>
                </c:pt>
                <c:pt idx="234" formatCode="0">
                  <c:v>43.11228154100284</c:v>
                </c:pt>
                <c:pt idx="235" formatCode="0">
                  <c:v>43.29485939832759</c:v>
                </c:pt>
                <c:pt idx="236" formatCode="0">
                  <c:v>43.47464650799444</c:v>
                </c:pt>
                <c:pt idx="237" formatCode="0">
                  <c:v>43.65168552727081</c:v>
                </c:pt>
                <c:pt idx="238" formatCode="0">
                  <c:v>43.82601846139731</c:v>
                </c:pt>
                <c:pt idx="239" formatCode="0">
                  <c:v>43.99768667355401</c:v>
                </c:pt>
                <c:pt idx="240" formatCode="0">
                  <c:v>44.1667308946746</c:v>
                </c:pt>
              </c:numCache>
            </c:numRef>
          </c:val>
        </c:ser>
        <c:ser>
          <c:idx val="7"/>
          <c:order val="7"/>
          <c:tx>
            <c:strRef>
              <c:f>'MixCon Even T40H80U25'!$AN$77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5">
                  <a:lumMod val="60000"/>
                  <a:lumOff val="40000"/>
                </a:schemeClr>
              </a:bgClr>
            </a:pattFill>
          </c:spPr>
          <c:invertIfNegative val="0"/>
          <c:cat>
            <c:numRef>
              <c:f>'MixCon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'MixCon Even T40H80U25'!$AN$78:$AN$318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0.00900648411541453</c:v>
                </c:pt>
                <c:pt idx="42" formatCode="0">
                  <c:v>0.0178753018959328</c:v>
                </c:pt>
                <c:pt idx="43" formatCode="0">
                  <c:v>0.0266085576054963</c:v>
                </c:pt>
                <c:pt idx="44" formatCode="0">
                  <c:v>0.0352083233438524</c:v>
                </c:pt>
                <c:pt idx="45" formatCode="0">
                  <c:v>0.0436766395381917</c:v>
                </c:pt>
                <c:pt idx="46" formatCode="0">
                  <c:v>0.0520155154272712</c:v>
                </c:pt>
                <c:pt idx="47" formatCode="0">
                  <c:v>0.0602269295381369</c:v>
                </c:pt>
                <c:pt idx="48" formatCode="0">
                  <c:v>0.0683128301555604</c:v>
                </c:pt>
                <c:pt idx="49" formatCode="0">
                  <c:v>0.0762751357842989</c:v>
                </c:pt>
                <c:pt idx="50" formatCode="0">
                  <c:v>0.0841157356042907</c:v>
                </c:pt>
                <c:pt idx="51" formatCode="0">
                  <c:v>0.0918364899188915</c:v>
                </c:pt>
                <c:pt idx="52" formatCode="0">
                  <c:v>0.0994392305962611</c:v>
                </c:pt>
                <c:pt idx="53" formatCode="0">
                  <c:v>0.106925761504002</c:v>
                </c:pt>
                <c:pt idx="54" formatCode="0">
                  <c:v>0.114297858937153</c:v>
                </c:pt>
                <c:pt idx="55" formatCode="0">
                  <c:v>0.121557272039648</c:v>
                </c:pt>
                <c:pt idx="56" formatCode="0">
                  <c:v>0.12870572321932</c:v>
                </c:pt>
                <c:pt idx="57" formatCode="0">
                  <c:v>0.135744908556574</c:v>
                </c:pt>
                <c:pt idx="58" formatCode="0">
                  <c:v>0.142676498206809</c:v>
                </c:pt>
                <c:pt idx="59" formatCode="0">
                  <c:v>0.149502136796682</c:v>
                </c:pt>
                <c:pt idx="60" formatCode="0">
                  <c:v>0.156223443814329</c:v>
                </c:pt>
                <c:pt idx="61" formatCode="0">
                  <c:v>0.162842013993607</c:v>
                </c:pt>
                <c:pt idx="62" formatCode="0">
                  <c:v>0.169359417692475</c:v>
                </c:pt>
                <c:pt idx="63" formatCode="0">
                  <c:v>0.175777201265579</c:v>
                </c:pt>
                <c:pt idx="64" formatCode="0">
                  <c:v>0.182096887431155</c:v>
                </c:pt>
                <c:pt idx="65" formatCode="0">
                  <c:v>0.188319975632313</c:v>
                </c:pt>
                <c:pt idx="66" formatCode="0">
                  <c:v>0.194447942392806</c:v>
                </c:pt>
                <c:pt idx="67" formatCode="0">
                  <c:v>0.200482241667355</c:v>
                </c:pt>
                <c:pt idx="68" formatCode="0">
                  <c:v>0.206424305186625</c:v>
                </c:pt>
                <c:pt idx="69" formatCode="0">
                  <c:v>0.212275542796923</c:v>
                </c:pt>
                <c:pt idx="70" formatCode="0">
                  <c:v>0.218037342794709</c:v>
                </c:pt>
                <c:pt idx="71" formatCode="0">
                  <c:v>0.223711072255986</c:v>
                </c:pt>
                <c:pt idx="72" formatCode="0">
                  <c:v>0.229298077360665</c:v>
                </c:pt>
                <c:pt idx="73" formatCode="0">
                  <c:v>0.234799683711962</c:v>
                </c:pt>
                <c:pt idx="74" formatCode="0">
                  <c:v>0.240217196650921</c:v>
                </c:pt>
                <c:pt idx="75" formatCode="0">
                  <c:v>0.245551901566128</c:v>
                </c:pt>
                <c:pt idx="76" formatCode="0">
                  <c:v>0.250805064198684</c:v>
                </c:pt>
                <c:pt idx="77" formatCode="0">
                  <c:v>0.255977930942526</c:v>
                </c:pt>
                <c:pt idx="78" formatCode="0">
                  <c:v>0.261071729140151</c:v>
                </c:pt>
                <c:pt idx="79" formatCode="0">
                  <c:v>0.266087667373823</c:v>
                </c:pt>
                <c:pt idx="80" formatCode="0">
                  <c:v>0.271026935752328</c:v>
                </c:pt>
                <c:pt idx="81" formatCode="0">
                  <c:v>0.471742776202486</c:v>
                </c:pt>
                <c:pt idx="82" formatCode="0">
                  <c:v>0.66939062544139</c:v>
                </c:pt>
                <c:pt idx="83" formatCode="0">
                  <c:v>0.864017378472699</c:v>
                </c:pt>
                <c:pt idx="84" formatCode="0">
                  <c:v>1.055669213498354</c:v>
                </c:pt>
                <c:pt idx="85" formatCode="0">
                  <c:v>1.244391602875074</c:v>
                </c:pt>
                <c:pt idx="86" formatCode="0">
                  <c:v>1.430229323903366</c:v>
                </c:pt>
                <c:pt idx="87" formatCode="0">
                  <c:v>1.613226469451638</c:v>
                </c:pt>
                <c:pt idx="88" formatCode="0">
                  <c:v>1.79342645841791</c:v>
                </c:pt>
                <c:pt idx="89" formatCode="0">
                  <c:v>1.970872046031621</c:v>
                </c:pt>
                <c:pt idx="90" formatCode="0">
                  <c:v>2.145605333997962</c:v>
                </c:pt>
                <c:pt idx="91" formatCode="0">
                  <c:v>2.317667780487156</c:v>
                </c:pt>
                <c:pt idx="92" formatCode="0">
                  <c:v>2.487100209971057</c:v>
                </c:pt>
                <c:pt idx="93" formatCode="0">
                  <c:v>2.653942822909379</c:v>
                </c:pt>
                <c:pt idx="94" formatCode="0">
                  <c:v>2.818235205287872</c:v>
                </c:pt>
                <c:pt idx="95" formatCode="0">
                  <c:v>2.980016338010718</c:v>
                </c:pt>
                <c:pt idx="96" formatCode="0">
                  <c:v>3.13932460614935</c:v>
                </c:pt>
                <c:pt idx="97" formatCode="0">
                  <c:v>3.296197808049893</c:v>
                </c:pt>
                <c:pt idx="98" formatCode="0">
                  <c:v>3.450673164301421</c:v>
                </c:pt>
                <c:pt idx="99" formatCode="0">
                  <c:v>3.602787326567103</c:v>
                </c:pt>
                <c:pt idx="100" formatCode="0">
                  <c:v>3.752576386280381</c:v>
                </c:pt>
                <c:pt idx="101" formatCode="0">
                  <c:v>3.900075883208223</c:v>
                </c:pt>
                <c:pt idx="102" formatCode="0">
                  <c:v>4.045320813883474</c:v>
                </c:pt>
                <c:pt idx="103" formatCode="0">
                  <c:v>4.188345639908334</c:v>
                </c:pt>
                <c:pt idx="104" formatCode="0">
                  <c:v>4.329184296130895</c:v>
                </c:pt>
                <c:pt idx="105" formatCode="0">
                  <c:v>4.46787019869671</c:v>
                </c:pt>
                <c:pt idx="106" formatCode="0">
                  <c:v>4.604436252977294</c:v>
                </c:pt>
                <c:pt idx="107" formatCode="0">
                  <c:v>4.738914861377433</c:v>
                </c:pt>
                <c:pt idx="108" formatCode="0">
                  <c:v>4.871337931023137</c:v>
                </c:pt>
                <c:pt idx="109" formatCode="0">
                  <c:v>5.00173688133213</c:v>
                </c:pt>
                <c:pt idx="110" formatCode="0">
                  <c:v>5.130142651468557</c:v>
                </c:pt>
                <c:pt idx="111" formatCode="0">
                  <c:v>5.256585707683804</c:v>
                </c:pt>
                <c:pt idx="112" formatCode="0">
                  <c:v>5.381096050545075</c:v>
                </c:pt>
                <c:pt idx="113" formatCode="0">
                  <c:v>5.503703222053494</c:v>
                </c:pt>
                <c:pt idx="114" formatCode="0">
                  <c:v>5.624436312653397</c:v>
                </c:pt>
                <c:pt idx="115" formatCode="0">
                  <c:v>5.74332396813449</c:v>
                </c:pt>
                <c:pt idx="116" formatCode="0">
                  <c:v>5.860394396428506</c:v>
                </c:pt>
                <c:pt idx="117" formatCode="0">
                  <c:v>5.975675374301978</c:v>
                </c:pt>
                <c:pt idx="118" formatCode="0">
                  <c:v>6.089194253946695</c:v>
                </c:pt>
                <c:pt idx="119" formatCode="0">
                  <c:v>6.200977969469434</c:v>
                </c:pt>
                <c:pt idx="120" formatCode="0">
                  <c:v>6.3110530432825</c:v>
                </c:pt>
                <c:pt idx="121" formatCode="0">
                  <c:v>6.419445592396573</c:v>
                </c:pt>
                <c:pt idx="122" formatCode="0">
                  <c:v>6.526181334617373</c:v>
                </c:pt>
                <c:pt idx="123" formatCode="0">
                  <c:v>6.631285594647599</c:v>
                </c:pt>
                <c:pt idx="124" formatCode="0">
                  <c:v>6.73478331009562</c:v>
                </c:pt>
                <c:pt idx="125" formatCode="0">
                  <c:v>6.836699037392295</c:v>
                </c:pt>
                <c:pt idx="126" formatCode="0">
                  <c:v>6.937056957617374</c:v>
                </c:pt>
                <c:pt idx="127" formatCode="0">
                  <c:v>7.035880882236826</c:v>
                </c:pt>
                <c:pt idx="128" formatCode="0">
                  <c:v>7.13319425875248</c:v>
                </c:pt>
                <c:pt idx="129" formatCode="0">
                  <c:v>7.229020176265307</c:v>
                </c:pt>
                <c:pt idx="130" formatCode="0">
                  <c:v>7.323381370953669</c:v>
                </c:pt>
                <c:pt idx="131" formatCode="0">
                  <c:v>7.416300231467813</c:v>
                </c:pt>
                <c:pt idx="132" formatCode="0">
                  <c:v>7.507798804241951</c:v>
                </c:pt>
                <c:pt idx="133" formatCode="0">
                  <c:v>7.597898798725088</c:v>
                </c:pt>
                <c:pt idx="134" formatCode="0">
                  <c:v>7.686621592531942</c:v>
                </c:pt>
                <c:pt idx="135" formatCode="0">
                  <c:v>7.773988236515113</c:v>
                </c:pt>
                <c:pt idx="136" formatCode="0">
                  <c:v>7.86001945975971</c:v>
                </c:pt>
                <c:pt idx="137" formatCode="0">
                  <c:v>7.94473567450166</c:v>
                </c:pt>
                <c:pt idx="138" formatCode="0">
                  <c:v>8.02815698097082</c:v>
                </c:pt>
                <c:pt idx="139" formatCode="0">
                  <c:v>8.110303172160068</c:v>
                </c:pt>
                <c:pt idx="140" formatCode="0">
                  <c:v>8.191193738521491</c:v>
                </c:pt>
                <c:pt idx="141" formatCode="0">
                  <c:v>8.270847872590807</c:v>
                </c:pt>
                <c:pt idx="142" formatCode="0">
                  <c:v>8.349284473541077</c:v>
                </c:pt>
                <c:pt idx="143" formatCode="0">
                  <c:v>8.42652215166684</c:v>
                </c:pt>
                <c:pt idx="144" formatCode="0">
                  <c:v>8.50257923279968</c:v>
                </c:pt>
                <c:pt idx="145" formatCode="0">
                  <c:v>8.577473762656322</c:v>
                </c:pt>
                <c:pt idx="146" formatCode="0">
                  <c:v>8.651223511120242</c:v>
                </c:pt>
                <c:pt idx="147" formatCode="0">
                  <c:v>8.72384597645787</c:v>
                </c:pt>
                <c:pt idx="148" formatCode="0">
                  <c:v>8.7953583894703</c:v>
                </c:pt>
                <c:pt idx="149" formatCode="0">
                  <c:v>8.86577771758158</c:v>
                </c:pt>
                <c:pt idx="150" formatCode="0">
                  <c:v>8.935120668864485</c:v>
                </c:pt>
                <c:pt idx="151" formatCode="0">
                  <c:v>9.003403696004777</c:v>
                </c:pt>
                <c:pt idx="152" formatCode="0">
                  <c:v>9.070643000204848</c:v>
                </c:pt>
                <c:pt idx="153" formatCode="0">
                  <c:v>9.1368545350277</c:v>
                </c:pt>
                <c:pt idx="154" formatCode="0">
                  <c:v>9.202054010182195</c:v>
                </c:pt>
                <c:pt idx="155" formatCode="0">
                  <c:v>9.26625689525041</c:v>
                </c:pt>
                <c:pt idx="156" formatCode="0">
                  <c:v>9.329478423358035</c:v>
                </c:pt>
                <c:pt idx="157" formatCode="0">
                  <c:v>9.39173359478867</c:v>
                </c:pt>
                <c:pt idx="158" formatCode="0">
                  <c:v>9.45303718054288</c:v>
                </c:pt>
                <c:pt idx="159" formatCode="0">
                  <c:v>9.513403725842831</c:v>
                </c:pt>
                <c:pt idx="160" formatCode="0">
                  <c:v>9.572847553583377</c:v>
                </c:pt>
                <c:pt idx="161" formatCode="0">
                  <c:v>9.133534561116412</c:v>
                </c:pt>
                <c:pt idx="162" formatCode="0">
                  <c:v>9.414285735380897</c:v>
                </c:pt>
                <c:pt idx="163" formatCode="0">
                  <c:v>9.690745558582795</c:v>
                </c:pt>
                <c:pt idx="164" formatCode="0">
                  <c:v>9.962979625083354</c:v>
                </c:pt>
                <c:pt idx="165" formatCode="0">
                  <c:v>10.23105252661778</c:v>
                </c:pt>
                <c:pt idx="166" formatCode="0">
                  <c:v>10.49502786762068</c:v>
                </c:pt>
                <c:pt idx="167" formatCode="0">
                  <c:v>10.75496828031713</c:v>
                </c:pt>
                <c:pt idx="168" formatCode="0">
                  <c:v>11.01093543958318</c:v>
                </c:pt>
                <c:pt idx="169" formatCode="0">
                  <c:v>11.26299007757918</c:v>
                </c:pt>
                <c:pt idx="170" formatCode="0">
                  <c:v>11.5111919981594</c:v>
                </c:pt>
                <c:pt idx="171" formatCode="0">
                  <c:v>11.7556000910614</c:v>
                </c:pt>
                <c:pt idx="172" formatCode="0">
                  <c:v>11.99627234587855</c:v>
                </c:pt>
                <c:pt idx="173" formatCode="0">
                  <c:v>12.23326586581901</c:v>
                </c:pt>
                <c:pt idx="174" formatCode="0">
                  <c:v>12.46663688125424</c:v>
                </c:pt>
                <c:pt idx="175" formatCode="0">
                  <c:v>12.69644076306059</c:v>
                </c:pt>
                <c:pt idx="176" formatCode="0">
                  <c:v>12.92273203575691</c:v>
                </c:pt>
                <c:pt idx="177" formatCode="0">
                  <c:v>13.14556439044128</c:v>
                </c:pt>
                <c:pt idx="178" formatCode="0">
                  <c:v>13.3649906975301</c:v>
                </c:pt>
                <c:pt idx="179" formatCode="0">
                  <c:v>13.58106301930238</c:v>
                </c:pt>
                <c:pt idx="180" formatCode="0">
                  <c:v>13.79383262225235</c:v>
                </c:pt>
                <c:pt idx="181" formatCode="0">
                  <c:v>14.00334998925318</c:v>
                </c:pt>
                <c:pt idx="182" formatCode="0">
                  <c:v>14.20966483153487</c:v>
                </c:pt>
                <c:pt idx="183" formatCode="0">
                  <c:v>14.41282610047899</c:v>
                </c:pt>
                <c:pt idx="184" formatCode="0">
                  <c:v>14.61288199923315</c:v>
                </c:pt>
                <c:pt idx="185" formatCode="0">
                  <c:v>14.80987999414793</c:v>
                </c:pt>
                <c:pt idx="186" formatCode="0">
                  <c:v>15.00386682603902</c:v>
                </c:pt>
                <c:pt idx="187" formatCode="0">
                  <c:v>15.19488852127717</c:v>
                </c:pt>
                <c:pt idx="188" formatCode="0">
                  <c:v>15.38299040270874</c:v>
                </c:pt>
                <c:pt idx="189" formatCode="0">
                  <c:v>15.56821710040912</c:v>
                </c:pt>
                <c:pt idx="190" formatCode="0">
                  <c:v>15.75061256227201</c:v>
                </c:pt>
                <c:pt idx="191" formatCode="0">
                  <c:v>15.93022006443669</c:v>
                </c:pt>
                <c:pt idx="192" formatCode="0">
                  <c:v>16.10708222155596</c:v>
                </c:pt>
                <c:pt idx="193" formatCode="0">
                  <c:v>16.2812409969071</c:v>
                </c:pt>
                <c:pt idx="194" formatCode="0">
                  <c:v>16.45273771234837</c:v>
                </c:pt>
                <c:pt idx="195" formatCode="0">
                  <c:v>16.62161305812318</c:v>
                </c:pt>
                <c:pt idx="196" formatCode="0">
                  <c:v>16.78790710251454</c:v>
                </c:pt>
                <c:pt idx="197" formatCode="0">
                  <c:v>16.95165930135185</c:v>
                </c:pt>
                <c:pt idx="198" formatCode="0">
                  <c:v>17.1129085073724</c:v>
                </c:pt>
                <c:pt idx="199" formatCode="0">
                  <c:v>17.2716929794398</c:v>
                </c:pt>
                <c:pt idx="200" formatCode="0">
                  <c:v>17.42805039162147</c:v>
                </c:pt>
                <c:pt idx="201" formatCode="0">
                  <c:v>17.58201784212741</c:v>
                </c:pt>
                <c:pt idx="202" formatCode="0">
                  <c:v>17.73363186211231</c:v>
                </c:pt>
                <c:pt idx="203" formatCode="0">
                  <c:v>17.88292842434314</c:v>
                </c:pt>
                <c:pt idx="204" formatCode="0">
                  <c:v>18.02994295173423</c:v>
                </c:pt>
                <c:pt idx="205" formatCode="0">
                  <c:v>18.17471032575192</c:v>
                </c:pt>
                <c:pt idx="206" formatCode="0">
                  <c:v>18.31726489469072</c:v>
                </c:pt>
                <c:pt idx="207" formatCode="0">
                  <c:v>18.45764048182296</c:v>
                </c:pt>
                <c:pt idx="208" formatCode="0">
                  <c:v>18.59587039342392</c:v>
                </c:pt>
                <c:pt idx="209" formatCode="0">
                  <c:v>18.7319874266742</c:v>
                </c:pt>
                <c:pt idx="210" formatCode="0">
                  <c:v>18.86602387744141</c:v>
                </c:pt>
                <c:pt idx="211" formatCode="0">
                  <c:v>18.99801154794285</c:v>
                </c:pt>
                <c:pt idx="212" formatCode="0">
                  <c:v>19.12798175429107</c:v>
                </c:pt>
                <c:pt idx="213" formatCode="0">
                  <c:v>19.25596533392411</c:v>
                </c:pt>
                <c:pt idx="214" formatCode="0">
                  <c:v>19.38199265292211</c:v>
                </c:pt>
                <c:pt idx="215" formatCode="0">
                  <c:v>19.50609361321221</c:v>
                </c:pt>
                <c:pt idx="216" formatCode="0">
                  <c:v>19.62829765966321</c:v>
                </c:pt>
                <c:pt idx="217" formatCode="0">
                  <c:v>19.74863378707179</c:v>
                </c:pt>
                <c:pt idx="218" formatCode="0">
                  <c:v>19.86713054704202</c:v>
                </c:pt>
                <c:pt idx="219" formatCode="0">
                  <c:v>19.98381605475963</c:v>
                </c:pt>
                <c:pt idx="220" formatCode="0">
                  <c:v>20.09871799566281</c:v>
                </c:pt>
                <c:pt idx="221" formatCode="0">
                  <c:v>20.21186363201096</c:v>
                </c:pt>
                <c:pt idx="222" formatCode="0">
                  <c:v>20.32327980935315</c:v>
                </c:pt>
                <c:pt idx="223" formatCode="0">
                  <c:v>20.43299296289756</c:v>
                </c:pt>
                <c:pt idx="224" formatCode="0">
                  <c:v>20.54102912378371</c:v>
                </c:pt>
                <c:pt idx="225" formatCode="0">
                  <c:v>20.64741392525869</c:v>
                </c:pt>
                <c:pt idx="226" formatCode="0">
                  <c:v>20.7521726087591</c:v>
                </c:pt>
                <c:pt idx="227" formatCode="0">
                  <c:v>20.85533002989995</c:v>
                </c:pt>
                <c:pt idx="228" formatCode="0">
                  <c:v>20.95691066437201</c:v>
                </c:pt>
                <c:pt idx="229" formatCode="0">
                  <c:v>21.05693861374909</c:v>
                </c:pt>
                <c:pt idx="230" formatCode="0">
                  <c:v>21.15543761120648</c:v>
                </c:pt>
                <c:pt idx="231" formatCode="0">
                  <c:v>21.25243102715202</c:v>
                </c:pt>
                <c:pt idx="232" formatCode="0">
                  <c:v>21.3479418747711</c:v>
                </c:pt>
                <c:pt idx="233" formatCode="0">
                  <c:v>21.44199281548688</c:v>
                </c:pt>
                <c:pt idx="234" formatCode="0">
                  <c:v>21.53460616433707</c:v>
                </c:pt>
                <c:pt idx="235" formatCode="0">
                  <c:v>21.62580389526852</c:v>
                </c:pt>
                <c:pt idx="236" formatCode="0">
                  <c:v>21.71560764635086</c:v>
                </c:pt>
                <c:pt idx="237" formatCode="0">
                  <c:v>21.8040387249105</c:v>
                </c:pt>
                <c:pt idx="238" formatCode="0">
                  <c:v>21.89111811258606</c:v>
                </c:pt>
                <c:pt idx="239" formatCode="0">
                  <c:v>21.9768664703067</c:v>
                </c:pt>
                <c:pt idx="240" formatCode="0">
                  <c:v>22.0613041431941</c:v>
                </c:pt>
              </c:numCache>
            </c:numRef>
          </c:val>
        </c:ser>
        <c:ser>
          <c:idx val="8"/>
          <c:order val="8"/>
          <c:tx>
            <c:strRef>
              <c:f>'MixCon Even T40H80U25'!$AO$77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rgbClr val="FF6600"/>
              </a:fgClr>
              <a:bgClr>
                <a:prstClr val="white"/>
              </a:bgClr>
            </a:pattFill>
          </c:spPr>
          <c:invertIfNegative val="0"/>
          <c:cat>
            <c:numRef>
              <c:f>'MixCon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'MixCon Even T40H80U25'!$AO$78:$AO$318</c:f>
              <c:numCache>
                <c:formatCode>General</c:formatCode>
                <c:ptCount val="241"/>
                <c:pt idx="40" formatCode="0">
                  <c:v>1.343438133191928</c:v>
                </c:pt>
                <c:pt idx="41" formatCode="0">
                  <c:v>1.343438133191928</c:v>
                </c:pt>
                <c:pt idx="42" formatCode="0">
                  <c:v>1.343438133191928</c:v>
                </c:pt>
                <c:pt idx="43" formatCode="0">
                  <c:v>1.343438133191928</c:v>
                </c:pt>
                <c:pt idx="44" formatCode="0">
                  <c:v>1.343438133191928</c:v>
                </c:pt>
                <c:pt idx="45" formatCode="0">
                  <c:v>1.343438133191928</c:v>
                </c:pt>
                <c:pt idx="46" formatCode="0">
                  <c:v>1.343438133191928</c:v>
                </c:pt>
                <c:pt idx="47" formatCode="0">
                  <c:v>1.343438133191928</c:v>
                </c:pt>
                <c:pt idx="48" formatCode="0">
                  <c:v>1.343438133191928</c:v>
                </c:pt>
                <c:pt idx="49" formatCode="0">
                  <c:v>1.343438133191928</c:v>
                </c:pt>
                <c:pt idx="50" formatCode="0">
                  <c:v>1.343438133191928</c:v>
                </c:pt>
                <c:pt idx="51" formatCode="0">
                  <c:v>1.343438133191928</c:v>
                </c:pt>
                <c:pt idx="52" formatCode="0">
                  <c:v>1.343438133191928</c:v>
                </c:pt>
                <c:pt idx="53" formatCode="0">
                  <c:v>1.343438133191928</c:v>
                </c:pt>
                <c:pt idx="54" formatCode="0">
                  <c:v>1.343438133191928</c:v>
                </c:pt>
                <c:pt idx="55" formatCode="0">
                  <c:v>1.343438133191928</c:v>
                </c:pt>
                <c:pt idx="56" formatCode="0">
                  <c:v>1.343438133191928</c:v>
                </c:pt>
                <c:pt idx="57" formatCode="0">
                  <c:v>1.343438133191928</c:v>
                </c:pt>
                <c:pt idx="58" formatCode="0">
                  <c:v>1.343438133191928</c:v>
                </c:pt>
                <c:pt idx="59" formatCode="0">
                  <c:v>1.343438133191928</c:v>
                </c:pt>
                <c:pt idx="60" formatCode="0">
                  <c:v>1.343438133191928</c:v>
                </c:pt>
                <c:pt idx="61" formatCode="0">
                  <c:v>1.343438133191928</c:v>
                </c:pt>
                <c:pt idx="62" formatCode="0">
                  <c:v>1.343438133191928</c:v>
                </c:pt>
                <c:pt idx="63" formatCode="0">
                  <c:v>1.343438133191928</c:v>
                </c:pt>
                <c:pt idx="64" formatCode="0">
                  <c:v>1.343438133191928</c:v>
                </c:pt>
                <c:pt idx="65" formatCode="0">
                  <c:v>1.343438133191928</c:v>
                </c:pt>
                <c:pt idx="66" formatCode="0">
                  <c:v>1.343438133191928</c:v>
                </c:pt>
                <c:pt idx="67" formatCode="0">
                  <c:v>1.343438133191928</c:v>
                </c:pt>
                <c:pt idx="68" formatCode="0">
                  <c:v>1.343438133191928</c:v>
                </c:pt>
                <c:pt idx="69" formatCode="0">
                  <c:v>1.343438133191928</c:v>
                </c:pt>
                <c:pt idx="70" formatCode="0">
                  <c:v>1.343438133191928</c:v>
                </c:pt>
                <c:pt idx="71" formatCode="0">
                  <c:v>1.343438133191928</c:v>
                </c:pt>
                <c:pt idx="72" formatCode="0">
                  <c:v>1.343438133191928</c:v>
                </c:pt>
                <c:pt idx="73" formatCode="0">
                  <c:v>1.343438133191928</c:v>
                </c:pt>
                <c:pt idx="74" formatCode="0">
                  <c:v>1.343438133191928</c:v>
                </c:pt>
                <c:pt idx="75" formatCode="0">
                  <c:v>1.343438133191928</c:v>
                </c:pt>
                <c:pt idx="76" formatCode="0">
                  <c:v>1.343438133191928</c:v>
                </c:pt>
                <c:pt idx="77" formatCode="0">
                  <c:v>1.343438133191928</c:v>
                </c:pt>
                <c:pt idx="78" formatCode="0">
                  <c:v>1.343438133191928</c:v>
                </c:pt>
                <c:pt idx="79" formatCode="0">
                  <c:v>1.343438133191928</c:v>
                </c:pt>
                <c:pt idx="80" formatCode="0">
                  <c:v>23.25391418104315</c:v>
                </c:pt>
                <c:pt idx="81" formatCode="0">
                  <c:v>23.25391418104315</c:v>
                </c:pt>
                <c:pt idx="82" formatCode="0">
                  <c:v>23.25391418104315</c:v>
                </c:pt>
                <c:pt idx="83" formatCode="0">
                  <c:v>23.25391418104315</c:v>
                </c:pt>
                <c:pt idx="84" formatCode="0">
                  <c:v>23.25391418104315</c:v>
                </c:pt>
                <c:pt idx="85" formatCode="0">
                  <c:v>23.25391418104315</c:v>
                </c:pt>
                <c:pt idx="86" formatCode="0">
                  <c:v>23.25391418104315</c:v>
                </c:pt>
                <c:pt idx="87" formatCode="0">
                  <c:v>23.25391418104315</c:v>
                </c:pt>
                <c:pt idx="88" formatCode="0">
                  <c:v>23.25391418104315</c:v>
                </c:pt>
                <c:pt idx="89" formatCode="0">
                  <c:v>23.25391418104315</c:v>
                </c:pt>
                <c:pt idx="90" formatCode="0">
                  <c:v>23.25391418104315</c:v>
                </c:pt>
                <c:pt idx="91" formatCode="0">
                  <c:v>23.25391418104315</c:v>
                </c:pt>
                <c:pt idx="92" formatCode="0">
                  <c:v>23.25391418104315</c:v>
                </c:pt>
                <c:pt idx="93" formatCode="0">
                  <c:v>23.25391418104315</c:v>
                </c:pt>
                <c:pt idx="94" formatCode="0">
                  <c:v>23.25391418104315</c:v>
                </c:pt>
                <c:pt idx="95" formatCode="0">
                  <c:v>23.25391418104315</c:v>
                </c:pt>
                <c:pt idx="96" formatCode="0">
                  <c:v>23.25391418104315</c:v>
                </c:pt>
                <c:pt idx="97" formatCode="0">
                  <c:v>23.25391418104315</c:v>
                </c:pt>
                <c:pt idx="98" formatCode="0">
                  <c:v>23.25391418104315</c:v>
                </c:pt>
                <c:pt idx="99" formatCode="0">
                  <c:v>23.25391418104315</c:v>
                </c:pt>
                <c:pt idx="100" formatCode="0">
                  <c:v>23.25391418104315</c:v>
                </c:pt>
                <c:pt idx="101" formatCode="0">
                  <c:v>23.25391418104315</c:v>
                </c:pt>
                <c:pt idx="102" formatCode="0">
                  <c:v>23.25391418104315</c:v>
                </c:pt>
                <c:pt idx="103" formatCode="0">
                  <c:v>23.25391418104315</c:v>
                </c:pt>
                <c:pt idx="104" formatCode="0">
                  <c:v>23.25391418104315</c:v>
                </c:pt>
                <c:pt idx="105" formatCode="0">
                  <c:v>23.25391418104315</c:v>
                </c:pt>
                <c:pt idx="106" formatCode="0">
                  <c:v>23.25391418104315</c:v>
                </c:pt>
                <c:pt idx="107" formatCode="0">
                  <c:v>23.25391418104315</c:v>
                </c:pt>
                <c:pt idx="108" formatCode="0">
                  <c:v>23.25391418104315</c:v>
                </c:pt>
                <c:pt idx="109" formatCode="0">
                  <c:v>23.25391418104315</c:v>
                </c:pt>
                <c:pt idx="110" formatCode="0">
                  <c:v>23.25391418104315</c:v>
                </c:pt>
                <c:pt idx="111" formatCode="0">
                  <c:v>23.25391418104315</c:v>
                </c:pt>
                <c:pt idx="112" formatCode="0">
                  <c:v>23.25391418104315</c:v>
                </c:pt>
                <c:pt idx="113" formatCode="0">
                  <c:v>23.25391418104315</c:v>
                </c:pt>
                <c:pt idx="114" formatCode="0">
                  <c:v>23.25391418104315</c:v>
                </c:pt>
                <c:pt idx="115" formatCode="0">
                  <c:v>23.25391418104315</c:v>
                </c:pt>
                <c:pt idx="116" formatCode="0">
                  <c:v>23.25391418104315</c:v>
                </c:pt>
                <c:pt idx="117" formatCode="0">
                  <c:v>23.25391418104315</c:v>
                </c:pt>
                <c:pt idx="118" formatCode="0">
                  <c:v>23.25391418104315</c:v>
                </c:pt>
                <c:pt idx="119" formatCode="0">
                  <c:v>23.25391418104315</c:v>
                </c:pt>
                <c:pt idx="120" formatCode="0">
                  <c:v>23.25391418104315</c:v>
                </c:pt>
                <c:pt idx="121" formatCode="0">
                  <c:v>23.25391418104315</c:v>
                </c:pt>
                <c:pt idx="122" formatCode="0">
                  <c:v>23.25391418104315</c:v>
                </c:pt>
                <c:pt idx="123" formatCode="0">
                  <c:v>23.25391418104315</c:v>
                </c:pt>
                <c:pt idx="124" formatCode="0">
                  <c:v>23.25391418104315</c:v>
                </c:pt>
                <c:pt idx="125" formatCode="0">
                  <c:v>23.25391418104315</c:v>
                </c:pt>
                <c:pt idx="126" formatCode="0">
                  <c:v>23.25391418104315</c:v>
                </c:pt>
                <c:pt idx="127" formatCode="0">
                  <c:v>23.25391418104315</c:v>
                </c:pt>
                <c:pt idx="128" formatCode="0">
                  <c:v>23.25391418104315</c:v>
                </c:pt>
                <c:pt idx="129" formatCode="0">
                  <c:v>23.25391418104315</c:v>
                </c:pt>
                <c:pt idx="130" formatCode="0">
                  <c:v>23.25391418104315</c:v>
                </c:pt>
                <c:pt idx="131" formatCode="0">
                  <c:v>23.25391418104315</c:v>
                </c:pt>
                <c:pt idx="132" formatCode="0">
                  <c:v>23.25391418104315</c:v>
                </c:pt>
                <c:pt idx="133" formatCode="0">
                  <c:v>23.25391418104315</c:v>
                </c:pt>
                <c:pt idx="134" formatCode="0">
                  <c:v>23.25391418104315</c:v>
                </c:pt>
                <c:pt idx="135" formatCode="0">
                  <c:v>23.25391418104315</c:v>
                </c:pt>
                <c:pt idx="136" formatCode="0">
                  <c:v>23.25391418104315</c:v>
                </c:pt>
                <c:pt idx="137" formatCode="0">
                  <c:v>23.25391418104315</c:v>
                </c:pt>
                <c:pt idx="138" formatCode="0">
                  <c:v>23.25391418104315</c:v>
                </c:pt>
                <c:pt idx="139" formatCode="0">
                  <c:v>23.25391418104315</c:v>
                </c:pt>
                <c:pt idx="140" formatCode="0">
                  <c:v>23.25391418104315</c:v>
                </c:pt>
                <c:pt idx="141" formatCode="0">
                  <c:v>23.25391418104315</c:v>
                </c:pt>
                <c:pt idx="142" formatCode="0">
                  <c:v>23.25391418104315</c:v>
                </c:pt>
                <c:pt idx="143" formatCode="0">
                  <c:v>23.25391418104315</c:v>
                </c:pt>
                <c:pt idx="144" formatCode="0">
                  <c:v>23.25391418104315</c:v>
                </c:pt>
                <c:pt idx="145" formatCode="0">
                  <c:v>23.25391418104315</c:v>
                </c:pt>
                <c:pt idx="146" formatCode="0">
                  <c:v>23.25391418104315</c:v>
                </c:pt>
                <c:pt idx="147" formatCode="0">
                  <c:v>23.25391418104315</c:v>
                </c:pt>
                <c:pt idx="148" formatCode="0">
                  <c:v>23.25391418104315</c:v>
                </c:pt>
                <c:pt idx="149" formatCode="0">
                  <c:v>23.25391418104315</c:v>
                </c:pt>
                <c:pt idx="150" formatCode="0">
                  <c:v>23.25391418104315</c:v>
                </c:pt>
                <c:pt idx="151" formatCode="0">
                  <c:v>23.25391418104315</c:v>
                </c:pt>
                <c:pt idx="152" formatCode="0">
                  <c:v>23.25391418104315</c:v>
                </c:pt>
                <c:pt idx="153" formatCode="0">
                  <c:v>23.25391418104315</c:v>
                </c:pt>
                <c:pt idx="154" formatCode="0">
                  <c:v>23.25391418104315</c:v>
                </c:pt>
                <c:pt idx="155" formatCode="0">
                  <c:v>23.25391418104315</c:v>
                </c:pt>
                <c:pt idx="156" formatCode="0">
                  <c:v>23.25391418104315</c:v>
                </c:pt>
                <c:pt idx="157" formatCode="0">
                  <c:v>23.25391418104315</c:v>
                </c:pt>
                <c:pt idx="158" formatCode="0">
                  <c:v>23.25391418104315</c:v>
                </c:pt>
                <c:pt idx="159" formatCode="0">
                  <c:v>23.25391418104315</c:v>
                </c:pt>
                <c:pt idx="160" formatCode="0">
                  <c:v>23.25391418104315</c:v>
                </c:pt>
                <c:pt idx="161" formatCode="0">
                  <c:v>36.15505377202963</c:v>
                </c:pt>
                <c:pt idx="162" formatCode="0">
                  <c:v>36.15505377202963</c:v>
                </c:pt>
                <c:pt idx="163" formatCode="0">
                  <c:v>36.15505377202963</c:v>
                </c:pt>
                <c:pt idx="164" formatCode="0">
                  <c:v>36.15505377202963</c:v>
                </c:pt>
                <c:pt idx="165" formatCode="0">
                  <c:v>36.15505377202963</c:v>
                </c:pt>
                <c:pt idx="166" formatCode="0">
                  <c:v>36.15505377202963</c:v>
                </c:pt>
                <c:pt idx="167" formatCode="0">
                  <c:v>36.15505377202963</c:v>
                </c:pt>
                <c:pt idx="168" formatCode="0">
                  <c:v>36.15505377202963</c:v>
                </c:pt>
                <c:pt idx="169" formatCode="0">
                  <c:v>36.15505377202963</c:v>
                </c:pt>
                <c:pt idx="170" formatCode="0">
                  <c:v>36.15505377202963</c:v>
                </c:pt>
                <c:pt idx="171" formatCode="0">
                  <c:v>36.15505377202963</c:v>
                </c:pt>
                <c:pt idx="172" formatCode="0">
                  <c:v>36.15505377202963</c:v>
                </c:pt>
                <c:pt idx="173" formatCode="0">
                  <c:v>36.15505377202963</c:v>
                </c:pt>
                <c:pt idx="174" formatCode="0">
                  <c:v>36.15505377202963</c:v>
                </c:pt>
                <c:pt idx="175" formatCode="0">
                  <c:v>36.15505377202963</c:v>
                </c:pt>
                <c:pt idx="176" formatCode="0">
                  <c:v>36.15505377202963</c:v>
                </c:pt>
                <c:pt idx="177" formatCode="0">
                  <c:v>36.15505377202963</c:v>
                </c:pt>
                <c:pt idx="178" formatCode="0">
                  <c:v>36.15505377202963</c:v>
                </c:pt>
                <c:pt idx="179" formatCode="0">
                  <c:v>36.15505377202963</c:v>
                </c:pt>
                <c:pt idx="180" formatCode="0">
                  <c:v>36.15505377202963</c:v>
                </c:pt>
                <c:pt idx="181" formatCode="0">
                  <c:v>36.15505377202963</c:v>
                </c:pt>
                <c:pt idx="182" formatCode="0">
                  <c:v>36.15505377202963</c:v>
                </c:pt>
                <c:pt idx="183" formatCode="0">
                  <c:v>36.15505377202963</c:v>
                </c:pt>
                <c:pt idx="184" formatCode="0">
                  <c:v>36.15505377202963</c:v>
                </c:pt>
                <c:pt idx="185" formatCode="0">
                  <c:v>36.15505377202963</c:v>
                </c:pt>
                <c:pt idx="186" formatCode="0">
                  <c:v>36.15505377202963</c:v>
                </c:pt>
                <c:pt idx="187" formatCode="0">
                  <c:v>36.15505377202963</c:v>
                </c:pt>
                <c:pt idx="188" formatCode="0">
                  <c:v>36.15505377202963</c:v>
                </c:pt>
                <c:pt idx="189" formatCode="0">
                  <c:v>36.15505377202963</c:v>
                </c:pt>
                <c:pt idx="190" formatCode="0">
                  <c:v>36.15505377202963</c:v>
                </c:pt>
                <c:pt idx="191" formatCode="0">
                  <c:v>36.15505377202963</c:v>
                </c:pt>
                <c:pt idx="192" formatCode="0">
                  <c:v>36.15505377202963</c:v>
                </c:pt>
                <c:pt idx="193" formatCode="0">
                  <c:v>36.15505377202963</c:v>
                </c:pt>
                <c:pt idx="194" formatCode="0">
                  <c:v>36.15505377202963</c:v>
                </c:pt>
                <c:pt idx="195" formatCode="0">
                  <c:v>36.15505377202963</c:v>
                </c:pt>
                <c:pt idx="196" formatCode="0">
                  <c:v>36.15505377202963</c:v>
                </c:pt>
                <c:pt idx="197" formatCode="0">
                  <c:v>36.15505377202963</c:v>
                </c:pt>
                <c:pt idx="198" formatCode="0">
                  <c:v>36.15505377202963</c:v>
                </c:pt>
                <c:pt idx="199" formatCode="0">
                  <c:v>36.15505377202963</c:v>
                </c:pt>
                <c:pt idx="200" formatCode="0">
                  <c:v>36.15505377202963</c:v>
                </c:pt>
                <c:pt idx="201" formatCode="0">
                  <c:v>36.15505377202963</c:v>
                </c:pt>
                <c:pt idx="202" formatCode="0">
                  <c:v>36.15505377202963</c:v>
                </c:pt>
                <c:pt idx="203" formatCode="0">
                  <c:v>36.15505377202963</c:v>
                </c:pt>
                <c:pt idx="204" formatCode="0">
                  <c:v>36.15505377202963</c:v>
                </c:pt>
                <c:pt idx="205" formatCode="0">
                  <c:v>36.15505377202963</c:v>
                </c:pt>
                <c:pt idx="206" formatCode="0">
                  <c:v>36.15505377202963</c:v>
                </c:pt>
                <c:pt idx="207" formatCode="0">
                  <c:v>36.15505377202963</c:v>
                </c:pt>
                <c:pt idx="208" formatCode="0">
                  <c:v>36.15505377202963</c:v>
                </c:pt>
                <c:pt idx="209" formatCode="0">
                  <c:v>36.15505377202963</c:v>
                </c:pt>
                <c:pt idx="210" formatCode="0">
                  <c:v>36.15505377202963</c:v>
                </c:pt>
                <c:pt idx="211" formatCode="0">
                  <c:v>36.15505377202963</c:v>
                </c:pt>
                <c:pt idx="212" formatCode="0">
                  <c:v>36.15505377202963</c:v>
                </c:pt>
                <c:pt idx="213" formatCode="0">
                  <c:v>36.15505377202963</c:v>
                </c:pt>
                <c:pt idx="214" formatCode="0">
                  <c:v>36.15505377202963</c:v>
                </c:pt>
                <c:pt idx="215" formatCode="0">
                  <c:v>36.15505377202963</c:v>
                </c:pt>
                <c:pt idx="216" formatCode="0">
                  <c:v>36.15505377202963</c:v>
                </c:pt>
                <c:pt idx="217" formatCode="0">
                  <c:v>36.15505377202963</c:v>
                </c:pt>
                <c:pt idx="218" formatCode="0">
                  <c:v>36.15505377202963</c:v>
                </c:pt>
                <c:pt idx="219" formatCode="0">
                  <c:v>36.15505377202963</c:v>
                </c:pt>
                <c:pt idx="220" formatCode="0">
                  <c:v>36.15505377202963</c:v>
                </c:pt>
                <c:pt idx="221" formatCode="0">
                  <c:v>36.15505377202963</c:v>
                </c:pt>
                <c:pt idx="222" formatCode="0">
                  <c:v>36.15505377202963</c:v>
                </c:pt>
                <c:pt idx="223" formatCode="0">
                  <c:v>36.15505377202963</c:v>
                </c:pt>
                <c:pt idx="224" formatCode="0">
                  <c:v>36.15505377202963</c:v>
                </c:pt>
                <c:pt idx="225" formatCode="0">
                  <c:v>36.15505377202963</c:v>
                </c:pt>
                <c:pt idx="226" formatCode="0">
                  <c:v>36.15505377202963</c:v>
                </c:pt>
                <c:pt idx="227" formatCode="0">
                  <c:v>36.15505377202963</c:v>
                </c:pt>
                <c:pt idx="228" formatCode="0">
                  <c:v>36.15505377202963</c:v>
                </c:pt>
                <c:pt idx="229" formatCode="0">
                  <c:v>36.15505377202963</c:v>
                </c:pt>
                <c:pt idx="230" formatCode="0">
                  <c:v>36.15505377202963</c:v>
                </c:pt>
                <c:pt idx="231" formatCode="0">
                  <c:v>36.15505377202963</c:v>
                </c:pt>
                <c:pt idx="232" formatCode="0">
                  <c:v>36.15505377202963</c:v>
                </c:pt>
                <c:pt idx="233" formatCode="0">
                  <c:v>36.15505377202963</c:v>
                </c:pt>
                <c:pt idx="234" formatCode="0">
                  <c:v>36.15505377202963</c:v>
                </c:pt>
                <c:pt idx="235" formatCode="0">
                  <c:v>36.15505377202963</c:v>
                </c:pt>
                <c:pt idx="236" formatCode="0">
                  <c:v>36.15505377202963</c:v>
                </c:pt>
                <c:pt idx="237" formatCode="0">
                  <c:v>36.15505377202963</c:v>
                </c:pt>
                <c:pt idx="238" formatCode="0">
                  <c:v>36.15505377202963</c:v>
                </c:pt>
                <c:pt idx="239" formatCode="0">
                  <c:v>36.15505377202963</c:v>
                </c:pt>
                <c:pt idx="240" formatCode="0">
                  <c:v>36.15505377202963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116209688"/>
        <c:axId val="-2116569544"/>
      </c:barChart>
      <c:lineChart>
        <c:grouping val="standard"/>
        <c:varyColors val="0"/>
        <c:ser>
          <c:idx val="0"/>
          <c:order val="0"/>
          <c:tx>
            <c:strRef>
              <c:f>'MixCon Even T40H80U25'!$AG$77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val>
            <c:numRef>
              <c:f>'MixCon Even T40H80U25'!$AG$78:$AG$318</c:f>
              <c:numCache>
                <c:formatCode>0</c:formatCode>
                <c:ptCount val="24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18.2171957703053</c:v>
                </c:pt>
                <c:pt idx="42">
                  <c:v>19.94036919288419</c:v>
                </c:pt>
                <c:pt idx="43">
                  <c:v>21.66354261546308</c:v>
                </c:pt>
                <c:pt idx="44">
                  <c:v>23.38671603804196</c:v>
                </c:pt>
                <c:pt idx="45">
                  <c:v>25.10988946062085</c:v>
                </c:pt>
                <c:pt idx="46">
                  <c:v>26.83306288319974</c:v>
                </c:pt>
                <c:pt idx="47">
                  <c:v>28.55623630577863</c:v>
                </c:pt>
                <c:pt idx="48">
                  <c:v>30.27940972835752</c:v>
                </c:pt>
                <c:pt idx="49">
                  <c:v>32.00258315093641</c:v>
                </c:pt>
                <c:pt idx="50">
                  <c:v>33.7257565735153</c:v>
                </c:pt>
                <c:pt idx="51">
                  <c:v>35.44892999609419</c:v>
                </c:pt>
                <c:pt idx="52">
                  <c:v>37.17210341867307</c:v>
                </c:pt>
                <c:pt idx="53">
                  <c:v>38.89527684125196</c:v>
                </c:pt>
                <c:pt idx="54">
                  <c:v>40.61845026383085</c:v>
                </c:pt>
                <c:pt idx="55">
                  <c:v>42.34162368640974</c:v>
                </c:pt>
                <c:pt idx="56">
                  <c:v>44.06479710898863</c:v>
                </c:pt>
                <c:pt idx="57">
                  <c:v>45.78797053156752</c:v>
                </c:pt>
                <c:pt idx="58">
                  <c:v>47.51114395414641</c:v>
                </c:pt>
                <c:pt idx="59">
                  <c:v>49.2343173767253</c:v>
                </c:pt>
                <c:pt idx="60">
                  <c:v>50.95749079930418</c:v>
                </c:pt>
                <c:pt idx="61">
                  <c:v>52.68066422188307</c:v>
                </c:pt>
                <c:pt idx="62">
                  <c:v>54.40383764446196</c:v>
                </c:pt>
                <c:pt idx="63">
                  <c:v>56.12701106704085</c:v>
                </c:pt>
                <c:pt idx="64">
                  <c:v>57.85018448961974</c:v>
                </c:pt>
                <c:pt idx="65">
                  <c:v>59.57335791219862</c:v>
                </c:pt>
                <c:pt idx="66">
                  <c:v>61.2965313347775</c:v>
                </c:pt>
                <c:pt idx="67">
                  <c:v>63.0197047573564</c:v>
                </c:pt>
                <c:pt idx="68">
                  <c:v>64.74287817993529</c:v>
                </c:pt>
                <c:pt idx="69">
                  <c:v>66.46605160251418</c:v>
                </c:pt>
                <c:pt idx="70">
                  <c:v>68.18922502509308</c:v>
                </c:pt>
                <c:pt idx="71">
                  <c:v>69.91239844767198</c:v>
                </c:pt>
                <c:pt idx="72">
                  <c:v>71.63557187025087</c:v>
                </c:pt>
                <c:pt idx="73">
                  <c:v>73.35874529282977</c:v>
                </c:pt>
                <c:pt idx="74">
                  <c:v>75.08191871540866</c:v>
                </c:pt>
                <c:pt idx="75">
                  <c:v>76.80509213798756</c:v>
                </c:pt>
                <c:pt idx="76">
                  <c:v>78.52826556056645</c:v>
                </c:pt>
                <c:pt idx="77">
                  <c:v>80.25143898314534</c:v>
                </c:pt>
                <c:pt idx="78">
                  <c:v>81.97461240572424</c:v>
                </c:pt>
                <c:pt idx="79">
                  <c:v>83.69778582830314</c:v>
                </c:pt>
                <c:pt idx="80">
                  <c:v>85.42095925088196</c:v>
                </c:pt>
                <c:pt idx="81">
                  <c:v>86.71105885116137</c:v>
                </c:pt>
                <c:pt idx="82">
                  <c:v>87.98815549932785</c:v>
                </c:pt>
                <c:pt idx="83">
                  <c:v>89.25207374798569</c:v>
                </c:pt>
                <c:pt idx="84">
                  <c:v>90.50265516982493</c:v>
                </c:pt>
                <c:pt idx="85">
                  <c:v>91.73975768915416</c:v>
                </c:pt>
                <c:pt idx="86">
                  <c:v>92.96325492803624</c:v>
                </c:pt>
                <c:pt idx="87">
                  <c:v>94.17303556736168</c:v>
                </c:pt>
                <c:pt idx="88">
                  <c:v>95.3690027231239</c:v>
                </c:pt>
                <c:pt idx="89">
                  <c:v>96.55107333809586</c:v>
                </c:pt>
                <c:pt idx="90">
                  <c:v>97.71917758904893</c:v>
                </c:pt>
                <c:pt idx="91">
                  <c:v>98.87325830960242</c:v>
                </c:pt>
                <c:pt idx="92">
                  <c:v>100.0132704287426</c:v>
                </c:pt>
                <c:pt idx="93">
                  <c:v>101.139180425008</c:v>
                </c:pt>
                <c:pt idx="94">
                  <c:v>102.2509657962968</c:v>
                </c:pt>
                <c:pt idx="95">
                  <c:v>103.3486145452175</c:v>
                </c:pt>
                <c:pt idx="96">
                  <c:v>104.4321246798715</c:v>
                </c:pt>
                <c:pt idx="97">
                  <c:v>105.5015037299297</c:v>
                </c:pt>
                <c:pt idx="98">
                  <c:v>106.5567682778356</c:v>
                </c:pt>
                <c:pt idx="99">
                  <c:v>107.5979435049508</c:v>
                </c:pt>
                <c:pt idx="100">
                  <c:v>108.6250627524327</c:v>
                </c:pt>
                <c:pt idx="101">
                  <c:v>109.6381670966215</c:v>
                </c:pt>
                <c:pt idx="102">
                  <c:v>110.6373049386964</c:v>
                </c:pt>
                <c:pt idx="103">
                  <c:v>111.6225316083471</c:v>
                </c:pt>
                <c:pt idx="104">
                  <c:v>112.5939089811971</c:v>
                </c:pt>
                <c:pt idx="105">
                  <c:v>113.5515051097048</c:v>
                </c:pt>
                <c:pt idx="106">
                  <c:v>114.495393867261</c:v>
                </c:pt>
                <c:pt idx="107">
                  <c:v>115.4256546051933</c:v>
                </c:pt>
                <c:pt idx="108">
                  <c:v>116.3423718223867</c:v>
                </c:pt>
                <c:pt idx="109">
                  <c:v>117.2456348472197</c:v>
                </c:pt>
                <c:pt idx="110">
                  <c:v>118.1355375315197</c:v>
                </c:pt>
                <c:pt idx="111">
                  <c:v>119.0121779562328</c:v>
                </c:pt>
                <c:pt idx="112">
                  <c:v>119.8756581485074</c:v>
                </c:pt>
                <c:pt idx="113">
                  <c:v>120.7260838098875</c:v>
                </c:pt>
                <c:pt idx="114">
                  <c:v>121.5635640553153</c:v>
                </c:pt>
                <c:pt idx="115">
                  <c:v>122.3882111626412</c:v>
                </c:pt>
                <c:pt idx="116">
                  <c:v>123.2001403323428</c:v>
                </c:pt>
                <c:pt idx="117">
                  <c:v>123.9994694571578</c:v>
                </c:pt>
                <c:pt idx="118">
                  <c:v>124.7863189013368</c:v>
                </c:pt>
                <c:pt idx="119">
                  <c:v>125.5608112892266</c:v>
                </c:pt>
                <c:pt idx="120">
                  <c:v>126.323071302899</c:v>
                </c:pt>
                <c:pt idx="121">
                  <c:v>127.0732254885427</c:v>
                </c:pt>
                <c:pt idx="122">
                  <c:v>127.8114020713414</c:v>
                </c:pt>
                <c:pt idx="123">
                  <c:v>128.5377307785662</c:v>
                </c:pt>
                <c:pt idx="124">
                  <c:v>129.2523426706143</c:v>
                </c:pt>
                <c:pt idx="125">
                  <c:v>129.9553699797319</c:v>
                </c:pt>
                <c:pt idx="126">
                  <c:v>130.6469459561647</c:v>
                </c:pt>
                <c:pt idx="127">
                  <c:v>131.3272047214833</c:v>
                </c:pt>
                <c:pt idx="128">
                  <c:v>131.9962811288383</c:v>
                </c:pt>
                <c:pt idx="129">
                  <c:v>132.6543106299048</c:v>
                </c:pt>
                <c:pt idx="130">
                  <c:v>133.3014291482797</c:v>
                </c:pt>
                <c:pt idx="131">
                  <c:v>133.9377729591053</c:v>
                </c:pt>
                <c:pt idx="132">
                  <c:v>134.5634785746921</c:v>
                </c:pt>
                <c:pt idx="133">
                  <c:v>135.1786826359275</c:v>
                </c:pt>
                <c:pt idx="134">
                  <c:v>135.7835218092532</c:v>
                </c:pt>
                <c:pt idx="135">
                  <c:v>136.3781326890098</c:v>
                </c:pt>
                <c:pt idx="136">
                  <c:v>136.9626517049435</c:v>
                </c:pt>
                <c:pt idx="137">
                  <c:v>137.5372150346831</c:v>
                </c:pt>
                <c:pt idx="138">
                  <c:v>138.1019585209953</c:v>
                </c:pt>
                <c:pt idx="139">
                  <c:v>138.6570175936353</c:v>
                </c:pt>
                <c:pt idx="140">
                  <c:v>139.202527195614</c:v>
                </c:pt>
                <c:pt idx="141">
                  <c:v>139.7386217137076</c:v>
                </c:pt>
                <c:pt idx="142">
                  <c:v>140.265434913042</c:v>
                </c:pt>
                <c:pt idx="143">
                  <c:v>140.7830998755894</c:v>
                </c:pt>
                <c:pt idx="144">
                  <c:v>141.2917489424176</c:v>
                </c:pt>
                <c:pt idx="145">
                  <c:v>141.7915136595419</c:v>
                </c:pt>
                <c:pt idx="146">
                  <c:v>142.2825247272286</c:v>
                </c:pt>
                <c:pt idx="147">
                  <c:v>142.7649119526085</c:v>
                </c:pt>
                <c:pt idx="148">
                  <c:v>143.238804205462</c:v>
                </c:pt>
                <c:pt idx="149">
                  <c:v>143.7043293770408</c:v>
                </c:pt>
                <c:pt idx="150">
                  <c:v>144.1616143417985</c:v>
                </c:pt>
                <c:pt idx="151">
                  <c:v>144.6107849219023</c:v>
                </c:pt>
                <c:pt idx="152">
                  <c:v>145.0519658544084</c:v>
                </c:pt>
                <c:pt idx="153">
                  <c:v>145.485280760981</c:v>
                </c:pt>
                <c:pt idx="154">
                  <c:v>145.9108521200458</c:v>
                </c:pt>
                <c:pt idx="155">
                  <c:v>146.3288012412665</c:v>
                </c:pt>
                <c:pt idx="156">
                  <c:v>146.7392482422407</c:v>
                </c:pt>
                <c:pt idx="157">
                  <c:v>147.1423120273151</c:v>
                </c:pt>
                <c:pt idx="158">
                  <c:v>147.5381102684207</c:v>
                </c:pt>
                <c:pt idx="159">
                  <c:v>147.926759387836</c:v>
                </c:pt>
                <c:pt idx="160">
                  <c:v>148.3083745427871</c:v>
                </c:pt>
                <c:pt idx="161">
                  <c:v>148.6830696117966</c:v>
                </c:pt>
                <c:pt idx="162">
                  <c:v>149.0509571827004</c:v>
                </c:pt>
                <c:pt idx="163">
                  <c:v>149.412148542248</c:v>
                </c:pt>
                <c:pt idx="164">
                  <c:v>149.766753667212</c:v>
                </c:pt>
                <c:pt idx="165">
                  <c:v>150.1148812169305</c:v>
                </c:pt>
                <c:pt idx="166">
                  <c:v>150.4566385272107</c:v>
                </c:pt>
                <c:pt idx="167">
                  <c:v>150.792131605525</c:v>
                </c:pt>
                <c:pt idx="168">
                  <c:v>151.1214651274338</c:v>
                </c:pt>
                <c:pt idx="169">
                  <c:v>151.4447424341706</c:v>
                </c:pt>
                <c:pt idx="170">
                  <c:v>151.7620655313278</c:v>
                </c:pt>
                <c:pt idx="171">
                  <c:v>152.0735350885863</c:v>
                </c:pt>
                <c:pt idx="172">
                  <c:v>152.3792504404302</c:v>
                </c:pt>
                <c:pt idx="173">
                  <c:v>152.6793095877948</c:v>
                </c:pt>
                <c:pt idx="174">
                  <c:v>152.9738092005933</c:v>
                </c:pt>
                <c:pt idx="175">
                  <c:v>153.2628446210756</c:v>
                </c:pt>
                <c:pt idx="176">
                  <c:v>153.546509867969</c:v>
                </c:pt>
                <c:pt idx="177">
                  <c:v>153.8248976413555</c:v>
                </c:pt>
                <c:pt idx="178">
                  <c:v>154.0980993282435</c:v>
                </c:pt>
                <c:pt idx="179">
                  <c:v>154.3662050087893</c:v>
                </c:pt>
                <c:pt idx="180">
                  <c:v>154.6293034631307</c:v>
                </c:pt>
                <c:pt idx="181">
                  <c:v>154.8874821787927</c:v>
                </c:pt>
                <c:pt idx="182">
                  <c:v>155.1408273586285</c:v>
                </c:pt>
                <c:pt idx="183">
                  <c:v>155.3894239292618</c:v>
                </c:pt>
                <c:pt idx="184">
                  <c:v>155.6333555499951</c:v>
                </c:pt>
                <c:pt idx="185">
                  <c:v>155.872704622153</c:v>
                </c:pt>
                <c:pt idx="186">
                  <c:v>156.1075522988293</c:v>
                </c:pt>
                <c:pt idx="187">
                  <c:v>156.3379784950081</c:v>
                </c:pt>
                <c:pt idx="188">
                  <c:v>156.5640618980319</c:v>
                </c:pt>
                <c:pt idx="189">
                  <c:v>156.785879978388</c:v>
                </c:pt>
                <c:pt idx="190">
                  <c:v>157.0035090007905</c:v>
                </c:pt>
                <c:pt idx="191">
                  <c:v>157.2170240355302</c:v>
                </c:pt>
                <c:pt idx="192">
                  <c:v>157.426498970072</c:v>
                </c:pt>
                <c:pt idx="193">
                  <c:v>157.6320065208753</c:v>
                </c:pt>
                <c:pt idx="194">
                  <c:v>157.8336182454183</c:v>
                </c:pt>
                <c:pt idx="195">
                  <c:v>158.0314045544048</c:v>
                </c:pt>
                <c:pt idx="196">
                  <c:v>158.2254347241343</c:v>
                </c:pt>
                <c:pt idx="197">
                  <c:v>158.4157769090179</c:v>
                </c:pt>
                <c:pt idx="198">
                  <c:v>158.6024981542229</c:v>
                </c:pt>
                <c:pt idx="199">
                  <c:v>158.7856644084281</c:v>
                </c:pt>
                <c:pt idx="200">
                  <c:v>158.9653405366756</c:v>
                </c:pt>
                <c:pt idx="201">
                  <c:v>159.1415903333042</c:v>
                </c:pt>
                <c:pt idx="202">
                  <c:v>159.3144765349492</c:v>
                </c:pt>
                <c:pt idx="203">
                  <c:v>159.4840608335961</c:v>
                </c:pt>
                <c:pt idx="204">
                  <c:v>159.6504038896766</c:v>
                </c:pt>
                <c:pt idx="205">
                  <c:v>159.8135653451913</c:v>
                </c:pt>
                <c:pt idx="206">
                  <c:v>159.9736038368528</c:v>
                </c:pt>
                <c:pt idx="207">
                  <c:v>160.1305770092337</c:v>
                </c:pt>
                <c:pt idx="208">
                  <c:v>160.2845415279132</c:v>
                </c:pt>
                <c:pt idx="209">
                  <c:v>160.4355530926093</c:v>
                </c:pt>
                <c:pt idx="210">
                  <c:v>160.583666450291</c:v>
                </c:pt>
                <c:pt idx="211">
                  <c:v>160.7289354082586</c:v>
                </c:pt>
                <c:pt idx="212">
                  <c:v>160.8714128471875</c:v>
                </c:pt>
                <c:pt idx="213">
                  <c:v>161.0111507341245</c:v>
                </c:pt>
                <c:pt idx="214">
                  <c:v>161.1482001354321</c:v>
                </c:pt>
                <c:pt idx="215">
                  <c:v>161.2826112296733</c:v>
                </c:pt>
                <c:pt idx="216">
                  <c:v>161.4144333204302</c:v>
                </c:pt>
                <c:pt idx="217">
                  <c:v>161.5437148490511</c:v>
                </c:pt>
                <c:pt idx="218">
                  <c:v>161.6705034073209</c:v>
                </c:pt>
                <c:pt idx="219">
                  <c:v>161.7948457500485</c:v>
                </c:pt>
                <c:pt idx="220">
                  <c:v>161.9167878075679</c:v>
                </c:pt>
                <c:pt idx="221">
                  <c:v>162.0363746981476</c:v>
                </c:pt>
                <c:pt idx="222">
                  <c:v>162.1536507403046</c:v>
                </c:pt>
                <c:pt idx="223">
                  <c:v>162.2686594650193</c:v>
                </c:pt>
                <c:pt idx="224">
                  <c:v>162.3814436278471</c:v>
                </c:pt>
                <c:pt idx="225">
                  <c:v>162.4920452209242</c:v>
                </c:pt>
                <c:pt idx="226">
                  <c:v>162.6005054848648</c:v>
                </c:pt>
                <c:pt idx="227">
                  <c:v>162.7068649205455</c:v>
                </c:pt>
                <c:pt idx="228">
                  <c:v>162.8111633007765</c:v>
                </c:pt>
                <c:pt idx="229">
                  <c:v>162.9134396818556</c:v>
                </c:pt>
                <c:pt idx="230">
                  <c:v>163.0137324150037</c:v>
                </c:pt>
                <c:pt idx="231">
                  <c:v>163.1120791576799</c:v>
                </c:pt>
                <c:pt idx="232">
                  <c:v>163.2085168847747</c:v>
                </c:pt>
                <c:pt idx="233">
                  <c:v>163.3030818996792</c:v>
                </c:pt>
                <c:pt idx="234">
                  <c:v>163.3958098452297</c:v>
                </c:pt>
                <c:pt idx="235">
                  <c:v>163.4867357145264</c:v>
                </c:pt>
                <c:pt idx="236">
                  <c:v>163.5758938616243</c:v>
                </c:pt>
                <c:pt idx="237">
                  <c:v>163.6633180120978</c:v>
                </c:pt>
                <c:pt idx="238">
                  <c:v>163.749041273475</c:v>
                </c:pt>
                <c:pt idx="239">
                  <c:v>163.833096145545</c:v>
                </c:pt>
                <c:pt idx="240">
                  <c:v>163.9155145305334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6209688"/>
        <c:axId val="-2116569544"/>
      </c:lineChart>
      <c:catAx>
        <c:axId val="-2116209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6569544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-2116569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 Benefits in Tonnes of Carbon per Hectare</a:t>
                </a:r>
              </a:p>
            </c:rich>
          </c:tx>
          <c:layout>
            <c:manualLayout>
              <c:xMode val="edge"/>
              <c:yMode val="edge"/>
              <c:x val="0.02321083172147"/>
              <c:y val="0.2801184962173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2116209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8227345522488"/>
          <c:y val="0.0690085020047341"/>
          <c:w val="0.310016849059122"/>
          <c:h val="0.891579392299889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1" i="0" baseline="0">
                <a:effectLst/>
              </a:rPr>
              <a:t>Climate Benefits of California Mixed Conifer Forest:</a:t>
            </a:r>
            <a:endParaRPr lang="en-US" sz="1200">
              <a:effectLst/>
            </a:endParaRPr>
          </a:p>
          <a:p>
            <a:pPr>
              <a:defRPr/>
            </a:pPr>
            <a:r>
              <a:rPr lang="en-US" sz="1200" b="1" i="0" baseline="0">
                <a:effectLst/>
              </a:rPr>
              <a:t>Forest&amp;Products v Let-Grow Forest </a:t>
            </a:r>
          </a:p>
          <a:p>
            <a:pPr>
              <a:defRPr/>
            </a:pPr>
            <a:r>
              <a:rPr lang="en-US" sz="1200" b="1" i="0" baseline="0">
                <a:effectLst/>
              </a:rPr>
              <a:t>With Year 40 thin and 75% utilization of logging residues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032126735589349"/>
          <c:y val="0.0287757446689271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 MixCon Even T40H80U75'!$AK$77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val>
            <c:numRef>
              <c:f>' MixCon Even T40H80U75'!$AK$78:$AK$318</c:f>
              <c:numCache>
                <c:formatCode>General</c:formatCode>
                <c:ptCount val="241"/>
                <c:pt idx="40" formatCode="0">
                  <c:v>2.020207719085605</c:v>
                </c:pt>
                <c:pt idx="41" formatCode="0">
                  <c:v>1.951392027839185</c:v>
                </c:pt>
                <c:pt idx="42" formatCode="0">
                  <c:v>1.884920451664193</c:v>
                </c:pt>
                <c:pt idx="43" formatCode="0">
                  <c:v>1.820713141395872</c:v>
                </c:pt>
                <c:pt idx="44" formatCode="0">
                  <c:v>1.758692967825152</c:v>
                </c:pt>
                <c:pt idx="45" formatCode="0">
                  <c:v>1.698785429046968</c:v>
                </c:pt>
                <c:pt idx="46" formatCode="0">
                  <c:v>1.640918560964647</c:v>
                </c:pt>
                <c:pt idx="47" formatCode="0">
                  <c:v>1.585022850842832</c:v>
                </c:pt>
                <c:pt idx="48" formatCode="0">
                  <c:v>1.531031153805118</c:v>
                </c:pt>
                <c:pt idx="49" formatCode="0">
                  <c:v>1.478878612176087</c:v>
                </c:pt>
                <c:pt idx="50" formatCode="0">
                  <c:v>1.42850257757084</c:v>
                </c:pt>
                <c:pt idx="51" formatCode="0">
                  <c:v>1.379842535638456</c:v>
                </c:pt>
                <c:pt idx="52" formatCode="0">
                  <c:v>1.33284003336896</c:v>
                </c:pt>
                <c:pt idx="53" formatCode="0">
                  <c:v>1.287438608876482</c:v>
                </c:pt>
                <c:pt idx="54" formatCode="0">
                  <c:v>1.243583723574259</c:v>
                </c:pt>
                <c:pt idx="55" formatCode="0">
                  <c:v>1.20122269666001</c:v>
                </c:pt>
                <c:pt idx="56" formatCode="0">
                  <c:v>1.160304641832974</c:v>
                </c:pt>
                <c:pt idx="57" formatCode="0">
                  <c:v>1.1207804061666</c:v>
                </c:pt>
                <c:pt idx="58" formatCode="0">
                  <c:v>1.082602511063463</c:v>
                </c:pt>
                <c:pt idx="59" formatCode="0">
                  <c:v>1.045725095221461</c:v>
                </c:pt>
                <c:pt idx="60" formatCode="0">
                  <c:v>1.010103859542803</c:v>
                </c:pt>
                <c:pt idx="61" formatCode="0">
                  <c:v>0.975696013919593</c:v>
                </c:pt>
                <c:pt idx="62" formatCode="0">
                  <c:v>0.942460225832096</c:v>
                </c:pt>
                <c:pt idx="63" formatCode="0">
                  <c:v>0.910356570697936</c:v>
                </c:pt>
                <c:pt idx="64" formatCode="0">
                  <c:v>0.879346483912576</c:v>
                </c:pt>
                <c:pt idx="65" formatCode="0">
                  <c:v>0.849392714523484</c:v>
                </c:pt>
                <c:pt idx="66" formatCode="0">
                  <c:v>0.820459280482324</c:v>
                </c:pt>
                <c:pt idx="67" formatCode="0">
                  <c:v>0.792511425421416</c:v>
                </c:pt>
                <c:pt idx="68" formatCode="0">
                  <c:v>0.765515576902559</c:v>
                </c:pt>
                <c:pt idx="69" formatCode="0">
                  <c:v>0.739439306088043</c:v>
                </c:pt>
                <c:pt idx="70" formatCode="0">
                  <c:v>0.71425128878542</c:v>
                </c:pt>
                <c:pt idx="71" formatCode="0">
                  <c:v>0.689921267819228</c:v>
                </c:pt>
                <c:pt idx="72" formatCode="0">
                  <c:v>0.66642001668448</c:v>
                </c:pt>
                <c:pt idx="73" formatCode="0">
                  <c:v>0.643719304438241</c:v>
                </c:pt>
                <c:pt idx="74" formatCode="0">
                  <c:v>0.62179186178713</c:v>
                </c:pt>
                <c:pt idx="75" formatCode="0">
                  <c:v>0.600611348330005</c:v>
                </c:pt>
                <c:pt idx="76" formatCode="0">
                  <c:v>0.580152320916487</c:v>
                </c:pt>
                <c:pt idx="77" formatCode="0">
                  <c:v>0.5603902030833</c:v>
                </c:pt>
                <c:pt idx="78" formatCode="0">
                  <c:v>0.541301255531732</c:v>
                </c:pt>
                <c:pt idx="79" formatCode="0">
                  <c:v>0.522862547610731</c:v>
                </c:pt>
                <c:pt idx="80" formatCode="0">
                  <c:v>9.047147854859597</c:v>
                </c:pt>
                <c:pt idx="81" formatCode="0">
                  <c:v>8.738968786163371</c:v>
                </c:pt>
                <c:pt idx="82" formatCode="0">
                  <c:v>8.44128742789546</c:v>
                </c:pt>
                <c:pt idx="83" formatCode="0">
                  <c:v>8.15374618950079</c:v>
                </c:pt>
                <c:pt idx="84" formatCode="0">
                  <c:v>7.875999661271344</c:v>
                </c:pt>
                <c:pt idx="85" formatCode="0">
                  <c:v>7.607714199421768</c:v>
                </c:pt>
                <c:pt idx="86" formatCode="0">
                  <c:v>7.348567525298883</c:v>
                </c:pt>
                <c:pt idx="87" formatCode="0">
                  <c:v>7.098248338243541</c:v>
                </c:pt>
                <c:pt idx="88" formatCode="0">
                  <c:v>6.856455941639851</c:v>
                </c:pt>
                <c:pt idx="89" formatCode="0">
                  <c:v>6.622899881702542</c:v>
                </c:pt>
                <c:pt idx="90" formatCode="0">
                  <c:v>6.397299598568549</c:v>
                </c:pt>
                <c:pt idx="91" formatCode="0">
                  <c:v>6.179384089273691</c:v>
                </c:pt>
                <c:pt idx="92" formatCode="0">
                  <c:v>5.96889158220963</c:v>
                </c:pt>
                <c:pt idx="93" formatCode="0">
                  <c:v>5.765569222669983</c:v>
                </c:pt>
                <c:pt idx="94" formatCode="0">
                  <c:v>5.569172769107919</c:v>
                </c:pt>
                <c:pt idx="95" formatCode="0">
                  <c:v>5.37946629974032</c:v>
                </c:pt>
                <c:pt idx="96" formatCode="0">
                  <c:v>5.196221929146087</c:v>
                </c:pt>
                <c:pt idx="97" formatCode="0">
                  <c:v>5.01921953451815</c:v>
                </c:pt>
                <c:pt idx="98" formatCode="0">
                  <c:v>4.848246491240333</c:v>
                </c:pt>
                <c:pt idx="99" formatCode="0">
                  <c:v>4.683097417471451</c:v>
                </c:pt>
                <c:pt idx="100" formatCode="0">
                  <c:v>4.523573927429799</c:v>
                </c:pt>
                <c:pt idx="101" formatCode="0">
                  <c:v>4.369484393081685</c:v>
                </c:pt>
                <c:pt idx="102" formatCode="0">
                  <c:v>4.22064371394773</c:v>
                </c:pt>
                <c:pt idx="103" formatCode="0">
                  <c:v>4.076873094750396</c:v>
                </c:pt>
                <c:pt idx="104" formatCode="0">
                  <c:v>3.937999830635672</c:v>
                </c:pt>
                <c:pt idx="105" formatCode="0">
                  <c:v>3.803857099710884</c:v>
                </c:pt>
                <c:pt idx="106" formatCode="0">
                  <c:v>3.674283762649441</c:v>
                </c:pt>
                <c:pt idx="107" formatCode="0">
                  <c:v>3.549124169121771</c:v>
                </c:pt>
                <c:pt idx="108" formatCode="0">
                  <c:v>3.428227970819925</c:v>
                </c:pt>
                <c:pt idx="109" formatCode="0">
                  <c:v>3.311449940851272</c:v>
                </c:pt>
                <c:pt idx="110" formatCode="0">
                  <c:v>3.198649799284274</c:v>
                </c:pt>
                <c:pt idx="111" formatCode="0">
                  <c:v>3.089692044636846</c:v>
                </c:pt>
                <c:pt idx="112" formatCode="0">
                  <c:v>2.984445791104815</c:v>
                </c:pt>
                <c:pt idx="113" formatCode="0">
                  <c:v>2.882784611334991</c:v>
                </c:pt>
                <c:pt idx="114" formatCode="0">
                  <c:v>2.78458638455396</c:v>
                </c:pt>
                <c:pt idx="115" formatCode="0">
                  <c:v>2.68973314987016</c:v>
                </c:pt>
                <c:pt idx="116" formatCode="0">
                  <c:v>2.598110964573043</c:v>
                </c:pt>
                <c:pt idx="117" formatCode="0">
                  <c:v>2.509609767259075</c:v>
                </c:pt>
                <c:pt idx="118" formatCode="0">
                  <c:v>2.424123245620166</c:v>
                </c:pt>
                <c:pt idx="119" formatCode="0">
                  <c:v>2.341548708735726</c:v>
                </c:pt>
                <c:pt idx="120" formatCode="0">
                  <c:v>2.261786963714899</c:v>
                </c:pt>
                <c:pt idx="121" formatCode="0">
                  <c:v>2.184742196540843</c:v>
                </c:pt>
                <c:pt idx="122" formatCode="0">
                  <c:v>2.110321856973865</c:v>
                </c:pt>
                <c:pt idx="123" formatCode="0">
                  <c:v>2.038436547375198</c:v>
                </c:pt>
                <c:pt idx="124" formatCode="0">
                  <c:v>1.968999915317836</c:v>
                </c:pt>
                <c:pt idx="125" formatCode="0">
                  <c:v>1.901928549855442</c:v>
                </c:pt>
                <c:pt idx="126" formatCode="0">
                  <c:v>1.837141881324721</c:v>
                </c:pt>
                <c:pt idx="127" formatCode="0">
                  <c:v>1.774562084560885</c:v>
                </c:pt>
                <c:pt idx="128" formatCode="0">
                  <c:v>1.714113985409963</c:v>
                </c:pt>
                <c:pt idx="129" formatCode="0">
                  <c:v>1.655724970425636</c:v>
                </c:pt>
                <c:pt idx="130" formatCode="0">
                  <c:v>1.599324899642137</c:v>
                </c:pt>
                <c:pt idx="131" formatCode="0">
                  <c:v>1.544846022318423</c:v>
                </c:pt>
                <c:pt idx="132" formatCode="0">
                  <c:v>1.492222895552407</c:v>
                </c:pt>
                <c:pt idx="133" formatCode="0">
                  <c:v>1.441392305667496</c:v>
                </c:pt>
                <c:pt idx="134" formatCode="0">
                  <c:v>1.39229319227698</c:v>
                </c:pt>
                <c:pt idx="135" formatCode="0">
                  <c:v>1.34486657493508</c:v>
                </c:pt>
                <c:pt idx="136" formatCode="0">
                  <c:v>1.299055482286522</c:v>
                </c:pt>
                <c:pt idx="137" formatCode="0">
                  <c:v>1.254804883629538</c:v>
                </c:pt>
                <c:pt idx="138" formatCode="0">
                  <c:v>1.212061622810084</c:v>
                </c:pt>
                <c:pt idx="139" formatCode="0">
                  <c:v>1.170774354367862</c:v>
                </c:pt>
                <c:pt idx="140" formatCode="0">
                  <c:v>1.13089348185745</c:v>
                </c:pt>
                <c:pt idx="141" formatCode="0">
                  <c:v>1.092371098270422</c:v>
                </c:pt>
                <c:pt idx="142" formatCode="0">
                  <c:v>1.055160928486933</c:v>
                </c:pt>
                <c:pt idx="143" formatCode="0">
                  <c:v>1.019218273687599</c:v>
                </c:pt>
                <c:pt idx="144" formatCode="0">
                  <c:v>0.984499957658918</c:v>
                </c:pt>
                <c:pt idx="145" formatCode="0">
                  <c:v>0.950964274927721</c:v>
                </c:pt>
                <c:pt idx="146" formatCode="0">
                  <c:v>0.918570940662361</c:v>
                </c:pt>
                <c:pt idx="147" formatCode="0">
                  <c:v>0.887281042280443</c:v>
                </c:pt>
                <c:pt idx="148" formatCode="0">
                  <c:v>0.857056992704981</c:v>
                </c:pt>
                <c:pt idx="149" formatCode="0">
                  <c:v>0.827862485212818</c:v>
                </c:pt>
                <c:pt idx="150" formatCode="0">
                  <c:v>0.799662449821069</c:v>
                </c:pt>
                <c:pt idx="151" formatCode="0">
                  <c:v>0.772423011159211</c:v>
                </c:pt>
                <c:pt idx="152" formatCode="0">
                  <c:v>0.746111447776204</c:v>
                </c:pt>
                <c:pt idx="153" formatCode="0">
                  <c:v>0.720696152833748</c:v>
                </c:pt>
                <c:pt idx="154" formatCode="0">
                  <c:v>0.69614659613849</c:v>
                </c:pt>
                <c:pt idx="155" formatCode="0">
                  <c:v>0.67243328746754</c:v>
                </c:pt>
                <c:pt idx="156" formatCode="0">
                  <c:v>0.649527741143261</c:v>
                </c:pt>
                <c:pt idx="157" formatCode="0">
                  <c:v>0.627402441814769</c:v>
                </c:pt>
                <c:pt idx="158" formatCode="0">
                  <c:v>0.606030811405042</c:v>
                </c:pt>
                <c:pt idx="159" formatCode="0">
                  <c:v>0.585387177183931</c:v>
                </c:pt>
                <c:pt idx="160" formatCode="0">
                  <c:v>0.565446740928725</c:v>
                </c:pt>
                <c:pt idx="161" formatCode="0">
                  <c:v>10.30759594245539</c:v>
                </c:pt>
                <c:pt idx="162" formatCode="0">
                  <c:v>9.956481384695988</c:v>
                </c:pt>
                <c:pt idx="163" formatCode="0">
                  <c:v>9.617327077741805</c:v>
                </c:pt>
                <c:pt idx="164" formatCode="0">
                  <c:v>9.289725611543433</c:v>
                </c:pt>
                <c:pt idx="165" formatCode="0">
                  <c:v>8.97328345393338</c:v>
                </c:pt>
                <c:pt idx="166" formatCode="0">
                  <c:v>8.667620477894468</c:v>
                </c:pt>
                <c:pt idx="167" formatCode="0">
                  <c:v>8.372369504931196</c:v>
                </c:pt>
                <c:pt idx="168" formatCode="0">
                  <c:v>8.087175863995567</c:v>
                </c:pt>
                <c:pt idx="169" formatCode="0">
                  <c:v>7.811696965437495</c:v>
                </c:pt>
                <c:pt idx="170" formatCode="0">
                  <c:v>7.545601889468049</c:v>
                </c:pt>
                <c:pt idx="171" formatCode="0">
                  <c:v>7.288570988641145</c:v>
                </c:pt>
                <c:pt idx="172" formatCode="0">
                  <c:v>7.04029550387616</c:v>
                </c:pt>
                <c:pt idx="173" formatCode="0">
                  <c:v>6.800477193560233</c:v>
                </c:pt>
                <c:pt idx="174" formatCode="0">
                  <c:v>6.56882797528471</c:v>
                </c:pt>
                <c:pt idx="175" formatCode="0">
                  <c:v>6.345069579785338</c:v>
                </c:pt>
                <c:pt idx="176" formatCode="0">
                  <c:v>6.128933216670561</c:v>
                </c:pt>
                <c:pt idx="177" formatCode="0">
                  <c:v>5.920159251536308</c:v>
                </c:pt>
                <c:pt idx="178" formatCode="0">
                  <c:v>5.718496894079442</c:v>
                </c:pt>
                <c:pt idx="179" formatCode="0">
                  <c:v>5.523703896835228</c:v>
                </c:pt>
                <c:pt idx="180" formatCode="0">
                  <c:v>5.335546264176884</c:v>
                </c:pt>
                <c:pt idx="181" formatCode="0">
                  <c:v>5.153797971227693</c:v>
                </c:pt>
                <c:pt idx="182" formatCode="0">
                  <c:v>4.978240692347994</c:v>
                </c:pt>
                <c:pt idx="183" formatCode="0">
                  <c:v>4.808663538870903</c:v>
                </c:pt>
                <c:pt idx="184" formatCode="0">
                  <c:v>4.644862805771718</c:v>
                </c:pt>
                <c:pt idx="185" formatCode="0">
                  <c:v>4.48664172696669</c:v>
                </c:pt>
                <c:pt idx="186" formatCode="0">
                  <c:v>4.333810238947234</c:v>
                </c:pt>
                <c:pt idx="187" formatCode="0">
                  <c:v>4.186184752465598</c:v>
                </c:pt>
                <c:pt idx="188" formatCode="0">
                  <c:v>4.043587931997783</c:v>
                </c:pt>
                <c:pt idx="189" formatCode="0">
                  <c:v>3.905848482718747</c:v>
                </c:pt>
                <c:pt idx="190" formatCode="0">
                  <c:v>3.772800944734026</c:v>
                </c:pt>
                <c:pt idx="191" formatCode="0">
                  <c:v>3.644285494320573</c:v>
                </c:pt>
                <c:pt idx="192" formatCode="0">
                  <c:v>3.52014775193808</c:v>
                </c:pt>
                <c:pt idx="193" formatCode="0">
                  <c:v>3.400238596780118</c:v>
                </c:pt>
                <c:pt idx="194" formatCode="0">
                  <c:v>3.284413987642354</c:v>
                </c:pt>
                <c:pt idx="195" formatCode="0">
                  <c:v>3.172534789892669</c:v>
                </c:pt>
                <c:pt idx="196" formatCode="0">
                  <c:v>3.064466608335282</c:v>
                </c:pt>
                <c:pt idx="197" formatCode="0">
                  <c:v>2.960079625768154</c:v>
                </c:pt>
                <c:pt idx="198" formatCode="0">
                  <c:v>2.859248447039721</c:v>
                </c:pt>
                <c:pt idx="199" formatCode="0">
                  <c:v>2.761851948417613</c:v>
                </c:pt>
                <c:pt idx="200" formatCode="0">
                  <c:v>2.667773132088442</c:v>
                </c:pt>
                <c:pt idx="201" formatCode="0">
                  <c:v>2.576898985613846</c:v>
                </c:pt>
                <c:pt idx="202" formatCode="0">
                  <c:v>2.489120346173998</c:v>
                </c:pt>
                <c:pt idx="203" formatCode="0">
                  <c:v>2.404331769435451</c:v>
                </c:pt>
                <c:pt idx="204" formatCode="0">
                  <c:v>2.322431402885859</c:v>
                </c:pt>
                <c:pt idx="205" formatCode="0">
                  <c:v>2.243320863483345</c:v>
                </c:pt>
                <c:pt idx="206" formatCode="0">
                  <c:v>2.166905119473617</c:v>
                </c:pt>
                <c:pt idx="207" formatCode="0">
                  <c:v>2.0930923762328</c:v>
                </c:pt>
                <c:pt idx="208" formatCode="0">
                  <c:v>2.021793965998892</c:v>
                </c:pt>
                <c:pt idx="209" formatCode="0">
                  <c:v>1.952924241359373</c:v>
                </c:pt>
                <c:pt idx="210" formatCode="0">
                  <c:v>1.886400472367012</c:v>
                </c:pt>
                <c:pt idx="211" formatCode="0">
                  <c:v>1.822142747160286</c:v>
                </c:pt>
                <c:pt idx="212" formatCode="0">
                  <c:v>1.760073875969041</c:v>
                </c:pt>
                <c:pt idx="213" formatCode="0">
                  <c:v>1.700119298390058</c:v>
                </c:pt>
                <c:pt idx="214" formatCode="0">
                  <c:v>1.642206993821178</c:v>
                </c:pt>
                <c:pt idx="215" formatCode="0">
                  <c:v>1.586267394946334</c:v>
                </c:pt>
                <c:pt idx="216" formatCode="0">
                  <c:v>1.53223330416764</c:v>
                </c:pt>
                <c:pt idx="217" formatCode="0">
                  <c:v>1.480039812884077</c:v>
                </c:pt>
                <c:pt idx="218" formatCode="0">
                  <c:v>1.429624223519861</c:v>
                </c:pt>
                <c:pt idx="219" formatCode="0">
                  <c:v>1.380925974208807</c:v>
                </c:pt>
                <c:pt idx="220" formatCode="0">
                  <c:v>1.33388656604422</c:v>
                </c:pt>
                <c:pt idx="221" formatCode="0">
                  <c:v>1.288449492806923</c:v>
                </c:pt>
                <c:pt idx="222" formatCode="0">
                  <c:v>1.244560173087</c:v>
                </c:pt>
                <c:pt idx="223" formatCode="0">
                  <c:v>1.202165884717726</c:v>
                </c:pt>
                <c:pt idx="224" formatCode="0">
                  <c:v>1.161215701442929</c:v>
                </c:pt>
                <c:pt idx="225" formatCode="0">
                  <c:v>1.121660431741673</c:v>
                </c:pt>
                <c:pt idx="226" formatCode="0">
                  <c:v>1.083452559736809</c:v>
                </c:pt>
                <c:pt idx="227" formatCode="0">
                  <c:v>1.0465461881164</c:v>
                </c:pt>
                <c:pt idx="228" formatCode="0">
                  <c:v>1.010896982999446</c:v>
                </c:pt>
                <c:pt idx="229" formatCode="0">
                  <c:v>0.976462120679687</c:v>
                </c:pt>
                <c:pt idx="230" formatCode="0">
                  <c:v>0.943200236183506</c:v>
                </c:pt>
                <c:pt idx="231" formatCode="0">
                  <c:v>0.911071373580143</c:v>
                </c:pt>
                <c:pt idx="232" formatCode="0">
                  <c:v>0.88003693798452</c:v>
                </c:pt>
                <c:pt idx="233" formatCode="0">
                  <c:v>0.850059649195029</c:v>
                </c:pt>
                <c:pt idx="234" formatCode="0">
                  <c:v>0.821103496910589</c:v>
                </c:pt>
                <c:pt idx="235" formatCode="0">
                  <c:v>0.793133697473167</c:v>
                </c:pt>
                <c:pt idx="236" formatCode="0">
                  <c:v>0.76611665208382</c:v>
                </c:pt>
                <c:pt idx="237" formatCode="0">
                  <c:v>0.740019906442038</c:v>
                </c:pt>
                <c:pt idx="238" formatCode="0">
                  <c:v>0.71481211175993</c:v>
                </c:pt>
                <c:pt idx="239" formatCode="0">
                  <c:v>0.690462987104403</c:v>
                </c:pt>
                <c:pt idx="240" formatCode="0">
                  <c:v>0.66694328302211</c:v>
                </c:pt>
              </c:numCache>
            </c:numRef>
          </c:val>
        </c:ser>
        <c:ser>
          <c:idx val="2"/>
          <c:order val="2"/>
          <c:tx>
            <c:strRef>
              <c:f>' MixCon Even T40H80U75'!$AL$77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val>
            <c:numRef>
              <c:f>' MixCon Even T40H80U75'!$AL$78:$AL$318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0.0</c:v>
                </c:pt>
                <c:pt idx="81" formatCode="0">
                  <c:v>0.00668801632245595</c:v>
                </c:pt>
                <c:pt idx="82" formatCode="0">
                  <c:v>0.0504185326109012</c:v>
                </c:pt>
                <c:pt idx="83" formatCode="0">
                  <c:v>0.160413357645756</c:v>
                </c:pt>
                <c:pt idx="84" formatCode="0">
                  <c:v>0.35859718815809</c:v>
                </c:pt>
                <c:pt idx="85" formatCode="0">
                  <c:v>0.660785573896258</c:v>
                </c:pt>
                <c:pt idx="86" formatCode="0">
                  <c:v>1.077708464550237</c:v>
                </c:pt>
                <c:pt idx="87" formatCode="0">
                  <c:v>1.615890329645917</c:v>
                </c:pt>
                <c:pt idx="88" formatCode="0">
                  <c:v>2.278405281062679</c:v>
                </c:pt>
                <c:pt idx="89" formatCode="0">
                  <c:v>3.06552337058766</c:v>
                </c:pt>
                <c:pt idx="90" formatCode="0">
                  <c:v>3.975262246372517</c:v>
                </c:pt>
                <c:pt idx="91" formatCode="0">
                  <c:v>5.003856600881361</c:v>
                </c:pt>
                <c:pt idx="92" formatCode="0">
                  <c:v>6.146156301122398</c:v>
                </c:pt>
                <c:pt idx="93" formatCode="0">
                  <c:v>7.395962735068286</c:v>
                </c:pt>
                <c:pt idx="94" formatCode="0">
                  <c:v>8.746311714465289</c:v>
                </c:pt>
                <c:pt idx="95" formatCode="0">
                  <c:v>10.18971022450242</c:v>
                </c:pt>
                <c:pt idx="96" formatCode="0">
                  <c:v>11.71833338808361</c:v>
                </c:pt>
                <c:pt idx="97" formatCode="0">
                  <c:v>13.32418720171437</c:v>
                </c:pt>
                <c:pt idx="98" formatCode="0">
                  <c:v>14.99924188802333</c:v>
                </c:pt>
                <c:pt idx="99" formatCode="0">
                  <c:v>16.7355400849764</c:v>
                </c:pt>
                <c:pt idx="100" formatCode="0">
                  <c:v>18.5252835435601</c:v>
                </c:pt>
                <c:pt idx="101" formatCode="0">
                  <c:v>20.360901524977</c:v>
                </c:pt>
                <c:pt idx="102" formatCode="0">
                  <c:v>22.2351036671383</c:v>
                </c:pt>
                <c:pt idx="103" formatCode="0">
                  <c:v>24.14091972133881</c:v>
                </c:pt>
                <c:pt idx="104" formatCode="0">
                  <c:v>26.07172823716755</c:v>
                </c:pt>
                <c:pt idx="105" formatCode="0">
                  <c:v>28.02127599139918</c:v>
                </c:pt>
                <c:pt idx="106" formatCode="0">
                  <c:v>29.98368970993027</c:v>
                </c:pt>
                <c:pt idx="107" formatCode="0">
                  <c:v>31.9534814164577</c:v>
                </c:pt>
                <c:pt idx="108" formatCode="0">
                  <c:v>33.92554855373363</c:v>
                </c:pt>
                <c:pt idx="109" formatCode="0">
                  <c:v>35.89516985952151</c:v>
                </c:pt>
                <c:pt idx="110" formatCode="0">
                  <c:v>37.85799783686052</c:v>
                </c:pt>
                <c:pt idx="111" formatCode="0">
                  <c:v>39.81004853431885</c:v>
                </c:pt>
                <c:pt idx="112" formatCode="0">
                  <c:v>41.74768924428267</c:v>
                </c:pt>
                <c:pt idx="113" formatCode="0">
                  <c:v>43.6676246339707</c:v>
                </c:pt>
                <c:pt idx="114" formatCode="0">
                  <c:v>45.56688174300185</c:v>
                </c:pt>
                <c:pt idx="115" formatCode="0">
                  <c:v>47.44279421141578</c:v>
                </c:pt>
                <c:pt idx="116" formatCode="0">
                  <c:v>49.2929860416739</c:v>
                </c:pt>
                <c:pt idx="117" formatCode="0">
                  <c:v>51.11535514614482</c:v>
                </c:pt>
                <c:pt idx="118" formatCode="0">
                  <c:v>52.90805688683921</c:v>
                </c:pt>
                <c:pt idx="119" formatCode="0">
                  <c:v>54.6694877757727</c:v>
                </c:pt>
                <c:pt idx="120" formatCode="0">
                  <c:v>56.39826947148036</c:v>
                </c:pt>
                <c:pt idx="121" formatCode="0">
                  <c:v>58.09323317916701</c:v>
                </c:pt>
                <c:pt idx="122" formatCode="0">
                  <c:v>59.75340453812044</c:v>
                </c:pt>
                <c:pt idx="123" formatCode="0">
                  <c:v>61.37798905978897</c:v>
                </c:pt>
                <c:pt idx="124" formatCode="0">
                  <c:v>62.9663581628481</c:v>
                </c:pt>
                <c:pt idx="125" formatCode="0">
                  <c:v>64.51803583722602</c:v>
                </c:pt>
                <c:pt idx="126" formatCode="0">
                  <c:v>66.03268595705948</c:v>
                </c:pt>
                <c:pt idx="127" formatCode="0">
                  <c:v>67.51010025258091</c:v>
                </c:pt>
                <c:pt idx="128" formatCode="0">
                  <c:v>68.95018694271826</c:v>
                </c:pt>
                <c:pt idx="129" formatCode="0">
                  <c:v>70.35296002346652</c:v>
                </c:pt>
                <c:pt idx="130" formatCode="0">
                  <c:v>71.7185292016597</c:v>
                </c:pt>
                <c:pt idx="131" formatCode="0">
                  <c:v>73.0470904594357</c:v>
                </c:pt>
                <c:pt idx="132" formatCode="0">
                  <c:v>74.33891723129203</c:v>
                </c:pt>
                <c:pt idx="133" formatCode="0">
                  <c:v>75.59435217302817</c:v>
                </c:pt>
                <c:pt idx="134" formatCode="0">
                  <c:v>76.81379949994392</c:v>
                </c:pt>
                <c:pt idx="135" formatCode="0">
                  <c:v>77.99771787030171</c:v>
                </c:pt>
                <c:pt idx="136" formatCode="0">
                  <c:v>79.146613789177</c:v>
                </c:pt>
                <c:pt idx="137" formatCode="0">
                  <c:v>80.26103550733013</c:v>
                </c:pt>
                <c:pt idx="138" formatCode="0">
                  <c:v>81.34156738957395</c:v>
                </c:pt>
                <c:pt idx="139" formatCode="0">
                  <c:v>82.38882472721718</c:v>
                </c:pt>
                <c:pt idx="140" formatCode="0">
                  <c:v>83.40344896949128</c:v>
                </c:pt>
                <c:pt idx="141" formatCode="0">
                  <c:v>84.38610334936986</c:v>
                </c:pt>
                <c:pt idx="142" formatCode="0">
                  <c:v>85.33746887983068</c:v>
                </c:pt>
                <c:pt idx="143" formatCode="0">
                  <c:v>86.25824069735708</c:v>
                </c:pt>
                <c:pt idx="144" formatCode="0">
                  <c:v>87.14912473030602</c:v>
                </c:pt>
                <c:pt idx="145" formatCode="0">
                  <c:v>88.01083467065497</c:v>
                </c:pt>
                <c:pt idx="146" formatCode="0">
                  <c:v>88.84408922856835</c:v>
                </c:pt>
                <c:pt idx="147" formatCode="0">
                  <c:v>89.64960965017287</c:v>
                </c:pt>
                <c:pt idx="148" formatCode="0">
                  <c:v>90.42811747989307</c:v>
                </c:pt>
                <c:pt idx="149" formatCode="0">
                  <c:v>91.18033254965907</c:v>
                </c:pt>
                <c:pt idx="150" formatCode="0">
                  <c:v>91.90697117825042</c:v>
                </c:pt>
                <c:pt idx="151" formatCode="0">
                  <c:v>92.60874456497581</c:v>
                </c:pt>
                <c:pt idx="152" formatCode="0">
                  <c:v>93.28635736280309</c:v>
                </c:pt>
                <c:pt idx="153" formatCode="0">
                  <c:v>93.94050641694188</c:v>
                </c:pt>
                <c:pt idx="154" formatCode="0">
                  <c:v>94.57187965573975</c:v>
                </c:pt>
                <c:pt idx="155" formatCode="0">
                  <c:v>95.18115512158023</c:v>
                </c:pt>
                <c:pt idx="156" formatCode="0">
                  <c:v>95.76900013026282</c:v>
                </c:pt>
                <c:pt idx="157" formatCode="0">
                  <c:v>96.33607054810381</c:v>
                </c:pt>
                <c:pt idx="158" formatCode="0">
                  <c:v>96.88301017671954</c:v>
                </c:pt>
                <c:pt idx="159" formatCode="0">
                  <c:v>97.41045023613991</c:v>
                </c:pt>
                <c:pt idx="160" formatCode="0">
                  <c:v>97.91900893755162</c:v>
                </c:pt>
                <c:pt idx="161" formatCode="0">
                  <c:v>0.0</c:v>
                </c:pt>
                <c:pt idx="162" formatCode="0">
                  <c:v>0.00668801632245595</c:v>
                </c:pt>
                <c:pt idx="163" formatCode="0">
                  <c:v>0.0504185326109012</c:v>
                </c:pt>
                <c:pt idx="164" formatCode="0">
                  <c:v>0.160413357645756</c:v>
                </c:pt>
                <c:pt idx="165" formatCode="0">
                  <c:v>0.35859718815809</c:v>
                </c:pt>
                <c:pt idx="166" formatCode="0">
                  <c:v>0.660785573896258</c:v>
                </c:pt>
                <c:pt idx="167" formatCode="0">
                  <c:v>1.077708464550237</c:v>
                </c:pt>
                <c:pt idx="168" formatCode="0">
                  <c:v>1.615890329645917</c:v>
                </c:pt>
                <c:pt idx="169" formatCode="0">
                  <c:v>2.278405281062679</c:v>
                </c:pt>
                <c:pt idx="170" formatCode="0">
                  <c:v>3.06552337058766</c:v>
                </c:pt>
                <c:pt idx="171" formatCode="0">
                  <c:v>3.975262246372517</c:v>
                </c:pt>
                <c:pt idx="172" formatCode="0">
                  <c:v>5.003856600881361</c:v>
                </c:pt>
                <c:pt idx="173" formatCode="0">
                  <c:v>6.146156301122398</c:v>
                </c:pt>
                <c:pt idx="174" formatCode="0">
                  <c:v>7.395962735068286</c:v>
                </c:pt>
                <c:pt idx="175" formatCode="0">
                  <c:v>8.746311714465289</c:v>
                </c:pt>
                <c:pt idx="176" formatCode="0">
                  <c:v>10.18971022450242</c:v>
                </c:pt>
                <c:pt idx="177" formatCode="0">
                  <c:v>11.71833338808361</c:v>
                </c:pt>
                <c:pt idx="178" formatCode="0">
                  <c:v>13.32418720171437</c:v>
                </c:pt>
                <c:pt idx="179" formatCode="0">
                  <c:v>14.99924188802333</c:v>
                </c:pt>
                <c:pt idx="180" formatCode="0">
                  <c:v>16.7355400849764</c:v>
                </c:pt>
                <c:pt idx="181" formatCode="0">
                  <c:v>18.5252835435601</c:v>
                </c:pt>
                <c:pt idx="182" formatCode="0">
                  <c:v>20.360901524977</c:v>
                </c:pt>
                <c:pt idx="183" formatCode="0">
                  <c:v>22.2351036671383</c:v>
                </c:pt>
                <c:pt idx="184" formatCode="0">
                  <c:v>24.14091972133881</c:v>
                </c:pt>
                <c:pt idx="185" formatCode="0">
                  <c:v>26.07172823716755</c:v>
                </c:pt>
                <c:pt idx="186" formatCode="0">
                  <c:v>28.02127599139918</c:v>
                </c:pt>
                <c:pt idx="187" formatCode="0">
                  <c:v>29.98368970993027</c:v>
                </c:pt>
                <c:pt idx="188" formatCode="0">
                  <c:v>31.9534814164577</c:v>
                </c:pt>
                <c:pt idx="189" formatCode="0">
                  <c:v>33.92554855373363</c:v>
                </c:pt>
                <c:pt idx="190" formatCode="0">
                  <c:v>35.89516985952151</c:v>
                </c:pt>
                <c:pt idx="191" formatCode="0">
                  <c:v>37.85799783686052</c:v>
                </c:pt>
                <c:pt idx="192" formatCode="0">
                  <c:v>39.81004853431885</c:v>
                </c:pt>
                <c:pt idx="193" formatCode="0">
                  <c:v>41.74768924428267</c:v>
                </c:pt>
                <c:pt idx="194" formatCode="0">
                  <c:v>43.6676246339707</c:v>
                </c:pt>
                <c:pt idx="195" formatCode="0">
                  <c:v>45.56688174300185</c:v>
                </c:pt>
                <c:pt idx="196" formatCode="0">
                  <c:v>47.44279421141578</c:v>
                </c:pt>
                <c:pt idx="197" formatCode="0">
                  <c:v>49.2929860416739</c:v>
                </c:pt>
                <c:pt idx="198" formatCode="0">
                  <c:v>51.11535514614482</c:v>
                </c:pt>
                <c:pt idx="199" formatCode="0">
                  <c:v>52.90805688683921</c:v>
                </c:pt>
                <c:pt idx="200" formatCode="0">
                  <c:v>54.6694877757727</c:v>
                </c:pt>
                <c:pt idx="201" formatCode="0">
                  <c:v>56.39826947148036</c:v>
                </c:pt>
                <c:pt idx="202" formatCode="0">
                  <c:v>58.09323317916701</c:v>
                </c:pt>
                <c:pt idx="203" formatCode="0">
                  <c:v>59.75340453812044</c:v>
                </c:pt>
                <c:pt idx="204" formatCode="0">
                  <c:v>61.37798905978897</c:v>
                </c:pt>
                <c:pt idx="205" formatCode="0">
                  <c:v>62.9663581628481</c:v>
                </c:pt>
                <c:pt idx="206" formatCode="0">
                  <c:v>64.51803583722602</c:v>
                </c:pt>
                <c:pt idx="207" formatCode="0">
                  <c:v>66.03268595705948</c:v>
                </c:pt>
                <c:pt idx="208" formatCode="0">
                  <c:v>67.51010025258091</c:v>
                </c:pt>
                <c:pt idx="209" formatCode="0">
                  <c:v>68.95018694271826</c:v>
                </c:pt>
                <c:pt idx="210" formatCode="0">
                  <c:v>70.35296002346652</c:v>
                </c:pt>
                <c:pt idx="211" formatCode="0">
                  <c:v>71.7185292016597</c:v>
                </c:pt>
                <c:pt idx="212" formatCode="0">
                  <c:v>73.0470904594357</c:v>
                </c:pt>
                <c:pt idx="213" formatCode="0">
                  <c:v>74.33891723129203</c:v>
                </c:pt>
                <c:pt idx="214" formatCode="0">
                  <c:v>75.59435217302817</c:v>
                </c:pt>
                <c:pt idx="215" formatCode="0">
                  <c:v>76.81379949994392</c:v>
                </c:pt>
                <c:pt idx="216" formatCode="0">
                  <c:v>77.99771787030171</c:v>
                </c:pt>
                <c:pt idx="217" formatCode="0">
                  <c:v>79.146613789177</c:v>
                </c:pt>
                <c:pt idx="218" formatCode="0">
                  <c:v>80.26103550733013</c:v>
                </c:pt>
                <c:pt idx="219" formatCode="0">
                  <c:v>81.34156738957395</c:v>
                </c:pt>
                <c:pt idx="220" formatCode="0">
                  <c:v>82.38882472721718</c:v>
                </c:pt>
                <c:pt idx="221" formatCode="0">
                  <c:v>83.40344896949128</c:v>
                </c:pt>
                <c:pt idx="222" formatCode="0">
                  <c:v>84.38610334936986</c:v>
                </c:pt>
                <c:pt idx="223" formatCode="0">
                  <c:v>85.33746887983068</c:v>
                </c:pt>
                <c:pt idx="224" formatCode="0">
                  <c:v>86.25824069735708</c:v>
                </c:pt>
                <c:pt idx="225" formatCode="0">
                  <c:v>87.14912473030602</c:v>
                </c:pt>
                <c:pt idx="226" formatCode="0">
                  <c:v>88.01083467065497</c:v>
                </c:pt>
                <c:pt idx="227" formatCode="0">
                  <c:v>88.84408922856835</c:v>
                </c:pt>
                <c:pt idx="228" formatCode="0">
                  <c:v>89.64960965017287</c:v>
                </c:pt>
                <c:pt idx="229" formatCode="0">
                  <c:v>90.42811747989307</c:v>
                </c:pt>
                <c:pt idx="230" formatCode="0">
                  <c:v>91.18033254965907</c:v>
                </c:pt>
                <c:pt idx="231" formatCode="0">
                  <c:v>91.90697117825042</c:v>
                </c:pt>
                <c:pt idx="232" formatCode="0">
                  <c:v>92.60874456497581</c:v>
                </c:pt>
                <c:pt idx="233" formatCode="0">
                  <c:v>93.28635736280309</c:v>
                </c:pt>
                <c:pt idx="234" formatCode="0">
                  <c:v>93.94050641694188</c:v>
                </c:pt>
                <c:pt idx="235" formatCode="0">
                  <c:v>94.57187965573975</c:v>
                </c:pt>
                <c:pt idx="236" formatCode="0">
                  <c:v>95.18115512158023</c:v>
                </c:pt>
                <c:pt idx="237" formatCode="0">
                  <c:v>95.76900013026282</c:v>
                </c:pt>
                <c:pt idx="238" formatCode="0">
                  <c:v>96.33607054810381</c:v>
                </c:pt>
                <c:pt idx="239" formatCode="0">
                  <c:v>96.88301017671954</c:v>
                </c:pt>
                <c:pt idx="240" formatCode="0">
                  <c:v>97.41045023613991</c:v>
                </c:pt>
              </c:numCache>
            </c:numRef>
          </c:val>
        </c:ser>
        <c:ser>
          <c:idx val="3"/>
          <c:order val="3"/>
          <c:tx>
            <c:strRef>
              <c:f>' MixCon Even T40H80U75'!$AM$77</c:f>
              <c:strCache>
                <c:ptCount val="1"/>
                <c:pt idx="0">
                  <c:v>Net energy from logging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75000"/>
                </a:schemeClr>
              </a:bgClr>
            </a:pattFill>
          </c:spPr>
          <c:invertIfNegative val="0"/>
          <c:val>
            <c:numRef>
              <c:f>' MixCon Even T40H80U75'!$AM$78:$AM$318</c:f>
              <c:numCache>
                <c:formatCode>General</c:formatCode>
                <c:ptCount val="241"/>
                <c:pt idx="40" formatCode="0">
                  <c:v>6.060623157256816</c:v>
                </c:pt>
                <c:pt idx="41" formatCode="0">
                  <c:v>6.060623157256816</c:v>
                </c:pt>
                <c:pt idx="42" formatCode="0">
                  <c:v>6.060623157256816</c:v>
                </c:pt>
                <c:pt idx="43" formatCode="0">
                  <c:v>6.060623157256816</c:v>
                </c:pt>
                <c:pt idx="44" formatCode="0">
                  <c:v>6.060623157256816</c:v>
                </c:pt>
                <c:pt idx="45" formatCode="0">
                  <c:v>6.060623157256816</c:v>
                </c:pt>
                <c:pt idx="46" formatCode="0">
                  <c:v>6.060623157256816</c:v>
                </c:pt>
                <c:pt idx="47" formatCode="0">
                  <c:v>6.060623157256816</c:v>
                </c:pt>
                <c:pt idx="48" formatCode="0">
                  <c:v>6.060623157256816</c:v>
                </c:pt>
                <c:pt idx="49" formatCode="0">
                  <c:v>6.060623157256816</c:v>
                </c:pt>
                <c:pt idx="50" formatCode="0">
                  <c:v>6.060623157256816</c:v>
                </c:pt>
                <c:pt idx="51" formatCode="0">
                  <c:v>6.060623157256816</c:v>
                </c:pt>
                <c:pt idx="52" formatCode="0">
                  <c:v>6.060623157256816</c:v>
                </c:pt>
                <c:pt idx="53" formatCode="0">
                  <c:v>6.060623157256816</c:v>
                </c:pt>
                <c:pt idx="54" formatCode="0">
                  <c:v>6.060623157256816</c:v>
                </c:pt>
                <c:pt idx="55" formatCode="0">
                  <c:v>6.060623157256816</c:v>
                </c:pt>
                <c:pt idx="56" formatCode="0">
                  <c:v>6.060623157256816</c:v>
                </c:pt>
                <c:pt idx="57" formatCode="0">
                  <c:v>6.060623157256816</c:v>
                </c:pt>
                <c:pt idx="58" formatCode="0">
                  <c:v>6.060623157256816</c:v>
                </c:pt>
                <c:pt idx="59" formatCode="0">
                  <c:v>6.060623157256816</c:v>
                </c:pt>
                <c:pt idx="60" formatCode="0">
                  <c:v>6.060623157256816</c:v>
                </c:pt>
                <c:pt idx="61" formatCode="0">
                  <c:v>6.060623157256816</c:v>
                </c:pt>
                <c:pt idx="62" formatCode="0">
                  <c:v>6.060623157256816</c:v>
                </c:pt>
                <c:pt idx="63" formatCode="0">
                  <c:v>6.060623157256816</c:v>
                </c:pt>
                <c:pt idx="64" formatCode="0">
                  <c:v>6.060623157256816</c:v>
                </c:pt>
                <c:pt idx="65" formatCode="0">
                  <c:v>6.060623157256816</c:v>
                </c:pt>
                <c:pt idx="66" formatCode="0">
                  <c:v>6.060623157256816</c:v>
                </c:pt>
                <c:pt idx="67" formatCode="0">
                  <c:v>6.060623157256816</c:v>
                </c:pt>
                <c:pt idx="68" formatCode="0">
                  <c:v>6.060623157256816</c:v>
                </c:pt>
                <c:pt idx="69" formatCode="0">
                  <c:v>6.060623157256816</c:v>
                </c:pt>
                <c:pt idx="70" formatCode="0">
                  <c:v>6.060623157256816</c:v>
                </c:pt>
                <c:pt idx="71" formatCode="0">
                  <c:v>6.060623157256816</c:v>
                </c:pt>
                <c:pt idx="72" formatCode="0">
                  <c:v>6.060623157256816</c:v>
                </c:pt>
                <c:pt idx="73" formatCode="0">
                  <c:v>6.060623157256816</c:v>
                </c:pt>
                <c:pt idx="74" formatCode="0">
                  <c:v>6.060623157256816</c:v>
                </c:pt>
                <c:pt idx="75" formatCode="0">
                  <c:v>6.060623157256816</c:v>
                </c:pt>
                <c:pt idx="76" formatCode="0">
                  <c:v>6.060623157256816</c:v>
                </c:pt>
                <c:pt idx="77" formatCode="0">
                  <c:v>6.060623157256816</c:v>
                </c:pt>
                <c:pt idx="78" formatCode="0">
                  <c:v>6.060623157256816</c:v>
                </c:pt>
                <c:pt idx="79" formatCode="0">
                  <c:v>6.060623157256816</c:v>
                </c:pt>
                <c:pt idx="80" formatCode="0">
                  <c:v>29.12428215499495</c:v>
                </c:pt>
                <c:pt idx="81" formatCode="0">
                  <c:v>29.12428215499495</c:v>
                </c:pt>
                <c:pt idx="82" formatCode="0">
                  <c:v>29.12428215499495</c:v>
                </c:pt>
                <c:pt idx="83" formatCode="0">
                  <c:v>29.12428215499495</c:v>
                </c:pt>
                <c:pt idx="84" formatCode="0">
                  <c:v>29.12428215499495</c:v>
                </c:pt>
                <c:pt idx="85" formatCode="0">
                  <c:v>29.12428215499495</c:v>
                </c:pt>
                <c:pt idx="86" formatCode="0">
                  <c:v>29.12428215499495</c:v>
                </c:pt>
                <c:pt idx="87" formatCode="0">
                  <c:v>29.12428215499495</c:v>
                </c:pt>
                <c:pt idx="88" formatCode="0">
                  <c:v>29.12428215499495</c:v>
                </c:pt>
                <c:pt idx="89" formatCode="0">
                  <c:v>29.12428215499495</c:v>
                </c:pt>
                <c:pt idx="90" formatCode="0">
                  <c:v>29.12428215499495</c:v>
                </c:pt>
                <c:pt idx="91" formatCode="0">
                  <c:v>29.12428215499495</c:v>
                </c:pt>
                <c:pt idx="92" formatCode="0">
                  <c:v>29.12428215499495</c:v>
                </c:pt>
                <c:pt idx="93" formatCode="0">
                  <c:v>29.12428215499495</c:v>
                </c:pt>
                <c:pt idx="94" formatCode="0">
                  <c:v>29.12428215499495</c:v>
                </c:pt>
                <c:pt idx="95" formatCode="0">
                  <c:v>29.12428215499495</c:v>
                </c:pt>
                <c:pt idx="96" formatCode="0">
                  <c:v>29.12428215499495</c:v>
                </c:pt>
                <c:pt idx="97" formatCode="0">
                  <c:v>29.12428215499495</c:v>
                </c:pt>
                <c:pt idx="98" formatCode="0">
                  <c:v>29.12428215499495</c:v>
                </c:pt>
                <c:pt idx="99" formatCode="0">
                  <c:v>29.12428215499495</c:v>
                </c:pt>
                <c:pt idx="100" formatCode="0">
                  <c:v>29.12428215499495</c:v>
                </c:pt>
                <c:pt idx="101" formatCode="0">
                  <c:v>29.12428215499495</c:v>
                </c:pt>
                <c:pt idx="102" formatCode="0">
                  <c:v>29.12428215499495</c:v>
                </c:pt>
                <c:pt idx="103" formatCode="0">
                  <c:v>29.12428215499495</c:v>
                </c:pt>
                <c:pt idx="104" formatCode="0">
                  <c:v>29.12428215499495</c:v>
                </c:pt>
                <c:pt idx="105" formatCode="0">
                  <c:v>29.12428215499495</c:v>
                </c:pt>
                <c:pt idx="106" formatCode="0">
                  <c:v>29.12428215499495</c:v>
                </c:pt>
                <c:pt idx="107" formatCode="0">
                  <c:v>29.12428215499495</c:v>
                </c:pt>
                <c:pt idx="108" formatCode="0">
                  <c:v>29.12428215499495</c:v>
                </c:pt>
                <c:pt idx="109" formatCode="0">
                  <c:v>29.12428215499495</c:v>
                </c:pt>
                <c:pt idx="110" formatCode="0">
                  <c:v>29.12428215499495</c:v>
                </c:pt>
                <c:pt idx="111" formatCode="0">
                  <c:v>29.12428215499495</c:v>
                </c:pt>
                <c:pt idx="112" formatCode="0">
                  <c:v>29.12428215499495</c:v>
                </c:pt>
                <c:pt idx="113" formatCode="0">
                  <c:v>29.12428215499495</c:v>
                </c:pt>
                <c:pt idx="114" formatCode="0">
                  <c:v>29.12428215499495</c:v>
                </c:pt>
                <c:pt idx="115" formatCode="0">
                  <c:v>29.12428215499495</c:v>
                </c:pt>
                <c:pt idx="116" formatCode="0">
                  <c:v>29.12428215499495</c:v>
                </c:pt>
                <c:pt idx="117" formatCode="0">
                  <c:v>29.12428215499495</c:v>
                </c:pt>
                <c:pt idx="118" formatCode="0">
                  <c:v>29.12428215499495</c:v>
                </c:pt>
                <c:pt idx="119" formatCode="0">
                  <c:v>29.12428215499495</c:v>
                </c:pt>
                <c:pt idx="120" formatCode="0">
                  <c:v>29.12428215499495</c:v>
                </c:pt>
                <c:pt idx="121" formatCode="0">
                  <c:v>29.12428215499495</c:v>
                </c:pt>
                <c:pt idx="122" formatCode="0">
                  <c:v>29.12428215499495</c:v>
                </c:pt>
                <c:pt idx="123" formatCode="0">
                  <c:v>29.12428215499495</c:v>
                </c:pt>
                <c:pt idx="124" formatCode="0">
                  <c:v>29.12428215499495</c:v>
                </c:pt>
                <c:pt idx="125" formatCode="0">
                  <c:v>29.12428215499495</c:v>
                </c:pt>
                <c:pt idx="126" formatCode="0">
                  <c:v>29.12428215499495</c:v>
                </c:pt>
                <c:pt idx="127" formatCode="0">
                  <c:v>29.12428215499495</c:v>
                </c:pt>
                <c:pt idx="128" formatCode="0">
                  <c:v>29.12428215499495</c:v>
                </c:pt>
                <c:pt idx="129" formatCode="0">
                  <c:v>29.12428215499495</c:v>
                </c:pt>
                <c:pt idx="130" formatCode="0">
                  <c:v>29.12428215499495</c:v>
                </c:pt>
                <c:pt idx="131" formatCode="0">
                  <c:v>29.12428215499495</c:v>
                </c:pt>
                <c:pt idx="132" formatCode="0">
                  <c:v>29.12428215499495</c:v>
                </c:pt>
                <c:pt idx="133" formatCode="0">
                  <c:v>29.12428215499495</c:v>
                </c:pt>
                <c:pt idx="134" formatCode="0">
                  <c:v>29.12428215499495</c:v>
                </c:pt>
                <c:pt idx="135" formatCode="0">
                  <c:v>29.12428215499495</c:v>
                </c:pt>
                <c:pt idx="136" formatCode="0">
                  <c:v>29.12428215499495</c:v>
                </c:pt>
                <c:pt idx="137" formatCode="0">
                  <c:v>29.12428215499495</c:v>
                </c:pt>
                <c:pt idx="138" formatCode="0">
                  <c:v>29.12428215499495</c:v>
                </c:pt>
                <c:pt idx="139" formatCode="0">
                  <c:v>29.12428215499495</c:v>
                </c:pt>
                <c:pt idx="140" formatCode="0">
                  <c:v>29.12428215499495</c:v>
                </c:pt>
                <c:pt idx="141" formatCode="0">
                  <c:v>29.12428215499495</c:v>
                </c:pt>
                <c:pt idx="142" formatCode="0">
                  <c:v>29.12428215499495</c:v>
                </c:pt>
                <c:pt idx="143" formatCode="0">
                  <c:v>29.12428215499495</c:v>
                </c:pt>
                <c:pt idx="144" formatCode="0">
                  <c:v>29.12428215499495</c:v>
                </c:pt>
                <c:pt idx="145" formatCode="0">
                  <c:v>29.12428215499495</c:v>
                </c:pt>
                <c:pt idx="146" formatCode="0">
                  <c:v>29.12428215499495</c:v>
                </c:pt>
                <c:pt idx="147" formatCode="0">
                  <c:v>29.12428215499495</c:v>
                </c:pt>
                <c:pt idx="148" formatCode="0">
                  <c:v>29.12428215499495</c:v>
                </c:pt>
                <c:pt idx="149" formatCode="0">
                  <c:v>29.12428215499495</c:v>
                </c:pt>
                <c:pt idx="150" formatCode="0">
                  <c:v>29.12428215499495</c:v>
                </c:pt>
                <c:pt idx="151" formatCode="0">
                  <c:v>29.12428215499495</c:v>
                </c:pt>
                <c:pt idx="152" formatCode="0">
                  <c:v>29.12428215499495</c:v>
                </c:pt>
                <c:pt idx="153" formatCode="0">
                  <c:v>29.12428215499495</c:v>
                </c:pt>
                <c:pt idx="154" formatCode="0">
                  <c:v>29.12428215499495</c:v>
                </c:pt>
                <c:pt idx="155" formatCode="0">
                  <c:v>29.12428215499495</c:v>
                </c:pt>
                <c:pt idx="156" formatCode="0">
                  <c:v>29.12428215499495</c:v>
                </c:pt>
                <c:pt idx="157" formatCode="0">
                  <c:v>29.12428215499495</c:v>
                </c:pt>
                <c:pt idx="158" formatCode="0">
                  <c:v>29.12428215499495</c:v>
                </c:pt>
                <c:pt idx="159" formatCode="0">
                  <c:v>29.12428215499495</c:v>
                </c:pt>
                <c:pt idx="160" formatCode="0">
                  <c:v>29.12428215499495</c:v>
                </c:pt>
                <c:pt idx="161" formatCode="0">
                  <c:v>49.50179141087708</c:v>
                </c:pt>
                <c:pt idx="162" formatCode="0">
                  <c:v>49.50179141087708</c:v>
                </c:pt>
                <c:pt idx="163" formatCode="0">
                  <c:v>49.50179141087708</c:v>
                </c:pt>
                <c:pt idx="164" formatCode="0">
                  <c:v>49.50179141087708</c:v>
                </c:pt>
                <c:pt idx="165" formatCode="0">
                  <c:v>49.50179141087708</c:v>
                </c:pt>
                <c:pt idx="166" formatCode="0">
                  <c:v>49.50179141087708</c:v>
                </c:pt>
                <c:pt idx="167" formatCode="0">
                  <c:v>49.50179141087708</c:v>
                </c:pt>
                <c:pt idx="168" formatCode="0">
                  <c:v>49.50179141087708</c:v>
                </c:pt>
                <c:pt idx="169" formatCode="0">
                  <c:v>49.50179141087708</c:v>
                </c:pt>
                <c:pt idx="170" formatCode="0">
                  <c:v>49.50179141087708</c:v>
                </c:pt>
                <c:pt idx="171" formatCode="0">
                  <c:v>49.50179141087708</c:v>
                </c:pt>
                <c:pt idx="172" formatCode="0">
                  <c:v>49.50179141087708</c:v>
                </c:pt>
                <c:pt idx="173" formatCode="0">
                  <c:v>49.50179141087708</c:v>
                </c:pt>
                <c:pt idx="174" formatCode="0">
                  <c:v>49.50179141087708</c:v>
                </c:pt>
                <c:pt idx="175" formatCode="0">
                  <c:v>49.50179141087708</c:v>
                </c:pt>
                <c:pt idx="176" formatCode="0">
                  <c:v>49.50179141087708</c:v>
                </c:pt>
                <c:pt idx="177" formatCode="0">
                  <c:v>49.50179141087708</c:v>
                </c:pt>
                <c:pt idx="178" formatCode="0">
                  <c:v>49.50179141087708</c:v>
                </c:pt>
                <c:pt idx="179" formatCode="0">
                  <c:v>49.50179141087708</c:v>
                </c:pt>
                <c:pt idx="180" formatCode="0">
                  <c:v>49.50179141087708</c:v>
                </c:pt>
                <c:pt idx="181" formatCode="0">
                  <c:v>49.50179141087708</c:v>
                </c:pt>
                <c:pt idx="182" formatCode="0">
                  <c:v>49.50179141087708</c:v>
                </c:pt>
                <c:pt idx="183" formatCode="0">
                  <c:v>49.50179141087708</c:v>
                </c:pt>
                <c:pt idx="184" formatCode="0">
                  <c:v>49.50179141087708</c:v>
                </c:pt>
                <c:pt idx="185" formatCode="0">
                  <c:v>49.50179141087708</c:v>
                </c:pt>
                <c:pt idx="186" formatCode="0">
                  <c:v>49.50179141087708</c:v>
                </c:pt>
                <c:pt idx="187" formatCode="0">
                  <c:v>49.50179141087708</c:v>
                </c:pt>
                <c:pt idx="188" formatCode="0">
                  <c:v>49.50179141087708</c:v>
                </c:pt>
                <c:pt idx="189" formatCode="0">
                  <c:v>49.50179141087708</c:v>
                </c:pt>
                <c:pt idx="190" formatCode="0">
                  <c:v>49.50179141087708</c:v>
                </c:pt>
                <c:pt idx="191" formatCode="0">
                  <c:v>49.50179141087708</c:v>
                </c:pt>
                <c:pt idx="192" formatCode="0">
                  <c:v>49.50179141087708</c:v>
                </c:pt>
                <c:pt idx="193" formatCode="0">
                  <c:v>49.50179141087708</c:v>
                </c:pt>
                <c:pt idx="194" formatCode="0">
                  <c:v>49.50179141087708</c:v>
                </c:pt>
                <c:pt idx="195" formatCode="0">
                  <c:v>49.50179141087708</c:v>
                </c:pt>
                <c:pt idx="196" formatCode="0">
                  <c:v>49.50179141087708</c:v>
                </c:pt>
                <c:pt idx="197" formatCode="0">
                  <c:v>49.50179141087708</c:v>
                </c:pt>
                <c:pt idx="198" formatCode="0">
                  <c:v>49.50179141087708</c:v>
                </c:pt>
                <c:pt idx="199" formatCode="0">
                  <c:v>49.50179141087708</c:v>
                </c:pt>
                <c:pt idx="200" formatCode="0">
                  <c:v>49.50179141087708</c:v>
                </c:pt>
                <c:pt idx="201" formatCode="0">
                  <c:v>49.50179141087708</c:v>
                </c:pt>
                <c:pt idx="202" formatCode="0">
                  <c:v>49.50179141087708</c:v>
                </c:pt>
                <c:pt idx="203" formatCode="0">
                  <c:v>49.50179141087708</c:v>
                </c:pt>
                <c:pt idx="204" formatCode="0">
                  <c:v>49.50179141087708</c:v>
                </c:pt>
                <c:pt idx="205" formatCode="0">
                  <c:v>49.50179141087708</c:v>
                </c:pt>
                <c:pt idx="206" formatCode="0">
                  <c:v>49.50179141087708</c:v>
                </c:pt>
                <c:pt idx="207" formatCode="0">
                  <c:v>49.50179141087708</c:v>
                </c:pt>
                <c:pt idx="208" formatCode="0">
                  <c:v>49.50179141087708</c:v>
                </c:pt>
                <c:pt idx="209" formatCode="0">
                  <c:v>49.50179141087708</c:v>
                </c:pt>
                <c:pt idx="210" formatCode="0">
                  <c:v>49.50179141087708</c:v>
                </c:pt>
                <c:pt idx="211" formatCode="0">
                  <c:v>49.50179141087708</c:v>
                </c:pt>
                <c:pt idx="212" formatCode="0">
                  <c:v>49.50179141087708</c:v>
                </c:pt>
                <c:pt idx="213" formatCode="0">
                  <c:v>49.50179141087708</c:v>
                </c:pt>
                <c:pt idx="214" formatCode="0">
                  <c:v>49.50179141087708</c:v>
                </c:pt>
                <c:pt idx="215" formatCode="0">
                  <c:v>49.50179141087708</c:v>
                </c:pt>
                <c:pt idx="216" formatCode="0">
                  <c:v>49.50179141087708</c:v>
                </c:pt>
                <c:pt idx="217" formatCode="0">
                  <c:v>49.50179141087708</c:v>
                </c:pt>
                <c:pt idx="218" formatCode="0">
                  <c:v>49.50179141087708</c:v>
                </c:pt>
                <c:pt idx="219" formatCode="0">
                  <c:v>49.50179141087708</c:v>
                </c:pt>
                <c:pt idx="220" formatCode="0">
                  <c:v>49.50179141087708</c:v>
                </c:pt>
                <c:pt idx="221" formatCode="0">
                  <c:v>49.50179141087708</c:v>
                </c:pt>
                <c:pt idx="222" formatCode="0">
                  <c:v>49.50179141087708</c:v>
                </c:pt>
                <c:pt idx="223" formatCode="0">
                  <c:v>49.50179141087708</c:v>
                </c:pt>
                <c:pt idx="224" formatCode="0">
                  <c:v>49.50179141087708</c:v>
                </c:pt>
                <c:pt idx="225" formatCode="0">
                  <c:v>49.50179141087708</c:v>
                </c:pt>
                <c:pt idx="226" formatCode="0">
                  <c:v>49.50179141087708</c:v>
                </c:pt>
                <c:pt idx="227" formatCode="0">
                  <c:v>49.50179141087708</c:v>
                </c:pt>
                <c:pt idx="228" formatCode="0">
                  <c:v>49.50179141087708</c:v>
                </c:pt>
                <c:pt idx="229" formatCode="0">
                  <c:v>49.50179141087708</c:v>
                </c:pt>
                <c:pt idx="230" formatCode="0">
                  <c:v>49.50179141087708</c:v>
                </c:pt>
                <c:pt idx="231" formatCode="0">
                  <c:v>49.50179141087708</c:v>
                </c:pt>
                <c:pt idx="232" formatCode="0">
                  <c:v>49.50179141087708</c:v>
                </c:pt>
                <c:pt idx="233" formatCode="0">
                  <c:v>49.50179141087708</c:v>
                </c:pt>
                <c:pt idx="234" formatCode="0">
                  <c:v>49.50179141087708</c:v>
                </c:pt>
                <c:pt idx="235" formatCode="0">
                  <c:v>49.50179141087708</c:v>
                </c:pt>
                <c:pt idx="236" formatCode="0">
                  <c:v>49.50179141087708</c:v>
                </c:pt>
                <c:pt idx="237" formatCode="0">
                  <c:v>49.50179141087708</c:v>
                </c:pt>
                <c:pt idx="238" formatCode="0">
                  <c:v>49.50179141087708</c:v>
                </c:pt>
                <c:pt idx="239" formatCode="0">
                  <c:v>49.50179141087708</c:v>
                </c:pt>
                <c:pt idx="240" formatCode="0">
                  <c:v>49.50179141087708</c:v>
                </c:pt>
              </c:numCache>
            </c:numRef>
          </c:val>
        </c:ser>
        <c:ser>
          <c:idx val="4"/>
          <c:order val="4"/>
          <c:tx>
            <c:strRef>
              <c:f>' MixCon Even T40H80U75'!$AN$77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60000"/>
                  <a:lumOff val="40000"/>
                </a:schemeClr>
              </a:bgClr>
            </a:pattFill>
          </c:spPr>
          <c:invertIfNegative val="0"/>
          <c:val>
            <c:numRef>
              <c:f>' MixCon Even T40H80U75'!$AN$78:$AN$318</c:f>
              <c:numCache>
                <c:formatCode>General</c:formatCode>
                <c:ptCount val="241"/>
                <c:pt idx="40" formatCode="0">
                  <c:v>0.754210881791959</c:v>
                </c:pt>
                <c:pt idx="41" formatCode="0">
                  <c:v>0.754210881791959</c:v>
                </c:pt>
                <c:pt idx="42" formatCode="0">
                  <c:v>0.754210881791959</c:v>
                </c:pt>
                <c:pt idx="43" formatCode="0">
                  <c:v>0.754210881791959</c:v>
                </c:pt>
                <c:pt idx="44" formatCode="0">
                  <c:v>0.754210881791959</c:v>
                </c:pt>
                <c:pt idx="45" formatCode="0">
                  <c:v>0.754210881791959</c:v>
                </c:pt>
                <c:pt idx="46" formatCode="0">
                  <c:v>0.754210881791959</c:v>
                </c:pt>
                <c:pt idx="47" formatCode="0">
                  <c:v>0.754210881791959</c:v>
                </c:pt>
                <c:pt idx="48" formatCode="0">
                  <c:v>0.754210881791959</c:v>
                </c:pt>
                <c:pt idx="49" formatCode="0">
                  <c:v>0.754210881791959</c:v>
                </c:pt>
                <c:pt idx="50" formatCode="0">
                  <c:v>0.754210881791959</c:v>
                </c:pt>
                <c:pt idx="51" formatCode="0">
                  <c:v>0.754210881791959</c:v>
                </c:pt>
                <c:pt idx="52" formatCode="0">
                  <c:v>0.754210881791959</c:v>
                </c:pt>
                <c:pt idx="53" formatCode="0">
                  <c:v>0.754210881791959</c:v>
                </c:pt>
                <c:pt idx="54" formatCode="0">
                  <c:v>0.754210881791959</c:v>
                </c:pt>
                <c:pt idx="55" formatCode="0">
                  <c:v>0.754210881791959</c:v>
                </c:pt>
                <c:pt idx="56" formatCode="0">
                  <c:v>0.754210881791959</c:v>
                </c:pt>
                <c:pt idx="57" formatCode="0">
                  <c:v>0.754210881791959</c:v>
                </c:pt>
                <c:pt idx="58" formatCode="0">
                  <c:v>0.754210881791959</c:v>
                </c:pt>
                <c:pt idx="59" formatCode="0">
                  <c:v>0.754210881791959</c:v>
                </c:pt>
                <c:pt idx="60" formatCode="0">
                  <c:v>0.754210881791959</c:v>
                </c:pt>
                <c:pt idx="61" formatCode="0">
                  <c:v>0.754210881791959</c:v>
                </c:pt>
                <c:pt idx="62" formatCode="0">
                  <c:v>0.754210881791959</c:v>
                </c:pt>
                <c:pt idx="63" formatCode="0">
                  <c:v>0.754210881791959</c:v>
                </c:pt>
                <c:pt idx="64" formatCode="0">
                  <c:v>0.754210881791959</c:v>
                </c:pt>
                <c:pt idx="65" formatCode="0">
                  <c:v>0.754210881791959</c:v>
                </c:pt>
                <c:pt idx="66" formatCode="0">
                  <c:v>0.754210881791959</c:v>
                </c:pt>
                <c:pt idx="67" formatCode="0">
                  <c:v>0.754210881791959</c:v>
                </c:pt>
                <c:pt idx="68" formatCode="0">
                  <c:v>0.754210881791959</c:v>
                </c:pt>
                <c:pt idx="69" formatCode="0">
                  <c:v>0.754210881791959</c:v>
                </c:pt>
                <c:pt idx="70" formatCode="0">
                  <c:v>0.754210881791959</c:v>
                </c:pt>
                <c:pt idx="71" formatCode="0">
                  <c:v>0.754210881791959</c:v>
                </c:pt>
                <c:pt idx="72" formatCode="0">
                  <c:v>0.754210881791959</c:v>
                </c:pt>
                <c:pt idx="73" formatCode="0">
                  <c:v>0.754210881791959</c:v>
                </c:pt>
                <c:pt idx="74" formatCode="0">
                  <c:v>0.754210881791959</c:v>
                </c:pt>
                <c:pt idx="75" formatCode="0">
                  <c:v>0.754210881791959</c:v>
                </c:pt>
                <c:pt idx="76" formatCode="0">
                  <c:v>0.754210881791959</c:v>
                </c:pt>
                <c:pt idx="77" formatCode="0">
                  <c:v>0.754210881791959</c:v>
                </c:pt>
                <c:pt idx="78" formatCode="0">
                  <c:v>0.754210881791959</c:v>
                </c:pt>
                <c:pt idx="79" formatCode="0">
                  <c:v>0.754210881791959</c:v>
                </c:pt>
                <c:pt idx="80" formatCode="0">
                  <c:v>13.05482901391896</c:v>
                </c:pt>
                <c:pt idx="81" formatCode="0">
                  <c:v>13.05482901391896</c:v>
                </c:pt>
                <c:pt idx="82" formatCode="0">
                  <c:v>13.05482901391896</c:v>
                </c:pt>
                <c:pt idx="83" formatCode="0">
                  <c:v>13.05482901391896</c:v>
                </c:pt>
                <c:pt idx="84" formatCode="0">
                  <c:v>13.05482901391896</c:v>
                </c:pt>
                <c:pt idx="85" formatCode="0">
                  <c:v>13.05482901391896</c:v>
                </c:pt>
                <c:pt idx="86" formatCode="0">
                  <c:v>13.05482901391896</c:v>
                </c:pt>
                <c:pt idx="87" formatCode="0">
                  <c:v>13.05482901391896</c:v>
                </c:pt>
                <c:pt idx="88" formatCode="0">
                  <c:v>13.05482901391896</c:v>
                </c:pt>
                <c:pt idx="89" formatCode="0">
                  <c:v>13.05482901391896</c:v>
                </c:pt>
                <c:pt idx="90" formatCode="0">
                  <c:v>13.05482901391896</c:v>
                </c:pt>
                <c:pt idx="91" formatCode="0">
                  <c:v>13.05482901391896</c:v>
                </c:pt>
                <c:pt idx="92" formatCode="0">
                  <c:v>13.05482901391896</c:v>
                </c:pt>
                <c:pt idx="93" formatCode="0">
                  <c:v>13.05482901391896</c:v>
                </c:pt>
                <c:pt idx="94" formatCode="0">
                  <c:v>13.05482901391896</c:v>
                </c:pt>
                <c:pt idx="95" formatCode="0">
                  <c:v>13.05482901391896</c:v>
                </c:pt>
                <c:pt idx="96" formatCode="0">
                  <c:v>13.05482901391896</c:v>
                </c:pt>
                <c:pt idx="97" formatCode="0">
                  <c:v>13.05482901391896</c:v>
                </c:pt>
                <c:pt idx="98" formatCode="0">
                  <c:v>13.05482901391896</c:v>
                </c:pt>
                <c:pt idx="99" formatCode="0">
                  <c:v>13.05482901391896</c:v>
                </c:pt>
                <c:pt idx="100" formatCode="0">
                  <c:v>13.05482901391896</c:v>
                </c:pt>
                <c:pt idx="101" formatCode="0">
                  <c:v>13.05482901391896</c:v>
                </c:pt>
                <c:pt idx="102" formatCode="0">
                  <c:v>13.05482901391896</c:v>
                </c:pt>
                <c:pt idx="103" formatCode="0">
                  <c:v>13.05482901391896</c:v>
                </c:pt>
                <c:pt idx="104" formatCode="0">
                  <c:v>13.05482901391896</c:v>
                </c:pt>
                <c:pt idx="105" formatCode="0">
                  <c:v>13.05482901391896</c:v>
                </c:pt>
                <c:pt idx="106" formatCode="0">
                  <c:v>13.05482901391896</c:v>
                </c:pt>
                <c:pt idx="107" formatCode="0">
                  <c:v>13.05482901391896</c:v>
                </c:pt>
                <c:pt idx="108" formatCode="0">
                  <c:v>13.05482901391896</c:v>
                </c:pt>
                <c:pt idx="109" formatCode="0">
                  <c:v>13.05482901391896</c:v>
                </c:pt>
                <c:pt idx="110" formatCode="0">
                  <c:v>13.05482901391896</c:v>
                </c:pt>
                <c:pt idx="111" formatCode="0">
                  <c:v>13.05482901391896</c:v>
                </c:pt>
                <c:pt idx="112" formatCode="0">
                  <c:v>13.05482901391896</c:v>
                </c:pt>
                <c:pt idx="113" formatCode="0">
                  <c:v>13.05482901391896</c:v>
                </c:pt>
                <c:pt idx="114" formatCode="0">
                  <c:v>13.05482901391896</c:v>
                </c:pt>
                <c:pt idx="115" formatCode="0">
                  <c:v>13.05482901391896</c:v>
                </c:pt>
                <c:pt idx="116" formatCode="0">
                  <c:v>13.05482901391896</c:v>
                </c:pt>
                <c:pt idx="117" formatCode="0">
                  <c:v>13.05482901391896</c:v>
                </c:pt>
                <c:pt idx="118" formatCode="0">
                  <c:v>13.05482901391896</c:v>
                </c:pt>
                <c:pt idx="119" formatCode="0">
                  <c:v>13.05482901391896</c:v>
                </c:pt>
                <c:pt idx="120" formatCode="0">
                  <c:v>13.05482901391896</c:v>
                </c:pt>
                <c:pt idx="121" formatCode="0">
                  <c:v>13.05482901391896</c:v>
                </c:pt>
                <c:pt idx="122" formatCode="0">
                  <c:v>13.05482901391896</c:v>
                </c:pt>
                <c:pt idx="123" formatCode="0">
                  <c:v>13.05482901391896</c:v>
                </c:pt>
                <c:pt idx="124" formatCode="0">
                  <c:v>13.05482901391896</c:v>
                </c:pt>
                <c:pt idx="125" formatCode="0">
                  <c:v>13.05482901391896</c:v>
                </c:pt>
                <c:pt idx="126" formatCode="0">
                  <c:v>13.05482901391896</c:v>
                </c:pt>
                <c:pt idx="127" formatCode="0">
                  <c:v>13.05482901391896</c:v>
                </c:pt>
                <c:pt idx="128" formatCode="0">
                  <c:v>13.05482901391896</c:v>
                </c:pt>
                <c:pt idx="129" formatCode="0">
                  <c:v>13.05482901391896</c:v>
                </c:pt>
                <c:pt idx="130" formatCode="0">
                  <c:v>13.05482901391896</c:v>
                </c:pt>
                <c:pt idx="131" formatCode="0">
                  <c:v>13.05482901391896</c:v>
                </c:pt>
                <c:pt idx="132" formatCode="0">
                  <c:v>13.05482901391896</c:v>
                </c:pt>
                <c:pt idx="133" formatCode="0">
                  <c:v>13.05482901391896</c:v>
                </c:pt>
                <c:pt idx="134" formatCode="0">
                  <c:v>13.05482901391896</c:v>
                </c:pt>
                <c:pt idx="135" formatCode="0">
                  <c:v>13.05482901391896</c:v>
                </c:pt>
                <c:pt idx="136" formatCode="0">
                  <c:v>13.05482901391896</c:v>
                </c:pt>
                <c:pt idx="137" formatCode="0">
                  <c:v>13.05482901391896</c:v>
                </c:pt>
                <c:pt idx="138" formatCode="0">
                  <c:v>13.05482901391896</c:v>
                </c:pt>
                <c:pt idx="139" formatCode="0">
                  <c:v>13.05482901391896</c:v>
                </c:pt>
                <c:pt idx="140" formatCode="0">
                  <c:v>13.05482901391896</c:v>
                </c:pt>
                <c:pt idx="141" formatCode="0">
                  <c:v>13.05482901391896</c:v>
                </c:pt>
                <c:pt idx="142" formatCode="0">
                  <c:v>13.05482901391896</c:v>
                </c:pt>
                <c:pt idx="143" formatCode="0">
                  <c:v>13.05482901391896</c:v>
                </c:pt>
                <c:pt idx="144" formatCode="0">
                  <c:v>13.05482901391896</c:v>
                </c:pt>
                <c:pt idx="145" formatCode="0">
                  <c:v>13.05482901391896</c:v>
                </c:pt>
                <c:pt idx="146" formatCode="0">
                  <c:v>13.05482901391896</c:v>
                </c:pt>
                <c:pt idx="147" formatCode="0">
                  <c:v>13.05482901391896</c:v>
                </c:pt>
                <c:pt idx="148" formatCode="0">
                  <c:v>13.05482901391896</c:v>
                </c:pt>
                <c:pt idx="149" formatCode="0">
                  <c:v>13.05482901391896</c:v>
                </c:pt>
                <c:pt idx="150" formatCode="0">
                  <c:v>13.05482901391896</c:v>
                </c:pt>
                <c:pt idx="151" formatCode="0">
                  <c:v>13.05482901391896</c:v>
                </c:pt>
                <c:pt idx="152" formatCode="0">
                  <c:v>13.05482901391896</c:v>
                </c:pt>
                <c:pt idx="153" formatCode="0">
                  <c:v>13.05482901391896</c:v>
                </c:pt>
                <c:pt idx="154" formatCode="0">
                  <c:v>13.05482901391896</c:v>
                </c:pt>
                <c:pt idx="155" formatCode="0">
                  <c:v>13.05482901391896</c:v>
                </c:pt>
                <c:pt idx="156" formatCode="0">
                  <c:v>13.05482901391896</c:v>
                </c:pt>
                <c:pt idx="157" formatCode="0">
                  <c:v>13.05482901391896</c:v>
                </c:pt>
                <c:pt idx="158" formatCode="0">
                  <c:v>13.05482901391896</c:v>
                </c:pt>
                <c:pt idx="159" formatCode="0">
                  <c:v>13.05482901391896</c:v>
                </c:pt>
                <c:pt idx="160" formatCode="0">
                  <c:v>13.05482901391896</c:v>
                </c:pt>
                <c:pt idx="161" formatCode="0">
                  <c:v>26.40095541913443</c:v>
                </c:pt>
                <c:pt idx="162" formatCode="0">
                  <c:v>26.40095541913443</c:v>
                </c:pt>
                <c:pt idx="163" formatCode="0">
                  <c:v>26.40095541913443</c:v>
                </c:pt>
                <c:pt idx="164" formatCode="0">
                  <c:v>26.40095541913443</c:v>
                </c:pt>
                <c:pt idx="165" formatCode="0">
                  <c:v>26.40095541913443</c:v>
                </c:pt>
                <c:pt idx="166" formatCode="0">
                  <c:v>26.40095541913443</c:v>
                </c:pt>
                <c:pt idx="167" formatCode="0">
                  <c:v>26.40095541913443</c:v>
                </c:pt>
                <c:pt idx="168" formatCode="0">
                  <c:v>26.40095541913443</c:v>
                </c:pt>
                <c:pt idx="169" formatCode="0">
                  <c:v>26.40095541913443</c:v>
                </c:pt>
                <c:pt idx="170" formatCode="0">
                  <c:v>26.40095541913443</c:v>
                </c:pt>
                <c:pt idx="171" formatCode="0">
                  <c:v>26.40095541913443</c:v>
                </c:pt>
                <c:pt idx="172" formatCode="0">
                  <c:v>26.40095541913443</c:v>
                </c:pt>
                <c:pt idx="173" formatCode="0">
                  <c:v>26.40095541913443</c:v>
                </c:pt>
                <c:pt idx="174" formatCode="0">
                  <c:v>26.40095541913443</c:v>
                </c:pt>
                <c:pt idx="175" formatCode="0">
                  <c:v>26.40095541913443</c:v>
                </c:pt>
                <c:pt idx="176" formatCode="0">
                  <c:v>26.40095541913443</c:v>
                </c:pt>
                <c:pt idx="177" formatCode="0">
                  <c:v>26.40095541913443</c:v>
                </c:pt>
                <c:pt idx="178" formatCode="0">
                  <c:v>26.40095541913443</c:v>
                </c:pt>
                <c:pt idx="179" formatCode="0">
                  <c:v>26.40095541913443</c:v>
                </c:pt>
                <c:pt idx="180" formatCode="0">
                  <c:v>26.40095541913443</c:v>
                </c:pt>
                <c:pt idx="181" formatCode="0">
                  <c:v>26.40095541913443</c:v>
                </c:pt>
                <c:pt idx="182" formatCode="0">
                  <c:v>26.40095541913443</c:v>
                </c:pt>
                <c:pt idx="183" formatCode="0">
                  <c:v>26.40095541913443</c:v>
                </c:pt>
                <c:pt idx="184" formatCode="0">
                  <c:v>26.40095541913443</c:v>
                </c:pt>
                <c:pt idx="185" formatCode="0">
                  <c:v>26.40095541913443</c:v>
                </c:pt>
                <c:pt idx="186" formatCode="0">
                  <c:v>26.40095541913443</c:v>
                </c:pt>
                <c:pt idx="187" formatCode="0">
                  <c:v>26.40095541913443</c:v>
                </c:pt>
                <c:pt idx="188" formatCode="0">
                  <c:v>26.40095541913443</c:v>
                </c:pt>
                <c:pt idx="189" formatCode="0">
                  <c:v>26.40095541913443</c:v>
                </c:pt>
                <c:pt idx="190" formatCode="0">
                  <c:v>26.40095541913443</c:v>
                </c:pt>
                <c:pt idx="191" formatCode="0">
                  <c:v>26.40095541913443</c:v>
                </c:pt>
                <c:pt idx="192" formatCode="0">
                  <c:v>26.40095541913443</c:v>
                </c:pt>
                <c:pt idx="193" formatCode="0">
                  <c:v>26.40095541913443</c:v>
                </c:pt>
                <c:pt idx="194" formatCode="0">
                  <c:v>26.40095541913443</c:v>
                </c:pt>
                <c:pt idx="195" formatCode="0">
                  <c:v>26.40095541913443</c:v>
                </c:pt>
                <c:pt idx="196" formatCode="0">
                  <c:v>26.40095541913443</c:v>
                </c:pt>
                <c:pt idx="197" formatCode="0">
                  <c:v>26.40095541913443</c:v>
                </c:pt>
                <c:pt idx="198" formatCode="0">
                  <c:v>26.40095541913443</c:v>
                </c:pt>
                <c:pt idx="199" formatCode="0">
                  <c:v>26.40095541913443</c:v>
                </c:pt>
                <c:pt idx="200" formatCode="0">
                  <c:v>26.40095541913443</c:v>
                </c:pt>
                <c:pt idx="201" formatCode="0">
                  <c:v>26.40095541913443</c:v>
                </c:pt>
                <c:pt idx="202" formatCode="0">
                  <c:v>26.40095541913443</c:v>
                </c:pt>
                <c:pt idx="203" formatCode="0">
                  <c:v>26.40095541913443</c:v>
                </c:pt>
                <c:pt idx="204" formatCode="0">
                  <c:v>26.40095541913443</c:v>
                </c:pt>
                <c:pt idx="205" formatCode="0">
                  <c:v>26.40095541913443</c:v>
                </c:pt>
                <c:pt idx="206" formatCode="0">
                  <c:v>26.40095541913443</c:v>
                </c:pt>
                <c:pt idx="207" formatCode="0">
                  <c:v>26.40095541913443</c:v>
                </c:pt>
                <c:pt idx="208" formatCode="0">
                  <c:v>26.40095541913443</c:v>
                </c:pt>
                <c:pt idx="209" formatCode="0">
                  <c:v>26.40095541913443</c:v>
                </c:pt>
                <c:pt idx="210" formatCode="0">
                  <c:v>26.40095541913443</c:v>
                </c:pt>
                <c:pt idx="211" formatCode="0">
                  <c:v>26.40095541913443</c:v>
                </c:pt>
                <c:pt idx="212" formatCode="0">
                  <c:v>26.40095541913443</c:v>
                </c:pt>
                <c:pt idx="213" formatCode="0">
                  <c:v>26.40095541913443</c:v>
                </c:pt>
                <c:pt idx="214" formatCode="0">
                  <c:v>26.40095541913443</c:v>
                </c:pt>
                <c:pt idx="215" formatCode="0">
                  <c:v>26.40095541913443</c:v>
                </c:pt>
                <c:pt idx="216" formatCode="0">
                  <c:v>26.40095541913443</c:v>
                </c:pt>
                <c:pt idx="217" formatCode="0">
                  <c:v>26.40095541913443</c:v>
                </c:pt>
                <c:pt idx="218" formatCode="0">
                  <c:v>26.40095541913443</c:v>
                </c:pt>
                <c:pt idx="219" formatCode="0">
                  <c:v>26.40095541913443</c:v>
                </c:pt>
                <c:pt idx="220" formatCode="0">
                  <c:v>26.40095541913443</c:v>
                </c:pt>
                <c:pt idx="221" formatCode="0">
                  <c:v>26.40095541913443</c:v>
                </c:pt>
                <c:pt idx="222" formatCode="0">
                  <c:v>26.40095541913443</c:v>
                </c:pt>
                <c:pt idx="223" formatCode="0">
                  <c:v>26.40095541913443</c:v>
                </c:pt>
                <c:pt idx="224" formatCode="0">
                  <c:v>26.40095541913443</c:v>
                </c:pt>
                <c:pt idx="225" formatCode="0">
                  <c:v>26.40095541913443</c:v>
                </c:pt>
                <c:pt idx="226" formatCode="0">
                  <c:v>26.40095541913443</c:v>
                </c:pt>
                <c:pt idx="227" formatCode="0">
                  <c:v>26.40095541913443</c:v>
                </c:pt>
                <c:pt idx="228" formatCode="0">
                  <c:v>26.40095541913443</c:v>
                </c:pt>
                <c:pt idx="229" formatCode="0">
                  <c:v>26.40095541913443</c:v>
                </c:pt>
                <c:pt idx="230" formatCode="0">
                  <c:v>26.40095541913443</c:v>
                </c:pt>
                <c:pt idx="231" formatCode="0">
                  <c:v>26.40095541913443</c:v>
                </c:pt>
                <c:pt idx="232" formatCode="0">
                  <c:v>26.40095541913443</c:v>
                </c:pt>
                <c:pt idx="233" formatCode="0">
                  <c:v>26.40095541913443</c:v>
                </c:pt>
                <c:pt idx="234" formatCode="0">
                  <c:v>26.40095541913443</c:v>
                </c:pt>
                <c:pt idx="235" formatCode="0">
                  <c:v>26.40095541913443</c:v>
                </c:pt>
                <c:pt idx="236" formatCode="0">
                  <c:v>26.40095541913443</c:v>
                </c:pt>
                <c:pt idx="237" formatCode="0">
                  <c:v>26.40095541913443</c:v>
                </c:pt>
                <c:pt idx="238" formatCode="0">
                  <c:v>26.40095541913443</c:v>
                </c:pt>
                <c:pt idx="239" formatCode="0">
                  <c:v>26.40095541913443</c:v>
                </c:pt>
                <c:pt idx="240" formatCode="0">
                  <c:v>26.40095541913443</c:v>
                </c:pt>
              </c:numCache>
            </c:numRef>
          </c:val>
        </c:ser>
        <c:ser>
          <c:idx val="5"/>
          <c:order val="5"/>
          <c:tx>
            <c:strRef>
              <c:f>' MixCon Even T40H80U75'!$AO$77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val>
            <c:numRef>
              <c:f>' MixCon Even T40H80U75'!$AO$78:$AO$318</c:f>
              <c:numCache>
                <c:formatCode>General</c:formatCode>
                <c:ptCount val="241"/>
                <c:pt idx="40" formatCode="0">
                  <c:v>2.356909005599873</c:v>
                </c:pt>
                <c:pt idx="41" formatCode="0">
                  <c:v>2.320883069138215</c:v>
                </c:pt>
                <c:pt idx="42" formatCode="0">
                  <c:v>2.285407798016142</c:v>
                </c:pt>
                <c:pt idx="43" formatCode="0">
                  <c:v>2.250474775177888</c:v>
                </c:pt>
                <c:pt idx="44" formatCode="0">
                  <c:v>2.216075712224464</c:v>
                </c:pt>
                <c:pt idx="45" formatCode="0">
                  <c:v>2.182202447447107</c:v>
                </c:pt>
                <c:pt idx="46" formatCode="0">
                  <c:v>2.148846943890789</c:v>
                </c:pt>
                <c:pt idx="47" formatCode="0">
                  <c:v>2.116001287447326</c:v>
                </c:pt>
                <c:pt idx="48" formatCode="0">
                  <c:v>2.083657684977632</c:v>
                </c:pt>
                <c:pt idx="49" formatCode="0">
                  <c:v>2.051808462462677</c:v>
                </c:pt>
                <c:pt idx="50" formatCode="0">
                  <c:v>2.02044606318271</c:v>
                </c:pt>
                <c:pt idx="51" formatCode="0">
                  <c:v>1.989563045924307</c:v>
                </c:pt>
                <c:pt idx="52" formatCode="0">
                  <c:v>1.959152083214829</c:v>
                </c:pt>
                <c:pt idx="53" formatCode="0">
                  <c:v>1.929205959583866</c:v>
                </c:pt>
                <c:pt idx="54" formatCode="0">
                  <c:v>1.89971756985126</c:v>
                </c:pt>
                <c:pt idx="55" formatCode="0">
                  <c:v>1.870679917441281</c:v>
                </c:pt>
                <c:pt idx="56" formatCode="0">
                  <c:v>1.842086112722594</c:v>
                </c:pt>
                <c:pt idx="57" formatCode="0">
                  <c:v>1.813929371373575</c:v>
                </c:pt>
                <c:pt idx="58" formatCode="0">
                  <c:v>1.786203012772638</c:v>
                </c:pt>
                <c:pt idx="59" formatCode="0">
                  <c:v>1.758900458413145</c:v>
                </c:pt>
                <c:pt idx="60" formatCode="0">
                  <c:v>1.732015230342558</c:v>
                </c:pt>
                <c:pt idx="61" formatCode="0">
                  <c:v>1.705540949625444</c:v>
                </c:pt>
                <c:pt idx="62" formatCode="0">
                  <c:v>1.679471334829975</c:v>
                </c:pt>
                <c:pt idx="63" formatCode="0">
                  <c:v>1.653800200537558</c:v>
                </c:pt>
                <c:pt idx="64" formatCode="0">
                  <c:v>1.628521455875254</c:v>
                </c:pt>
                <c:pt idx="65" formatCode="0">
                  <c:v>1.603629103070621</c:v>
                </c:pt>
                <c:pt idx="66" formatCode="0">
                  <c:v>1.579117236028651</c:v>
                </c:pt>
                <c:pt idx="67" formatCode="0">
                  <c:v>1.554980038930454</c:v>
                </c:pt>
                <c:pt idx="68" formatCode="0">
                  <c:v>1.531211784853375</c:v>
                </c:pt>
                <c:pt idx="69" formatCode="0">
                  <c:v>1.50780683441218</c:v>
                </c:pt>
                <c:pt idx="70" formatCode="0">
                  <c:v>1.484759634421037</c:v>
                </c:pt>
                <c:pt idx="71" formatCode="0">
                  <c:v>1.462064716575928</c:v>
                </c:pt>
                <c:pt idx="72" formatCode="0">
                  <c:v>1.439716696157214</c:v>
                </c:pt>
                <c:pt idx="73" formatCode="0">
                  <c:v>1.417710270752027</c:v>
                </c:pt>
                <c:pt idx="74" formatCode="0">
                  <c:v>1.396040218996188</c:v>
                </c:pt>
                <c:pt idx="75" formatCode="0">
                  <c:v>1.37470139933536</c:v>
                </c:pt>
                <c:pt idx="76" formatCode="0">
                  <c:v>1.353688748805136</c:v>
                </c:pt>
                <c:pt idx="77" formatCode="0">
                  <c:v>1.33299728182977</c:v>
                </c:pt>
                <c:pt idx="78" formatCode="0">
                  <c:v>1.312622089039269</c:v>
                </c:pt>
                <c:pt idx="79" formatCode="0">
                  <c:v>1.292558336104581</c:v>
                </c:pt>
                <c:pt idx="80" formatCode="0">
                  <c:v>39.71223292548744</c:v>
                </c:pt>
                <c:pt idx="81" formatCode="0">
                  <c:v>39.10522163369595</c:v>
                </c:pt>
                <c:pt idx="82" formatCode="0">
                  <c:v>38.50748865947109</c:v>
                </c:pt>
                <c:pt idx="83" formatCode="0">
                  <c:v>37.91889218143648</c:v>
                </c:pt>
                <c:pt idx="84" formatCode="0">
                  <c:v>37.33929254599056</c:v>
                </c:pt>
                <c:pt idx="85" formatCode="0">
                  <c:v>36.76855223417155</c:v>
                </c:pt>
                <c:pt idx="86" formatCode="0">
                  <c:v>36.20653582902896</c:v>
                </c:pt>
                <c:pt idx="87" formatCode="0">
                  <c:v>35.65310998349388</c:v>
                </c:pt>
                <c:pt idx="88" formatCode="0">
                  <c:v>35.1081433887403</c:v>
                </c:pt>
                <c:pt idx="89" formatCode="0">
                  <c:v>34.57150674302997</c:v>
                </c:pt>
                <c:pt idx="90" formatCode="0">
                  <c:v>34.04307272103379</c:v>
                </c:pt>
                <c:pt idx="91" formatCode="0">
                  <c:v>33.52271594362166</c:v>
                </c:pt>
                <c:pt idx="92" formatCode="0">
                  <c:v>33.01031294811452</c:v>
                </c:pt>
                <c:pt idx="93" formatCode="0">
                  <c:v>32.50574215899085</c:v>
                </c:pt>
                <c:pt idx="94" formatCode="0">
                  <c:v>32.00888385904101</c:v>
                </c:pt>
                <c:pt idx="95" formatCode="0">
                  <c:v>31.51962016096247</c:v>
                </c:pt>
                <c:pt idx="96" formatCode="0">
                  <c:v>31.03783497938928</c:v>
                </c:pt>
                <c:pt idx="97" formatCode="0">
                  <c:v>30.56341400334896</c:v>
                </c:pt>
                <c:pt idx="98" formatCode="0">
                  <c:v>30.09624466914051</c:v>
                </c:pt>
                <c:pt idx="99" formatCode="0">
                  <c:v>29.63621613362689</c:v>
                </c:pt>
                <c:pt idx="100" formatCode="0">
                  <c:v>29.1832192479358</c:v>
                </c:pt>
                <c:pt idx="101" formatCode="0">
                  <c:v>28.73714653156244</c:v>
                </c:pt>
                <c:pt idx="102" formatCode="0">
                  <c:v>28.29789214686806</c:v>
                </c:pt>
                <c:pt idx="103" formatCode="0">
                  <c:v>27.86535187396836</c:v>
                </c:pt>
                <c:pt idx="104" formatCode="0">
                  <c:v>27.43942308600574</c:v>
                </c:pt>
                <c:pt idx="105" formatCode="0">
                  <c:v>27.02000472479948</c:v>
                </c:pt>
                <c:pt idx="106" formatCode="0">
                  <c:v>26.60699727686809</c:v>
                </c:pt>
                <c:pt idx="107" formatCode="0">
                  <c:v>26.20030274981824</c:v>
                </c:pt>
                <c:pt idx="108" formatCode="0">
                  <c:v>25.79982464909457</c:v>
                </c:pt>
                <c:pt idx="109" formatCode="0">
                  <c:v>25.4054679550848</c:v>
                </c:pt>
                <c:pt idx="110" formatCode="0">
                  <c:v>25.01713910057494</c:v>
                </c:pt>
                <c:pt idx="111" formatCode="0">
                  <c:v>24.63474594854896</c:v>
                </c:pt>
                <c:pt idx="112" formatCode="0">
                  <c:v>24.25819777032786</c:v>
                </c:pt>
                <c:pt idx="113" formatCode="0">
                  <c:v>23.88740522404298</c:v>
                </c:pt>
                <c:pt idx="114" formatCode="0">
                  <c:v>23.52228033343812</c:v>
                </c:pt>
                <c:pt idx="115" formatCode="0">
                  <c:v>23.16273646699595</c:v>
                </c:pt>
                <c:pt idx="116" formatCode="0">
                  <c:v>22.80868831738326</c:v>
                </c:pt>
                <c:pt idx="117" formatCode="0">
                  <c:v>22.4600518812105</c:v>
                </c:pt>
                <c:pt idx="118" formatCode="0">
                  <c:v>22.11674443910071</c:v>
                </c:pt>
                <c:pt idx="119" formatCode="0">
                  <c:v>21.77868453606301</c:v>
                </c:pt>
                <c:pt idx="120" formatCode="0">
                  <c:v>21.4457919621662</c:v>
                </c:pt>
                <c:pt idx="121" formatCode="0">
                  <c:v>21.11798773350771</c:v>
                </c:pt>
                <c:pt idx="122" formatCode="0">
                  <c:v>20.79519407347339</c:v>
                </c:pt>
                <c:pt idx="123" formatCode="0">
                  <c:v>20.4773343942839</c:v>
                </c:pt>
                <c:pt idx="124" formatCode="0">
                  <c:v>20.164333278823</c:v>
                </c:pt>
                <c:pt idx="125" formatCode="0">
                  <c:v>19.85611646274372</c:v>
                </c:pt>
                <c:pt idx="126" formatCode="0">
                  <c:v>19.55261081684798</c:v>
                </c:pt>
                <c:pt idx="127" formatCode="0">
                  <c:v>19.25374432973554</c:v>
                </c:pt>
                <c:pt idx="128" formatCode="0">
                  <c:v>18.95944609071824</c:v>
                </c:pt>
                <c:pt idx="129" formatCode="0">
                  <c:v>18.66964627299528</c:v>
                </c:pt>
                <c:pt idx="130" formatCode="0">
                  <c:v>18.38427611708578</c:v>
                </c:pt>
                <c:pt idx="131" formatCode="0">
                  <c:v>18.10326791451448</c:v>
                </c:pt>
                <c:pt idx="132" formatCode="0">
                  <c:v>17.82655499174694</c:v>
                </c:pt>
                <c:pt idx="133" formatCode="0">
                  <c:v>17.55407169437014</c:v>
                </c:pt>
                <c:pt idx="134" formatCode="0">
                  <c:v>17.28575337151499</c:v>
                </c:pt>
                <c:pt idx="135" formatCode="0">
                  <c:v>17.02153636051689</c:v>
                </c:pt>
                <c:pt idx="136" formatCode="0">
                  <c:v>16.76135797181083</c:v>
                </c:pt>
                <c:pt idx="137" formatCode="0">
                  <c:v>16.50515647405726</c:v>
                </c:pt>
                <c:pt idx="138" formatCode="0">
                  <c:v>16.25287107949543</c:v>
                </c:pt>
                <c:pt idx="139" formatCode="0">
                  <c:v>16.0044419295205</c:v>
                </c:pt>
                <c:pt idx="140" formatCode="0">
                  <c:v>15.75981008048123</c:v>
                </c:pt>
                <c:pt idx="141" formatCode="0">
                  <c:v>15.51891748969464</c:v>
                </c:pt>
                <c:pt idx="142" formatCode="0">
                  <c:v>15.28170700167448</c:v>
                </c:pt>
                <c:pt idx="143" formatCode="0">
                  <c:v>15.04812233457025</c:v>
                </c:pt>
                <c:pt idx="144" formatCode="0">
                  <c:v>14.81810806681344</c:v>
                </c:pt>
                <c:pt idx="145" formatCode="0">
                  <c:v>14.5916096239679</c:v>
                </c:pt>
                <c:pt idx="146" formatCode="0">
                  <c:v>14.36857326578122</c:v>
                </c:pt>
                <c:pt idx="147" formatCode="0">
                  <c:v>14.14894607343403</c:v>
                </c:pt>
                <c:pt idx="148" formatCode="0">
                  <c:v>13.93267593698418</c:v>
                </c:pt>
                <c:pt idx="149" formatCode="0">
                  <c:v>13.71971154300287</c:v>
                </c:pt>
                <c:pt idx="150" formatCode="0">
                  <c:v>13.51000236239974</c:v>
                </c:pt>
                <c:pt idx="151" formatCode="0">
                  <c:v>13.30349863843404</c:v>
                </c:pt>
                <c:pt idx="152" formatCode="0">
                  <c:v>13.10015137490912</c:v>
                </c:pt>
                <c:pt idx="153" formatCode="0">
                  <c:v>12.89991232454728</c:v>
                </c:pt>
                <c:pt idx="154" formatCode="0">
                  <c:v>12.7027339775424</c:v>
                </c:pt>
                <c:pt idx="155" formatCode="0">
                  <c:v>12.50856955028747</c:v>
                </c:pt>
                <c:pt idx="156" formatCode="0">
                  <c:v>12.31737297427448</c:v>
                </c:pt>
                <c:pt idx="157" formatCode="0">
                  <c:v>12.12909888516393</c:v>
                </c:pt>
                <c:pt idx="158" formatCode="0">
                  <c:v>11.94370261202149</c:v>
                </c:pt>
                <c:pt idx="159" formatCode="0">
                  <c:v>11.76114016671906</c:v>
                </c:pt>
                <c:pt idx="160" formatCode="0">
                  <c:v>11.58136823349797</c:v>
                </c:pt>
                <c:pt idx="161" formatCode="0">
                  <c:v>55.10238200144587</c:v>
                </c:pt>
                <c:pt idx="162" formatCode="0">
                  <c:v>54.26012847865243</c:v>
                </c:pt>
                <c:pt idx="163" formatCode="0">
                  <c:v>53.43074900904672</c:v>
                </c:pt>
                <c:pt idx="164" formatCode="0">
                  <c:v>52.61404680954504</c:v>
                </c:pt>
                <c:pt idx="165" formatCode="0">
                  <c:v>51.80982810494175</c:v>
                </c:pt>
                <c:pt idx="166" formatCode="0">
                  <c:v>51.01790208193307</c:v>
                </c:pt>
                <c:pt idx="167" formatCode="0">
                  <c:v>50.23808084384373</c:v>
                </c:pt>
                <c:pt idx="168" formatCode="0">
                  <c:v>49.47017936604556</c:v>
                </c:pt>
                <c:pt idx="169" formatCode="0">
                  <c:v>48.71401545205755</c:v>
                </c:pt>
                <c:pt idx="170" formatCode="0">
                  <c:v>47.96940969031692</c:v>
                </c:pt>
                <c:pt idx="171" formatCode="0">
                  <c:v>47.23618541161093</c:v>
                </c:pt>
                <c:pt idx="172" formatCode="0">
                  <c:v>46.51416864715945</c:v>
                </c:pt>
                <c:pt idx="173" formatCode="0">
                  <c:v>45.80318808733808</c:v>
                </c:pt>
                <c:pt idx="174" formatCode="0">
                  <c:v>45.1030750410324</c:v>
                </c:pt>
                <c:pt idx="175" formatCode="0">
                  <c:v>44.41366339561334</c:v>
                </c:pt>
                <c:pt idx="176" formatCode="0">
                  <c:v>43.73478957752438</c:v>
                </c:pt>
                <c:pt idx="177" formatCode="0">
                  <c:v>43.06629251347127</c:v>
                </c:pt>
                <c:pt idx="178" formatCode="0">
                  <c:v>42.4080135922048</c:v>
                </c:pt>
                <c:pt idx="179" formatCode="0">
                  <c:v>41.75979662688795</c:v>
                </c:pt>
                <c:pt idx="180" formatCode="0">
                  <c:v>41.12148781803806</c:v>
                </c:pt>
                <c:pt idx="181" formatCode="0">
                  <c:v>40.49293571703557</c:v>
                </c:pt>
                <c:pt idx="182" formatCode="0">
                  <c:v>39.87399119019049</c:v>
                </c:pt>
                <c:pt idx="183" formatCode="0">
                  <c:v>39.26450738335812</c:v>
                </c:pt>
                <c:pt idx="184" formatCode="0">
                  <c:v>38.66433968709564</c:v>
                </c:pt>
                <c:pt idx="185" formatCode="0">
                  <c:v>38.0733457023513</c:v>
                </c:pt>
                <c:pt idx="186" formatCode="0">
                  <c:v>37.49138520667806</c:v>
                </c:pt>
                <c:pt idx="187" formatCode="0">
                  <c:v>36.91832012096358</c:v>
                </c:pt>
                <c:pt idx="188" formatCode="0">
                  <c:v>36.35401447666889</c:v>
                </c:pt>
                <c:pt idx="189" formatCode="0">
                  <c:v>35.79833438356774</c:v>
                </c:pt>
                <c:pt idx="190" formatCode="0">
                  <c:v>35.25114799797906</c:v>
                </c:pt>
                <c:pt idx="191" formatCode="0">
                  <c:v>34.71232549148502</c:v>
                </c:pt>
                <c:pt idx="192" formatCode="0">
                  <c:v>34.18173902012724</c:v>
                </c:pt>
                <c:pt idx="193" formatCode="0">
                  <c:v>33.6592626940738</c:v>
                </c:pt>
                <c:pt idx="194" formatCode="0">
                  <c:v>33.14477254775</c:v>
                </c:pt>
                <c:pt idx="195" formatCode="0">
                  <c:v>32.63814651042556</c:v>
                </c:pt>
                <c:pt idx="196" formatCode="0">
                  <c:v>32.13926437725147</c:v>
                </c:pt>
                <c:pt idx="197" formatCode="0">
                  <c:v>31.64800778073955</c:v>
                </c:pt>
                <c:pt idx="198" formatCode="0">
                  <c:v>31.16426016267791</c:v>
                </c:pt>
                <c:pt idx="199" formatCode="0">
                  <c:v>30.68790674647571</c:v>
                </c:pt>
                <c:pt idx="200" formatCode="0">
                  <c:v>30.21883450993069</c:v>
                </c:pt>
                <c:pt idx="201" formatCode="0">
                  <c:v>29.75693215841287</c:v>
                </c:pt>
                <c:pt idx="202" formatCode="0">
                  <c:v>29.30209009845817</c:v>
                </c:pt>
                <c:pt idx="203" formatCode="0">
                  <c:v>28.85420041176567</c:v>
                </c:pt>
                <c:pt idx="204" formatCode="0">
                  <c:v>28.4131568295924</c:v>
                </c:pt>
                <c:pt idx="205" formatCode="0">
                  <c:v>27.97885470753933</c:v>
                </c:pt>
                <c:pt idx="206" formatCode="0">
                  <c:v>27.55119100072294</c:v>
                </c:pt>
                <c:pt idx="207" formatCode="0">
                  <c:v>27.13006423932622</c:v>
                </c:pt>
                <c:pt idx="208" formatCode="0">
                  <c:v>26.71537450452336</c:v>
                </c:pt>
                <c:pt idx="209" formatCode="0">
                  <c:v>26.30702340477253</c:v>
                </c:pt>
                <c:pt idx="210" formatCode="0">
                  <c:v>25.90491405247088</c:v>
                </c:pt>
                <c:pt idx="211" formatCode="0">
                  <c:v>25.50895104096654</c:v>
                </c:pt>
                <c:pt idx="212" formatCode="0">
                  <c:v>25.11904042192187</c:v>
                </c:pt>
                <c:pt idx="213" formatCode="0">
                  <c:v>24.73508968302278</c:v>
                </c:pt>
                <c:pt idx="214" formatCode="0">
                  <c:v>24.35700772602877</c:v>
                </c:pt>
                <c:pt idx="215" formatCode="0">
                  <c:v>23.98470484515846</c:v>
                </c:pt>
                <c:pt idx="216" formatCode="0">
                  <c:v>23.61809270580547</c:v>
                </c:pt>
                <c:pt idx="217" formatCode="0">
                  <c:v>23.25708432357973</c:v>
                </c:pt>
                <c:pt idx="218" formatCode="0">
                  <c:v>22.90159404366904</c:v>
                </c:pt>
                <c:pt idx="219" formatCode="0">
                  <c:v>22.5515375205162</c:v>
                </c:pt>
                <c:pt idx="220" formatCode="0">
                  <c:v>22.20683169780667</c:v>
                </c:pt>
                <c:pt idx="221" formatCode="0">
                  <c:v>21.86739478876219</c:v>
                </c:pt>
                <c:pt idx="222" formatCode="0">
                  <c:v>21.53314625673563</c:v>
                </c:pt>
                <c:pt idx="223" formatCode="0">
                  <c:v>21.2040067961024</c:v>
                </c:pt>
                <c:pt idx="224" formatCode="0">
                  <c:v>20.87989831344398</c:v>
                </c:pt>
                <c:pt idx="225" formatCode="0">
                  <c:v>20.56074390901903</c:v>
                </c:pt>
                <c:pt idx="226" formatCode="0">
                  <c:v>20.24646785851779</c:v>
                </c:pt>
                <c:pt idx="227" formatCode="0">
                  <c:v>19.93699559509524</c:v>
                </c:pt>
                <c:pt idx="228" formatCode="0">
                  <c:v>19.63225369167906</c:v>
                </c:pt>
                <c:pt idx="229" formatCode="0">
                  <c:v>19.33216984354783</c:v>
                </c:pt>
                <c:pt idx="230" formatCode="0">
                  <c:v>19.03667285117565</c:v>
                </c:pt>
                <c:pt idx="231" formatCode="0">
                  <c:v>18.74569260333903</c:v>
                </c:pt>
                <c:pt idx="232" formatCode="0">
                  <c:v>18.45916006048179</c:v>
                </c:pt>
                <c:pt idx="233" formatCode="0">
                  <c:v>18.17700723833445</c:v>
                </c:pt>
                <c:pt idx="234" formatCode="0">
                  <c:v>17.89916719178387</c:v>
                </c:pt>
                <c:pt idx="235" formatCode="0">
                  <c:v>17.62557399898953</c:v>
                </c:pt>
                <c:pt idx="236" formatCode="0">
                  <c:v>17.35616274574251</c:v>
                </c:pt>
                <c:pt idx="237" formatCode="0">
                  <c:v>17.09086951006362</c:v>
                </c:pt>
                <c:pt idx="238" formatCode="0">
                  <c:v>16.8296313470369</c:v>
                </c:pt>
                <c:pt idx="239" formatCode="0">
                  <c:v>16.572386273875</c:v>
                </c:pt>
                <c:pt idx="240" formatCode="0">
                  <c:v>16.31907325521278</c:v>
                </c:pt>
              </c:numCache>
            </c:numRef>
          </c:val>
        </c:ser>
        <c:ser>
          <c:idx val="6"/>
          <c:order val="6"/>
          <c:tx>
            <c:strRef>
              <c:f>' MixCon Even T40H80U75'!$AP$77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val>
            <c:numRef>
              <c:f>' MixCon Even T40H80U75'!$AP$78:$AP$318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0.0180309811990599</c:v>
                </c:pt>
                <c:pt idx="42" formatCode="0">
                  <c:v>0.0357863543956574</c:v>
                </c:pt>
                <c:pt idx="43" formatCode="0">
                  <c:v>0.0532703323262037</c:v>
                </c:pt>
                <c:pt idx="44" formatCode="0">
                  <c:v>0.0704870633343924</c:v>
                </c:pt>
                <c:pt idx="45" formatCode="0">
                  <c:v>0.0874406323554598</c:v>
                </c:pt>
                <c:pt idx="46" formatCode="0">
                  <c:v>0.104135061885397</c:v>
                </c:pt>
                <c:pt idx="47" formatCode="0">
                  <c:v>0.12057431293535</c:v>
                </c:pt>
                <c:pt idx="48" formatCode="0">
                  <c:v>0.136762285971432</c:v>
                </c:pt>
                <c:pt idx="49" formatCode="0">
                  <c:v>0.152702821840166</c:v>
                </c:pt>
                <c:pt idx="50" formatCode="0">
                  <c:v>0.16839970267979</c:v>
                </c:pt>
                <c:pt idx="51" formatCode="0">
                  <c:v>0.183856652817621</c:v>
                </c:pt>
                <c:pt idx="52" formatCode="0">
                  <c:v>0.199077339653715</c:v>
                </c:pt>
                <c:pt idx="53" formatCode="0">
                  <c:v>0.214065374531011</c:v>
                </c:pt>
                <c:pt idx="54" formatCode="0">
                  <c:v>0.228824313592181</c:v>
                </c:pt>
                <c:pt idx="55" formatCode="0">
                  <c:v>0.243357658623375</c:v>
                </c:pt>
                <c:pt idx="56" formatCode="0">
                  <c:v>0.257668857885079</c:v>
                </c:pt>
                <c:pt idx="57" formatCode="0">
                  <c:v>0.271761306930262</c:v>
                </c:pt>
                <c:pt idx="58" formatCode="0">
                  <c:v>0.285638349410031</c:v>
                </c:pt>
                <c:pt idx="59" formatCode="0">
                  <c:v>0.299303277866957</c:v>
                </c:pt>
                <c:pt idx="60" formatCode="0">
                  <c:v>0.312759334516286</c:v>
                </c:pt>
                <c:pt idx="61" formatCode="0">
                  <c:v>0.326009712015202</c:v>
                </c:pt>
                <c:pt idx="62" formatCode="0">
                  <c:v>0.339057554220334</c:v>
                </c:pt>
                <c:pt idx="63" formatCode="0">
                  <c:v>0.351905956933689</c:v>
                </c:pt>
                <c:pt idx="64" formatCode="0">
                  <c:v>0.364557968637172</c:v>
                </c:pt>
                <c:pt idx="65" formatCode="0">
                  <c:v>0.377016591215891</c:v>
                </c:pt>
                <c:pt idx="66" formatCode="0">
                  <c:v>0.389284780670397</c:v>
                </c:pt>
                <c:pt idx="67" formatCode="0">
                  <c:v>0.401365447818044</c:v>
                </c:pt>
                <c:pt idx="68" formatCode="0">
                  <c:v>0.413261458983623</c:v>
                </c:pt>
                <c:pt idx="69" formatCode="0">
                  <c:v>0.42497563667944</c:v>
                </c:pt>
                <c:pt idx="70" formatCode="0">
                  <c:v>0.436510760275008</c:v>
                </c:pt>
                <c:pt idx="71" formatCode="0">
                  <c:v>0.447869566656485</c:v>
                </c:pt>
                <c:pt idx="72" formatCode="0">
                  <c:v>0.459054750876051</c:v>
                </c:pt>
                <c:pt idx="73" formatCode="0">
                  <c:v>0.470068966791347</c:v>
                </c:pt>
                <c:pt idx="74" formatCode="0">
                  <c:v>0.480914827695145</c:v>
                </c:pt>
                <c:pt idx="75" formatCode="0">
                  <c:v>0.491594906935389</c:v>
                </c:pt>
                <c:pt idx="76" formatCode="0">
                  <c:v>0.502111738525766</c:v>
                </c:pt>
                <c:pt idx="77" formatCode="0">
                  <c:v>0.512467817746937</c:v>
                </c:pt>
                <c:pt idx="78" formatCode="0">
                  <c:v>0.522665601738582</c:v>
                </c:pt>
                <c:pt idx="79" formatCode="0">
                  <c:v>0.532707510082394</c:v>
                </c:pt>
                <c:pt idx="80" formatCode="0">
                  <c:v>0.54259592537616</c:v>
                </c:pt>
                <c:pt idx="81" formatCode="0">
                  <c:v>0.944429037957378</c:v>
                </c:pt>
                <c:pt idx="82" formatCode="0">
                  <c:v>1.340120032133663</c:v>
                </c:pt>
                <c:pt idx="83" formatCode="0">
                  <c:v>1.729762791702343</c:v>
                </c:pt>
                <c:pt idx="84" formatCode="0">
                  <c:v>2.113449765423705</c:v>
                </c:pt>
                <c:pt idx="85" formatCode="0">
                  <c:v>2.491271988955899</c:v>
                </c:pt>
                <c:pt idx="86" formatCode="0">
                  <c:v>2.86331910645454</c:v>
                </c:pt>
                <c:pt idx="87" formatCode="0">
                  <c:v>3.229679391842179</c:v>
                </c:pt>
                <c:pt idx="88" formatCode="0">
                  <c:v>3.590439769752655</c:v>
                </c:pt>
                <c:pt idx="89" formatCode="0">
                  <c:v>3.945685836155306</c:v>
                </c:pt>
                <c:pt idx="90" formatCode="0">
                  <c:v>4.29550187866392</c:v>
                </c:pt>
                <c:pt idx="91" formatCode="0">
                  <c:v>4.639970896535287</c:v>
                </c:pt>
                <c:pt idx="92" formatCode="0">
                  <c:v>4.97917462036206</c:v>
                </c:pt>
                <c:pt idx="93" formatCode="0">
                  <c:v>5.313193531464575</c:v>
                </c:pt>
                <c:pt idx="94" formatCode="0">
                  <c:v>5.642106880986319</c:v>
                </c:pt>
                <c:pt idx="95" formatCode="0">
                  <c:v>5.965992708697459</c:v>
                </c:pt>
                <c:pt idx="96" formatCode="0">
                  <c:v>6.284927861510997</c:v>
                </c:pt>
                <c:pt idx="97" formatCode="0">
                  <c:v>6.598988011715887</c:v>
                </c:pt>
                <c:pt idx="98" formatCode="0">
                  <c:v>6.908247674931444</c:v>
                </c:pt>
                <c:pt idx="99" formatCode="0">
                  <c:v>7.212780227787341</c:v>
                </c:pt>
                <c:pt idx="100" formatCode="0">
                  <c:v>7.512657925333323</c:v>
                </c:pt>
                <c:pt idx="101" formatCode="0">
                  <c:v>7.807951918182863</c:v>
                </c:pt>
                <c:pt idx="102" formatCode="0">
                  <c:v>8.098732269394716</c:v>
                </c:pt>
                <c:pt idx="103" formatCode="0">
                  <c:v>8.385067971096486</c:v>
                </c:pt>
                <c:pt idx="104" formatCode="0">
                  <c:v>8.667026960854054</c:v>
                </c:pt>
                <c:pt idx="105" formatCode="0">
                  <c:v>8.944676137790815</c:v>
                </c:pt>
                <c:pt idx="106" formatCode="0">
                  <c:v>9.218081378460543</c:v>
                </c:pt>
                <c:pt idx="107" formatCode="0">
                  <c:v>9.487307552477622</c:v>
                </c:pt>
                <c:pt idx="108" formatCode="0">
                  <c:v>9.75241853790832</c:v>
                </c:pt>
                <c:pt idx="109" formatCode="0">
                  <c:v>10.01347723642692</c:v>
                </c:pt>
                <c:pt idx="110" formatCode="0">
                  <c:v>10.27054558824005</c:v>
                </c:pt>
                <c:pt idx="111" formatCode="0">
                  <c:v>10.52368458678298</c:v>
                </c:pt>
                <c:pt idx="112" formatCode="0">
                  <c:v>10.77295429319124</c:v>
                </c:pt>
                <c:pt idx="113" formatCode="0">
                  <c:v>11.0184138505511</c:v>
                </c:pt>
                <c:pt idx="114" formatCode="0">
                  <c:v>11.2601214979321</c:v>
                </c:pt>
                <c:pt idx="115" formatCode="0">
                  <c:v>11.49813458420525</c:v>
                </c:pt>
                <c:pt idx="116" formatCode="0">
                  <c:v>11.73250958164987</c:v>
                </c:pt>
                <c:pt idx="117" formatCode="0">
                  <c:v>11.96330209935256</c:v>
                </c:pt>
                <c:pt idx="118" formatCode="0">
                  <c:v>12.19056689640128</c:v>
                </c:pt>
                <c:pt idx="119" formatCode="0">
                  <c:v>12.41435789487781</c:v>
                </c:pt>
                <c:pt idx="120" formatCode="0">
                  <c:v>12.63472819265157</c:v>
                </c:pt>
                <c:pt idx="121" formatCode="0">
                  <c:v>12.85173007597795</c:v>
                </c:pt>
                <c:pt idx="122" formatCode="0">
                  <c:v>13.06541503190398</c:v>
                </c:pt>
                <c:pt idx="123" formatCode="0">
                  <c:v>13.2758337604845</c:v>
                </c:pt>
                <c:pt idx="124" formatCode="0">
                  <c:v>13.48303618681144</c:v>
                </c:pt>
                <c:pt idx="125" formatCode="0">
                  <c:v>13.68707147285938</c:v>
                </c:pt>
                <c:pt idx="126" formatCode="0">
                  <c:v>13.88798802915</c:v>
                </c:pt>
                <c:pt idx="127" formatCode="0">
                  <c:v>14.08583352623813</c:v>
                </c:pt>
                <c:pt idx="128" formatCode="0">
                  <c:v>14.28065490602247</c:v>
                </c:pt>
                <c:pt idx="129" formatCode="0">
                  <c:v>14.47249839288316</c:v>
                </c:pt>
                <c:pt idx="130" formatCode="0">
                  <c:v>14.66140950464925</c:v>
                </c:pt>
                <c:pt idx="131" formatCode="0">
                  <c:v>14.84743306339857</c:v>
                </c:pt>
                <c:pt idx="132" formatCode="0">
                  <c:v>15.0306132060924</c:v>
                </c:pt>
                <c:pt idx="133" formatCode="0">
                  <c:v>15.21099339504763</c:v>
                </c:pt>
                <c:pt idx="134" formatCode="0">
                  <c:v>15.38861642824895</c:v>
                </c:pt>
                <c:pt idx="135" formatCode="0">
                  <c:v>15.56352444950326</c:v>
                </c:pt>
                <c:pt idx="136" formatCode="0">
                  <c:v>15.73575895843894</c:v>
                </c:pt>
                <c:pt idx="137" formatCode="0">
                  <c:v>15.90536082035233</c:v>
                </c:pt>
                <c:pt idx="138" formatCode="0">
                  <c:v>16.07237027590359</c:v>
                </c:pt>
                <c:pt idx="139" formatCode="0">
                  <c:v>16.23682695066446</c:v>
                </c:pt>
                <c:pt idx="140" formatCode="0">
                  <c:v>16.39876986452003</c:v>
                </c:pt>
                <c:pt idx="141" formatCode="0">
                  <c:v>16.5582374409268</c:v>
                </c:pt>
                <c:pt idx="142" formatCode="0">
                  <c:v>16.71526751602925</c:v>
                </c:pt>
                <c:pt idx="143" formatCode="0">
                  <c:v>16.86989734763702</c:v>
                </c:pt>
                <c:pt idx="144" formatCode="0">
                  <c:v>17.02216362406497</c:v>
                </c:pt>
                <c:pt idx="145" formatCode="0">
                  <c:v>17.17210247283796</c:v>
                </c:pt>
                <c:pt idx="146" formatCode="0">
                  <c:v>17.31974946926273</c:v>
                </c:pt>
                <c:pt idx="147" formatCode="0">
                  <c:v>17.46513964486866</c:v>
                </c:pt>
                <c:pt idx="148" formatCode="0">
                  <c:v>17.60830749571954</c:v>
                </c:pt>
                <c:pt idx="149" formatCode="0">
                  <c:v>17.74928699059833</c:v>
                </c:pt>
                <c:pt idx="150" formatCode="0">
                  <c:v>17.88811157906671</c:v>
                </c:pt>
                <c:pt idx="151" formatCode="0">
                  <c:v>18.02481419940157</c:v>
                </c:pt>
                <c:pt idx="152" formatCode="0">
                  <c:v>18.15942728641011</c:v>
                </c:pt>
                <c:pt idx="153" formatCode="0">
                  <c:v>18.29198277912546</c:v>
                </c:pt>
                <c:pt idx="154" formatCode="0">
                  <c:v>18.42251212838476</c:v>
                </c:pt>
                <c:pt idx="155" formatCode="0">
                  <c:v>18.55104630429132</c:v>
                </c:pt>
                <c:pt idx="156" formatCode="0">
                  <c:v>18.67761580356279</c:v>
                </c:pt>
                <c:pt idx="157" formatCode="0">
                  <c:v>18.80225065676692</c:v>
                </c:pt>
                <c:pt idx="158" formatCode="0">
                  <c:v>18.92498043544684</c:v>
                </c:pt>
                <c:pt idx="159" formatCode="0">
                  <c:v>19.04583425913734</c:v>
                </c:pt>
                <c:pt idx="160" formatCode="0">
                  <c:v>19.16484080227392</c:v>
                </c:pt>
                <c:pt idx="161" formatCode="0">
                  <c:v>18.28533619135505</c:v>
                </c:pt>
                <c:pt idx="162" formatCode="0">
                  <c:v>18.84740004223255</c:v>
                </c:pt>
                <c:pt idx="163" formatCode="0">
                  <c:v>19.40087260828276</c:v>
                </c:pt>
                <c:pt idx="164" formatCode="0">
                  <c:v>19.94588520941688</c:v>
                </c:pt>
                <c:pt idx="165" formatCode="0">
                  <c:v>20.48256715828881</c:v>
                </c:pt>
                <c:pt idx="166" formatCode="0">
                  <c:v>21.01104579097661</c:v>
                </c:pt>
                <c:pt idx="167" formatCode="0">
                  <c:v>21.53144649719489</c:v>
                </c:pt>
                <c:pt idx="168" formatCode="0">
                  <c:v>22.04389275004554</c:v>
                </c:pt>
                <c:pt idx="169" formatCode="0">
                  <c:v>22.54850613531353</c:v>
                </c:pt>
                <c:pt idx="170" formatCode="0">
                  <c:v>23.04540638031511</c:v>
                </c:pt>
                <c:pt idx="171" formatCode="0">
                  <c:v>23.53471138230491</c:v>
                </c:pt>
                <c:pt idx="172" formatCode="0">
                  <c:v>24.01653723644887</c:v>
                </c:pt>
                <c:pt idx="173" formatCode="0">
                  <c:v>24.49099826336966</c:v>
                </c:pt>
                <c:pt idx="174" formatCode="0">
                  <c:v>24.95820703627098</c:v>
                </c:pt>
                <c:pt idx="175" formatCode="0">
                  <c:v>25.4182744076473</c:v>
                </c:pt>
                <c:pt idx="176" formatCode="0">
                  <c:v>25.87130953558533</c:v>
                </c:pt>
                <c:pt idx="177" formatCode="0">
                  <c:v>26.31741990966345</c:v>
                </c:pt>
                <c:pt idx="178" formatCode="0">
                  <c:v>26.75671137645527</c:v>
                </c:pt>
                <c:pt idx="179" formatCode="0">
                  <c:v>27.18928816464338</c:v>
                </c:pt>
                <c:pt idx="180" formatCode="0">
                  <c:v>27.6152529097492</c:v>
                </c:pt>
                <c:pt idx="181" formatCode="0">
                  <c:v>28.03470667848487</c:v>
                </c:pt>
                <c:pt idx="182" formatCode="0">
                  <c:v>28.44774899273282</c:v>
                </c:pt>
                <c:pt idx="183" formatCode="0">
                  <c:v>28.85447785315895</c:v>
                </c:pt>
                <c:pt idx="184" formatCode="0">
                  <c:v>29.25498976246478</c:v>
                </c:pt>
                <c:pt idx="185" formatCode="0">
                  <c:v>29.64937974828417</c:v>
                </c:pt>
                <c:pt idx="186" formatCode="0">
                  <c:v>30.03774138573012</c:v>
                </c:pt>
                <c:pt idx="187" formatCode="0">
                  <c:v>30.42016681959691</c:v>
                </c:pt>
                <c:pt idx="188" formatCode="0">
                  <c:v>30.7967467862229</c:v>
                </c:pt>
                <c:pt idx="189" formatCode="0">
                  <c:v>31.16757063501906</c:v>
                </c:pt>
                <c:pt idx="190" formatCode="0">
                  <c:v>31.53272634966858</c:v>
                </c:pt>
                <c:pt idx="191" formatCode="0">
                  <c:v>31.89230056900227</c:v>
                </c:pt>
                <c:pt idx="192" formatCode="0">
                  <c:v>32.24637860755503</c:v>
                </c:pt>
                <c:pt idx="193" formatCode="0">
                  <c:v>32.59504447580802</c:v>
                </c:pt>
                <c:pt idx="194" formatCode="0">
                  <c:v>32.93838090012144</c:v>
                </c:pt>
                <c:pt idx="195" formatCode="0">
                  <c:v>33.27646934236262</c:v>
                </c:pt>
                <c:pt idx="196" formatCode="0">
                  <c:v>33.60939001923413</c:v>
                </c:pt>
                <c:pt idx="197" formatCode="0">
                  <c:v>33.93722192130641</c:v>
                </c:pt>
                <c:pt idx="198" formatCode="0">
                  <c:v>34.26004283175954</c:v>
                </c:pt>
                <c:pt idx="199" formatCode="0">
                  <c:v>34.57792934483848</c:v>
                </c:pt>
                <c:pt idx="200" formatCode="0">
                  <c:v>34.89095688402619</c:v>
                </c:pt>
                <c:pt idx="201" formatCode="0">
                  <c:v>35.19919971993908</c:v>
                </c:pt>
                <c:pt idx="202" formatCode="0">
                  <c:v>35.50273098794886</c:v>
                </c:pt>
                <c:pt idx="203" formatCode="0">
                  <c:v>35.80162270553498</c:v>
                </c:pt>
                <c:pt idx="204" formatCode="0">
                  <c:v>36.09594578937195</c:v>
                </c:pt>
                <c:pt idx="205" formatCode="0">
                  <c:v>36.38577007215537</c:v>
                </c:pt>
                <c:pt idx="206" formatCode="0">
                  <c:v>36.67116431917084</c:v>
                </c:pt>
                <c:pt idx="207" formatCode="0">
                  <c:v>36.95219624460959</c:v>
                </c:pt>
                <c:pt idx="208" formatCode="0">
                  <c:v>37.2289325276347</c:v>
                </c:pt>
                <c:pt idx="209" formatCode="0">
                  <c:v>37.50143882820174</c:v>
                </c:pt>
                <c:pt idx="210" formatCode="0">
                  <c:v>37.76977980263771</c:v>
                </c:pt>
                <c:pt idx="211" formatCode="0">
                  <c:v>38.03401911898161</c:v>
                </c:pt>
                <c:pt idx="212" formatCode="0">
                  <c:v>38.29421947209075</c:v>
                </c:pt>
                <c:pt idx="213" formatCode="0">
                  <c:v>38.55044259851607</c:v>
                </c:pt>
                <c:pt idx="214" formatCode="0">
                  <c:v>38.80274929115008</c:v>
                </c:pt>
                <c:pt idx="215" formatCode="0">
                  <c:v>39.05119941365086</c:v>
                </c:pt>
                <c:pt idx="216" formatCode="0">
                  <c:v>39.29585191464576</c:v>
                </c:pt>
                <c:pt idx="217" formatCode="0">
                  <c:v>39.53676484171774</c:v>
                </c:pt>
                <c:pt idx="218" formatCode="0">
                  <c:v>39.77399535517814</c:v>
                </c:pt>
                <c:pt idx="219" formatCode="0">
                  <c:v>40.00759974162881</c:v>
                </c:pt>
                <c:pt idx="220" formatCode="0">
                  <c:v>40.23763342731696</c:v>
                </c:pt>
                <c:pt idx="221" formatCode="0">
                  <c:v>40.46415099128597</c:v>
                </c:pt>
                <c:pt idx="222" formatCode="0">
                  <c:v>40.68720617832504</c:v>
                </c:pt>
                <c:pt idx="223" formatCode="0">
                  <c:v>40.90685191172095</c:v>
                </c:pt>
                <c:pt idx="224" formatCode="0">
                  <c:v>41.123140305815</c:v>
                </c:pt>
                <c:pt idx="225" formatCode="0">
                  <c:v>41.33612267836791</c:v>
                </c:pt>
                <c:pt idx="226" formatCode="0">
                  <c:v>41.54584956273574</c:v>
                </c:pt>
                <c:pt idx="227" formatCode="0">
                  <c:v>41.75237071985971</c:v>
                </c:pt>
                <c:pt idx="228" formatCode="0">
                  <c:v>41.95573515007278</c:v>
                </c:pt>
                <c:pt idx="229" formatCode="0">
                  <c:v>42.1559911047257</c:v>
                </c:pt>
                <c:pt idx="230" formatCode="0">
                  <c:v>42.3531860976354</c:v>
                </c:pt>
                <c:pt idx="231" formatCode="0">
                  <c:v>42.54736691635837</c:v>
                </c:pt>
                <c:pt idx="232" formatCode="0">
                  <c:v>42.73857963329176</c:v>
                </c:pt>
                <c:pt idx="233" formatCode="0">
                  <c:v>42.92686961660476</c:v>
                </c:pt>
                <c:pt idx="234" formatCode="0">
                  <c:v>43.11228154100284</c:v>
                </c:pt>
                <c:pt idx="235" formatCode="0">
                  <c:v>43.29485939832759</c:v>
                </c:pt>
                <c:pt idx="236" formatCode="0">
                  <c:v>43.47464650799444</c:v>
                </c:pt>
                <c:pt idx="237" formatCode="0">
                  <c:v>43.65168552727081</c:v>
                </c:pt>
                <c:pt idx="238" formatCode="0">
                  <c:v>43.82601846139731</c:v>
                </c:pt>
                <c:pt idx="239" formatCode="0">
                  <c:v>43.99768667355401</c:v>
                </c:pt>
                <c:pt idx="240" formatCode="0">
                  <c:v>44.1667308946746</c:v>
                </c:pt>
              </c:numCache>
            </c:numRef>
          </c:val>
        </c:ser>
        <c:ser>
          <c:idx val="7"/>
          <c:order val="7"/>
          <c:tx>
            <c:strRef>
              <c:f>' MixCon Even T40H80U75'!$AQ$77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val>
            <c:numRef>
              <c:f>' MixCon Even T40H80U75'!$AQ$78:$AQ$318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0.00900648411541453</c:v>
                </c:pt>
                <c:pt idx="42" formatCode="0">
                  <c:v>0.0178753018959328</c:v>
                </c:pt>
                <c:pt idx="43" formatCode="0">
                  <c:v>0.0266085576054963</c:v>
                </c:pt>
                <c:pt idx="44" formatCode="0">
                  <c:v>0.0352083233438524</c:v>
                </c:pt>
                <c:pt idx="45" formatCode="0">
                  <c:v>0.0436766395381917</c:v>
                </c:pt>
                <c:pt idx="46" formatCode="0">
                  <c:v>0.0520155154272712</c:v>
                </c:pt>
                <c:pt idx="47" formatCode="0">
                  <c:v>0.0602269295381369</c:v>
                </c:pt>
                <c:pt idx="48" formatCode="0">
                  <c:v>0.0683128301555604</c:v>
                </c:pt>
                <c:pt idx="49" formatCode="0">
                  <c:v>0.0762751357842989</c:v>
                </c:pt>
                <c:pt idx="50" formatCode="0">
                  <c:v>0.0841157356042907</c:v>
                </c:pt>
                <c:pt idx="51" formatCode="0">
                  <c:v>0.0918364899188915</c:v>
                </c:pt>
                <c:pt idx="52" formatCode="0">
                  <c:v>0.0994392305962611</c:v>
                </c:pt>
                <c:pt idx="53" formatCode="0">
                  <c:v>0.106925761504002</c:v>
                </c:pt>
                <c:pt idx="54" formatCode="0">
                  <c:v>0.114297858937153</c:v>
                </c:pt>
                <c:pt idx="55" formatCode="0">
                  <c:v>0.121557272039648</c:v>
                </c:pt>
                <c:pt idx="56" formatCode="0">
                  <c:v>0.12870572321932</c:v>
                </c:pt>
                <c:pt idx="57" formatCode="0">
                  <c:v>0.135744908556574</c:v>
                </c:pt>
                <c:pt idx="58" formatCode="0">
                  <c:v>0.142676498206809</c:v>
                </c:pt>
                <c:pt idx="59" formatCode="0">
                  <c:v>0.149502136796682</c:v>
                </c:pt>
                <c:pt idx="60" formatCode="0">
                  <c:v>0.156223443814329</c:v>
                </c:pt>
                <c:pt idx="61" formatCode="0">
                  <c:v>0.162842013993607</c:v>
                </c:pt>
                <c:pt idx="62" formatCode="0">
                  <c:v>0.169359417692475</c:v>
                </c:pt>
                <c:pt idx="63" formatCode="0">
                  <c:v>0.175777201265579</c:v>
                </c:pt>
                <c:pt idx="64" formatCode="0">
                  <c:v>0.182096887431155</c:v>
                </c:pt>
                <c:pt idx="65" formatCode="0">
                  <c:v>0.188319975632313</c:v>
                </c:pt>
                <c:pt idx="66" formatCode="0">
                  <c:v>0.194447942392806</c:v>
                </c:pt>
                <c:pt idx="67" formatCode="0">
                  <c:v>0.200482241667355</c:v>
                </c:pt>
                <c:pt idx="68" formatCode="0">
                  <c:v>0.206424305186625</c:v>
                </c:pt>
                <c:pt idx="69" formatCode="0">
                  <c:v>0.212275542796923</c:v>
                </c:pt>
                <c:pt idx="70" formatCode="0">
                  <c:v>0.218037342794709</c:v>
                </c:pt>
                <c:pt idx="71" formatCode="0">
                  <c:v>0.223711072255986</c:v>
                </c:pt>
                <c:pt idx="72" formatCode="0">
                  <c:v>0.229298077360665</c:v>
                </c:pt>
                <c:pt idx="73" formatCode="0">
                  <c:v>0.234799683711962</c:v>
                </c:pt>
                <c:pt idx="74" formatCode="0">
                  <c:v>0.240217196650921</c:v>
                </c:pt>
                <c:pt idx="75" formatCode="0">
                  <c:v>0.245551901566128</c:v>
                </c:pt>
                <c:pt idx="76" formatCode="0">
                  <c:v>0.250805064198684</c:v>
                </c:pt>
                <c:pt idx="77" formatCode="0">
                  <c:v>0.255977930942526</c:v>
                </c:pt>
                <c:pt idx="78" formatCode="0">
                  <c:v>0.261071729140151</c:v>
                </c:pt>
                <c:pt idx="79" formatCode="0">
                  <c:v>0.266087667373823</c:v>
                </c:pt>
                <c:pt idx="80" formatCode="0">
                  <c:v>0.271026935752328</c:v>
                </c:pt>
                <c:pt idx="81" formatCode="0">
                  <c:v>0.471742776202486</c:v>
                </c:pt>
                <c:pt idx="82" formatCode="0">
                  <c:v>0.66939062544139</c:v>
                </c:pt>
                <c:pt idx="83" formatCode="0">
                  <c:v>0.864017378472699</c:v>
                </c:pt>
                <c:pt idx="84" formatCode="0">
                  <c:v>1.055669213498354</c:v>
                </c:pt>
                <c:pt idx="85" formatCode="0">
                  <c:v>1.244391602875074</c:v>
                </c:pt>
                <c:pt idx="86" formatCode="0">
                  <c:v>1.430229323903366</c:v>
                </c:pt>
                <c:pt idx="87" formatCode="0">
                  <c:v>1.613226469451638</c:v>
                </c:pt>
                <c:pt idx="88" formatCode="0">
                  <c:v>1.79342645841791</c:v>
                </c:pt>
                <c:pt idx="89" formatCode="0">
                  <c:v>1.970872046031621</c:v>
                </c:pt>
                <c:pt idx="90" formatCode="0">
                  <c:v>2.145605333997962</c:v>
                </c:pt>
                <c:pt idx="91" formatCode="0">
                  <c:v>2.317667780487156</c:v>
                </c:pt>
                <c:pt idx="92" formatCode="0">
                  <c:v>2.487100209971057</c:v>
                </c:pt>
                <c:pt idx="93" formatCode="0">
                  <c:v>2.653942822909379</c:v>
                </c:pt>
                <c:pt idx="94" formatCode="0">
                  <c:v>2.818235205287872</c:v>
                </c:pt>
                <c:pt idx="95" formatCode="0">
                  <c:v>2.980016338010718</c:v>
                </c:pt>
                <c:pt idx="96" formatCode="0">
                  <c:v>3.13932460614935</c:v>
                </c:pt>
                <c:pt idx="97" formatCode="0">
                  <c:v>3.296197808049893</c:v>
                </c:pt>
                <c:pt idx="98" formatCode="0">
                  <c:v>3.450673164301421</c:v>
                </c:pt>
                <c:pt idx="99" formatCode="0">
                  <c:v>3.602787326567103</c:v>
                </c:pt>
                <c:pt idx="100" formatCode="0">
                  <c:v>3.752576386280381</c:v>
                </c:pt>
                <c:pt idx="101" formatCode="0">
                  <c:v>3.900075883208223</c:v>
                </c:pt>
                <c:pt idx="102" formatCode="0">
                  <c:v>4.045320813883474</c:v>
                </c:pt>
                <c:pt idx="103" formatCode="0">
                  <c:v>4.188345639908334</c:v>
                </c:pt>
                <c:pt idx="104" formatCode="0">
                  <c:v>4.329184296130895</c:v>
                </c:pt>
                <c:pt idx="105" formatCode="0">
                  <c:v>4.46787019869671</c:v>
                </c:pt>
                <c:pt idx="106" formatCode="0">
                  <c:v>4.604436252977294</c:v>
                </c:pt>
                <c:pt idx="107" formatCode="0">
                  <c:v>4.738914861377433</c:v>
                </c:pt>
                <c:pt idx="108" formatCode="0">
                  <c:v>4.871337931023137</c:v>
                </c:pt>
                <c:pt idx="109" formatCode="0">
                  <c:v>5.00173688133213</c:v>
                </c:pt>
                <c:pt idx="110" formatCode="0">
                  <c:v>5.130142651468557</c:v>
                </c:pt>
                <c:pt idx="111" formatCode="0">
                  <c:v>5.256585707683804</c:v>
                </c:pt>
                <c:pt idx="112" formatCode="0">
                  <c:v>5.381096050545075</c:v>
                </c:pt>
                <c:pt idx="113" formatCode="0">
                  <c:v>5.503703222053494</c:v>
                </c:pt>
                <c:pt idx="114" formatCode="0">
                  <c:v>5.624436312653397</c:v>
                </c:pt>
                <c:pt idx="115" formatCode="0">
                  <c:v>5.74332396813449</c:v>
                </c:pt>
                <c:pt idx="116" formatCode="0">
                  <c:v>5.860394396428506</c:v>
                </c:pt>
                <c:pt idx="117" formatCode="0">
                  <c:v>5.975675374301978</c:v>
                </c:pt>
                <c:pt idx="118" formatCode="0">
                  <c:v>6.089194253946695</c:v>
                </c:pt>
                <c:pt idx="119" formatCode="0">
                  <c:v>6.200977969469434</c:v>
                </c:pt>
                <c:pt idx="120" formatCode="0">
                  <c:v>6.3110530432825</c:v>
                </c:pt>
                <c:pt idx="121" formatCode="0">
                  <c:v>6.419445592396573</c:v>
                </c:pt>
                <c:pt idx="122" formatCode="0">
                  <c:v>6.526181334617373</c:v>
                </c:pt>
                <c:pt idx="123" formatCode="0">
                  <c:v>6.631285594647599</c:v>
                </c:pt>
                <c:pt idx="124" formatCode="0">
                  <c:v>6.73478331009562</c:v>
                </c:pt>
                <c:pt idx="125" formatCode="0">
                  <c:v>6.836699037392295</c:v>
                </c:pt>
                <c:pt idx="126" formatCode="0">
                  <c:v>6.937056957617374</c:v>
                </c:pt>
                <c:pt idx="127" formatCode="0">
                  <c:v>7.035880882236826</c:v>
                </c:pt>
                <c:pt idx="128" formatCode="0">
                  <c:v>7.13319425875248</c:v>
                </c:pt>
                <c:pt idx="129" formatCode="0">
                  <c:v>7.229020176265307</c:v>
                </c:pt>
                <c:pt idx="130" formatCode="0">
                  <c:v>7.323381370953669</c:v>
                </c:pt>
                <c:pt idx="131" formatCode="0">
                  <c:v>7.416300231467813</c:v>
                </c:pt>
                <c:pt idx="132" formatCode="0">
                  <c:v>7.507798804241951</c:v>
                </c:pt>
                <c:pt idx="133" formatCode="0">
                  <c:v>7.597898798725088</c:v>
                </c:pt>
                <c:pt idx="134" formatCode="0">
                  <c:v>7.686621592531942</c:v>
                </c:pt>
                <c:pt idx="135" formatCode="0">
                  <c:v>7.773988236515113</c:v>
                </c:pt>
                <c:pt idx="136" formatCode="0">
                  <c:v>7.86001945975971</c:v>
                </c:pt>
                <c:pt idx="137" formatCode="0">
                  <c:v>7.94473567450166</c:v>
                </c:pt>
                <c:pt idx="138" formatCode="0">
                  <c:v>8.02815698097082</c:v>
                </c:pt>
                <c:pt idx="139" formatCode="0">
                  <c:v>8.110303172160068</c:v>
                </c:pt>
                <c:pt idx="140" formatCode="0">
                  <c:v>8.191193738521491</c:v>
                </c:pt>
                <c:pt idx="141" formatCode="0">
                  <c:v>8.270847872590807</c:v>
                </c:pt>
                <c:pt idx="142" formatCode="0">
                  <c:v>8.349284473541077</c:v>
                </c:pt>
                <c:pt idx="143" formatCode="0">
                  <c:v>8.42652215166684</c:v>
                </c:pt>
                <c:pt idx="144" formatCode="0">
                  <c:v>8.50257923279968</c:v>
                </c:pt>
                <c:pt idx="145" formatCode="0">
                  <c:v>8.577473762656322</c:v>
                </c:pt>
                <c:pt idx="146" formatCode="0">
                  <c:v>8.651223511120242</c:v>
                </c:pt>
                <c:pt idx="147" formatCode="0">
                  <c:v>8.72384597645787</c:v>
                </c:pt>
                <c:pt idx="148" formatCode="0">
                  <c:v>8.7953583894703</c:v>
                </c:pt>
                <c:pt idx="149" formatCode="0">
                  <c:v>8.86577771758158</c:v>
                </c:pt>
                <c:pt idx="150" formatCode="0">
                  <c:v>8.935120668864485</c:v>
                </c:pt>
                <c:pt idx="151" formatCode="0">
                  <c:v>9.003403696004777</c:v>
                </c:pt>
                <c:pt idx="152" formatCode="0">
                  <c:v>9.070643000204848</c:v>
                </c:pt>
                <c:pt idx="153" formatCode="0">
                  <c:v>9.1368545350277</c:v>
                </c:pt>
                <c:pt idx="154" formatCode="0">
                  <c:v>9.202054010182195</c:v>
                </c:pt>
                <c:pt idx="155" formatCode="0">
                  <c:v>9.26625689525041</c:v>
                </c:pt>
                <c:pt idx="156" formatCode="0">
                  <c:v>9.329478423358035</c:v>
                </c:pt>
                <c:pt idx="157" formatCode="0">
                  <c:v>9.39173359478867</c:v>
                </c:pt>
                <c:pt idx="158" formatCode="0">
                  <c:v>9.45303718054288</c:v>
                </c:pt>
                <c:pt idx="159" formatCode="0">
                  <c:v>9.513403725842831</c:v>
                </c:pt>
                <c:pt idx="160" formatCode="0">
                  <c:v>9.572847553583377</c:v>
                </c:pt>
                <c:pt idx="161" formatCode="0">
                  <c:v>9.133534561116412</c:v>
                </c:pt>
                <c:pt idx="162" formatCode="0">
                  <c:v>9.414285735380897</c:v>
                </c:pt>
                <c:pt idx="163" formatCode="0">
                  <c:v>9.690745558582795</c:v>
                </c:pt>
                <c:pt idx="164" formatCode="0">
                  <c:v>9.962979625083354</c:v>
                </c:pt>
                <c:pt idx="165" formatCode="0">
                  <c:v>10.23105252661778</c:v>
                </c:pt>
                <c:pt idx="166" formatCode="0">
                  <c:v>10.49502786762068</c:v>
                </c:pt>
                <c:pt idx="167" formatCode="0">
                  <c:v>10.75496828031713</c:v>
                </c:pt>
                <c:pt idx="168" formatCode="0">
                  <c:v>11.01093543958318</c:v>
                </c:pt>
                <c:pt idx="169" formatCode="0">
                  <c:v>11.26299007757918</c:v>
                </c:pt>
                <c:pt idx="170" formatCode="0">
                  <c:v>11.5111919981594</c:v>
                </c:pt>
                <c:pt idx="171" formatCode="0">
                  <c:v>11.7556000910614</c:v>
                </c:pt>
                <c:pt idx="172" formatCode="0">
                  <c:v>11.99627234587855</c:v>
                </c:pt>
                <c:pt idx="173" formatCode="0">
                  <c:v>12.23326586581901</c:v>
                </c:pt>
                <c:pt idx="174" formatCode="0">
                  <c:v>12.46663688125424</c:v>
                </c:pt>
                <c:pt idx="175" formatCode="0">
                  <c:v>12.69644076306059</c:v>
                </c:pt>
                <c:pt idx="176" formatCode="0">
                  <c:v>12.92273203575691</c:v>
                </c:pt>
                <c:pt idx="177" formatCode="0">
                  <c:v>13.14556439044128</c:v>
                </c:pt>
                <c:pt idx="178" formatCode="0">
                  <c:v>13.3649906975301</c:v>
                </c:pt>
                <c:pt idx="179" formatCode="0">
                  <c:v>13.58106301930238</c:v>
                </c:pt>
                <c:pt idx="180" formatCode="0">
                  <c:v>13.79383262225235</c:v>
                </c:pt>
                <c:pt idx="181" formatCode="0">
                  <c:v>14.00334998925318</c:v>
                </c:pt>
                <c:pt idx="182" formatCode="0">
                  <c:v>14.20966483153487</c:v>
                </c:pt>
                <c:pt idx="183" formatCode="0">
                  <c:v>14.41282610047899</c:v>
                </c:pt>
                <c:pt idx="184" formatCode="0">
                  <c:v>14.61288199923315</c:v>
                </c:pt>
                <c:pt idx="185" formatCode="0">
                  <c:v>14.80987999414793</c:v>
                </c:pt>
                <c:pt idx="186" formatCode="0">
                  <c:v>15.00386682603902</c:v>
                </c:pt>
                <c:pt idx="187" formatCode="0">
                  <c:v>15.19488852127717</c:v>
                </c:pt>
                <c:pt idx="188" formatCode="0">
                  <c:v>15.38299040270874</c:v>
                </c:pt>
                <c:pt idx="189" formatCode="0">
                  <c:v>15.56821710040912</c:v>
                </c:pt>
                <c:pt idx="190" formatCode="0">
                  <c:v>15.75061256227201</c:v>
                </c:pt>
                <c:pt idx="191" formatCode="0">
                  <c:v>15.93022006443669</c:v>
                </c:pt>
                <c:pt idx="192" formatCode="0">
                  <c:v>16.10708222155596</c:v>
                </c:pt>
                <c:pt idx="193" formatCode="0">
                  <c:v>16.2812409969071</c:v>
                </c:pt>
                <c:pt idx="194" formatCode="0">
                  <c:v>16.45273771234837</c:v>
                </c:pt>
                <c:pt idx="195" formatCode="0">
                  <c:v>16.62161305812318</c:v>
                </c:pt>
                <c:pt idx="196" formatCode="0">
                  <c:v>16.78790710251454</c:v>
                </c:pt>
                <c:pt idx="197" formatCode="0">
                  <c:v>16.95165930135185</c:v>
                </c:pt>
                <c:pt idx="198" formatCode="0">
                  <c:v>17.1129085073724</c:v>
                </c:pt>
                <c:pt idx="199" formatCode="0">
                  <c:v>17.2716929794398</c:v>
                </c:pt>
                <c:pt idx="200" formatCode="0">
                  <c:v>17.42805039162147</c:v>
                </c:pt>
                <c:pt idx="201" formatCode="0">
                  <c:v>17.58201784212741</c:v>
                </c:pt>
                <c:pt idx="202" formatCode="0">
                  <c:v>17.73363186211231</c:v>
                </c:pt>
                <c:pt idx="203" formatCode="0">
                  <c:v>17.88292842434314</c:v>
                </c:pt>
                <c:pt idx="204" formatCode="0">
                  <c:v>18.02994295173423</c:v>
                </c:pt>
                <c:pt idx="205" formatCode="0">
                  <c:v>18.17471032575192</c:v>
                </c:pt>
                <c:pt idx="206" formatCode="0">
                  <c:v>18.31726489469072</c:v>
                </c:pt>
                <c:pt idx="207" formatCode="0">
                  <c:v>18.45764048182296</c:v>
                </c:pt>
                <c:pt idx="208" formatCode="0">
                  <c:v>18.59587039342392</c:v>
                </c:pt>
                <c:pt idx="209" formatCode="0">
                  <c:v>18.7319874266742</c:v>
                </c:pt>
                <c:pt idx="210" formatCode="0">
                  <c:v>18.86602387744141</c:v>
                </c:pt>
                <c:pt idx="211" formatCode="0">
                  <c:v>18.99801154794285</c:v>
                </c:pt>
                <c:pt idx="212" formatCode="0">
                  <c:v>19.12798175429107</c:v>
                </c:pt>
                <c:pt idx="213" formatCode="0">
                  <c:v>19.25596533392411</c:v>
                </c:pt>
                <c:pt idx="214" formatCode="0">
                  <c:v>19.38199265292211</c:v>
                </c:pt>
                <c:pt idx="215" formatCode="0">
                  <c:v>19.50609361321221</c:v>
                </c:pt>
                <c:pt idx="216" formatCode="0">
                  <c:v>19.62829765966321</c:v>
                </c:pt>
                <c:pt idx="217" formatCode="0">
                  <c:v>19.74863378707179</c:v>
                </c:pt>
                <c:pt idx="218" formatCode="0">
                  <c:v>19.86713054704202</c:v>
                </c:pt>
                <c:pt idx="219" formatCode="0">
                  <c:v>19.98381605475963</c:v>
                </c:pt>
                <c:pt idx="220" formatCode="0">
                  <c:v>20.09871799566281</c:v>
                </c:pt>
                <c:pt idx="221" formatCode="0">
                  <c:v>20.21186363201096</c:v>
                </c:pt>
                <c:pt idx="222" formatCode="0">
                  <c:v>20.32327980935315</c:v>
                </c:pt>
                <c:pt idx="223" formatCode="0">
                  <c:v>20.43299296289756</c:v>
                </c:pt>
                <c:pt idx="224" formatCode="0">
                  <c:v>20.54102912378371</c:v>
                </c:pt>
                <c:pt idx="225" formatCode="0">
                  <c:v>20.64741392525869</c:v>
                </c:pt>
                <c:pt idx="226" formatCode="0">
                  <c:v>20.7521726087591</c:v>
                </c:pt>
                <c:pt idx="227" formatCode="0">
                  <c:v>20.85533002989995</c:v>
                </c:pt>
                <c:pt idx="228" formatCode="0">
                  <c:v>20.95691066437201</c:v>
                </c:pt>
                <c:pt idx="229" formatCode="0">
                  <c:v>21.05693861374909</c:v>
                </c:pt>
                <c:pt idx="230" formatCode="0">
                  <c:v>21.15543761120648</c:v>
                </c:pt>
                <c:pt idx="231" formatCode="0">
                  <c:v>21.25243102715202</c:v>
                </c:pt>
                <c:pt idx="232" formatCode="0">
                  <c:v>21.3479418747711</c:v>
                </c:pt>
                <c:pt idx="233" formatCode="0">
                  <c:v>21.44199281548688</c:v>
                </c:pt>
                <c:pt idx="234" formatCode="0">
                  <c:v>21.53460616433707</c:v>
                </c:pt>
                <c:pt idx="235" formatCode="0">
                  <c:v>21.62580389526852</c:v>
                </c:pt>
                <c:pt idx="236" formatCode="0">
                  <c:v>21.71560764635086</c:v>
                </c:pt>
                <c:pt idx="237" formatCode="0">
                  <c:v>21.8040387249105</c:v>
                </c:pt>
                <c:pt idx="238" formatCode="0">
                  <c:v>21.89111811258606</c:v>
                </c:pt>
                <c:pt idx="239" formatCode="0">
                  <c:v>21.9768664703067</c:v>
                </c:pt>
                <c:pt idx="240" formatCode="0">
                  <c:v>22.0613041431941</c:v>
                </c:pt>
              </c:numCache>
            </c:numRef>
          </c:val>
        </c:ser>
        <c:ser>
          <c:idx val="8"/>
          <c:order val="8"/>
          <c:tx>
            <c:strRef>
              <c:f>' MixCon Even T40H80U75'!$AR$77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val>
            <c:numRef>
              <c:f>' MixCon Even T40H80U75'!$AR$78:$AR$318</c:f>
              <c:numCache>
                <c:formatCode>General</c:formatCode>
                <c:ptCount val="241"/>
                <c:pt idx="40" formatCode="0">
                  <c:v>1.343438133191928</c:v>
                </c:pt>
                <c:pt idx="41" formatCode="0">
                  <c:v>1.343438133191928</c:v>
                </c:pt>
                <c:pt idx="42" formatCode="0">
                  <c:v>1.343438133191928</c:v>
                </c:pt>
                <c:pt idx="43" formatCode="0">
                  <c:v>1.343438133191928</c:v>
                </c:pt>
                <c:pt idx="44" formatCode="0">
                  <c:v>1.343438133191928</c:v>
                </c:pt>
                <c:pt idx="45" formatCode="0">
                  <c:v>1.343438133191928</c:v>
                </c:pt>
                <c:pt idx="46" formatCode="0">
                  <c:v>1.343438133191928</c:v>
                </c:pt>
                <c:pt idx="47" formatCode="0">
                  <c:v>1.343438133191928</c:v>
                </c:pt>
                <c:pt idx="48" formatCode="0">
                  <c:v>1.343438133191928</c:v>
                </c:pt>
                <c:pt idx="49" formatCode="0">
                  <c:v>1.343438133191928</c:v>
                </c:pt>
                <c:pt idx="50" formatCode="0">
                  <c:v>1.343438133191928</c:v>
                </c:pt>
                <c:pt idx="51" formatCode="0">
                  <c:v>1.343438133191928</c:v>
                </c:pt>
                <c:pt idx="52" formatCode="0">
                  <c:v>1.343438133191928</c:v>
                </c:pt>
                <c:pt idx="53" formatCode="0">
                  <c:v>1.343438133191928</c:v>
                </c:pt>
                <c:pt idx="54" formatCode="0">
                  <c:v>1.343438133191928</c:v>
                </c:pt>
                <c:pt idx="55" formatCode="0">
                  <c:v>1.343438133191928</c:v>
                </c:pt>
                <c:pt idx="56" formatCode="0">
                  <c:v>1.343438133191928</c:v>
                </c:pt>
                <c:pt idx="57" formatCode="0">
                  <c:v>1.343438133191928</c:v>
                </c:pt>
                <c:pt idx="58" formatCode="0">
                  <c:v>1.343438133191928</c:v>
                </c:pt>
                <c:pt idx="59" formatCode="0">
                  <c:v>1.343438133191928</c:v>
                </c:pt>
                <c:pt idx="60" formatCode="0">
                  <c:v>1.343438133191928</c:v>
                </c:pt>
                <c:pt idx="61" formatCode="0">
                  <c:v>1.343438133191928</c:v>
                </c:pt>
                <c:pt idx="62" formatCode="0">
                  <c:v>1.343438133191928</c:v>
                </c:pt>
                <c:pt idx="63" formatCode="0">
                  <c:v>1.343438133191928</c:v>
                </c:pt>
                <c:pt idx="64" formatCode="0">
                  <c:v>1.343438133191928</c:v>
                </c:pt>
                <c:pt idx="65" formatCode="0">
                  <c:v>1.343438133191928</c:v>
                </c:pt>
                <c:pt idx="66" formatCode="0">
                  <c:v>1.343438133191928</c:v>
                </c:pt>
                <c:pt idx="67" formatCode="0">
                  <c:v>1.343438133191928</c:v>
                </c:pt>
                <c:pt idx="68" formatCode="0">
                  <c:v>1.343438133191928</c:v>
                </c:pt>
                <c:pt idx="69" formatCode="0">
                  <c:v>1.343438133191928</c:v>
                </c:pt>
                <c:pt idx="70" formatCode="0">
                  <c:v>1.343438133191928</c:v>
                </c:pt>
                <c:pt idx="71" formatCode="0">
                  <c:v>1.343438133191928</c:v>
                </c:pt>
                <c:pt idx="72" formatCode="0">
                  <c:v>1.343438133191928</c:v>
                </c:pt>
                <c:pt idx="73" formatCode="0">
                  <c:v>1.343438133191928</c:v>
                </c:pt>
                <c:pt idx="74" formatCode="0">
                  <c:v>1.343438133191928</c:v>
                </c:pt>
                <c:pt idx="75" formatCode="0">
                  <c:v>1.343438133191928</c:v>
                </c:pt>
                <c:pt idx="76" formatCode="0">
                  <c:v>1.343438133191928</c:v>
                </c:pt>
                <c:pt idx="77" formatCode="0">
                  <c:v>1.343438133191928</c:v>
                </c:pt>
                <c:pt idx="78" formatCode="0">
                  <c:v>1.343438133191928</c:v>
                </c:pt>
                <c:pt idx="79" formatCode="0">
                  <c:v>1.343438133191928</c:v>
                </c:pt>
                <c:pt idx="80" formatCode="0">
                  <c:v>23.25391418104315</c:v>
                </c:pt>
                <c:pt idx="81" formatCode="0">
                  <c:v>23.25391418104315</c:v>
                </c:pt>
                <c:pt idx="82" formatCode="0">
                  <c:v>23.25391418104315</c:v>
                </c:pt>
                <c:pt idx="83" formatCode="0">
                  <c:v>23.25391418104315</c:v>
                </c:pt>
                <c:pt idx="84" formatCode="0">
                  <c:v>23.25391418104315</c:v>
                </c:pt>
                <c:pt idx="85" formatCode="0">
                  <c:v>23.25391418104315</c:v>
                </c:pt>
                <c:pt idx="86" formatCode="0">
                  <c:v>23.25391418104315</c:v>
                </c:pt>
                <c:pt idx="87" formatCode="0">
                  <c:v>23.25391418104315</c:v>
                </c:pt>
                <c:pt idx="88" formatCode="0">
                  <c:v>23.25391418104315</c:v>
                </c:pt>
                <c:pt idx="89" formatCode="0">
                  <c:v>23.25391418104315</c:v>
                </c:pt>
                <c:pt idx="90" formatCode="0">
                  <c:v>23.25391418104315</c:v>
                </c:pt>
                <c:pt idx="91" formatCode="0">
                  <c:v>23.25391418104315</c:v>
                </c:pt>
                <c:pt idx="92" formatCode="0">
                  <c:v>23.25391418104315</c:v>
                </c:pt>
                <c:pt idx="93" formatCode="0">
                  <c:v>23.25391418104315</c:v>
                </c:pt>
                <c:pt idx="94" formatCode="0">
                  <c:v>23.25391418104315</c:v>
                </c:pt>
                <c:pt idx="95" formatCode="0">
                  <c:v>23.25391418104315</c:v>
                </c:pt>
                <c:pt idx="96" formatCode="0">
                  <c:v>23.25391418104315</c:v>
                </c:pt>
                <c:pt idx="97" formatCode="0">
                  <c:v>23.25391418104315</c:v>
                </c:pt>
                <c:pt idx="98" formatCode="0">
                  <c:v>23.25391418104315</c:v>
                </c:pt>
                <c:pt idx="99" formatCode="0">
                  <c:v>23.25391418104315</c:v>
                </c:pt>
                <c:pt idx="100" formatCode="0">
                  <c:v>23.25391418104315</c:v>
                </c:pt>
                <c:pt idx="101" formatCode="0">
                  <c:v>23.25391418104315</c:v>
                </c:pt>
                <c:pt idx="102" formatCode="0">
                  <c:v>23.25391418104315</c:v>
                </c:pt>
                <c:pt idx="103" formatCode="0">
                  <c:v>23.25391418104315</c:v>
                </c:pt>
                <c:pt idx="104" formatCode="0">
                  <c:v>23.25391418104315</c:v>
                </c:pt>
                <c:pt idx="105" formatCode="0">
                  <c:v>23.25391418104315</c:v>
                </c:pt>
                <c:pt idx="106" formatCode="0">
                  <c:v>23.25391418104315</c:v>
                </c:pt>
                <c:pt idx="107" formatCode="0">
                  <c:v>23.25391418104315</c:v>
                </c:pt>
                <c:pt idx="108" formatCode="0">
                  <c:v>23.25391418104315</c:v>
                </c:pt>
                <c:pt idx="109" formatCode="0">
                  <c:v>23.25391418104315</c:v>
                </c:pt>
                <c:pt idx="110" formatCode="0">
                  <c:v>23.25391418104315</c:v>
                </c:pt>
                <c:pt idx="111" formatCode="0">
                  <c:v>23.25391418104315</c:v>
                </c:pt>
                <c:pt idx="112" formatCode="0">
                  <c:v>23.25391418104315</c:v>
                </c:pt>
                <c:pt idx="113" formatCode="0">
                  <c:v>23.25391418104315</c:v>
                </c:pt>
                <c:pt idx="114" formatCode="0">
                  <c:v>23.25391418104315</c:v>
                </c:pt>
                <c:pt idx="115" formatCode="0">
                  <c:v>23.25391418104315</c:v>
                </c:pt>
                <c:pt idx="116" formatCode="0">
                  <c:v>23.25391418104315</c:v>
                </c:pt>
                <c:pt idx="117" formatCode="0">
                  <c:v>23.25391418104315</c:v>
                </c:pt>
                <c:pt idx="118" formatCode="0">
                  <c:v>23.25391418104315</c:v>
                </c:pt>
                <c:pt idx="119" formatCode="0">
                  <c:v>23.25391418104315</c:v>
                </c:pt>
                <c:pt idx="120" formatCode="0">
                  <c:v>23.25391418104315</c:v>
                </c:pt>
                <c:pt idx="121" formatCode="0">
                  <c:v>23.25391418104315</c:v>
                </c:pt>
                <c:pt idx="122" formatCode="0">
                  <c:v>23.25391418104315</c:v>
                </c:pt>
                <c:pt idx="123" formatCode="0">
                  <c:v>23.25391418104315</c:v>
                </c:pt>
                <c:pt idx="124" formatCode="0">
                  <c:v>23.25391418104315</c:v>
                </c:pt>
                <c:pt idx="125" formatCode="0">
                  <c:v>23.25391418104315</c:v>
                </c:pt>
                <c:pt idx="126" formatCode="0">
                  <c:v>23.25391418104315</c:v>
                </c:pt>
                <c:pt idx="127" formatCode="0">
                  <c:v>23.25391418104315</c:v>
                </c:pt>
                <c:pt idx="128" formatCode="0">
                  <c:v>23.25391418104315</c:v>
                </c:pt>
                <c:pt idx="129" formatCode="0">
                  <c:v>23.25391418104315</c:v>
                </c:pt>
                <c:pt idx="130" formatCode="0">
                  <c:v>23.25391418104315</c:v>
                </c:pt>
                <c:pt idx="131" formatCode="0">
                  <c:v>23.25391418104315</c:v>
                </c:pt>
                <c:pt idx="132" formatCode="0">
                  <c:v>23.25391418104315</c:v>
                </c:pt>
                <c:pt idx="133" formatCode="0">
                  <c:v>23.25391418104315</c:v>
                </c:pt>
                <c:pt idx="134" formatCode="0">
                  <c:v>23.25391418104315</c:v>
                </c:pt>
                <c:pt idx="135" formatCode="0">
                  <c:v>23.25391418104315</c:v>
                </c:pt>
                <c:pt idx="136" formatCode="0">
                  <c:v>23.25391418104315</c:v>
                </c:pt>
                <c:pt idx="137" formatCode="0">
                  <c:v>23.25391418104315</c:v>
                </c:pt>
                <c:pt idx="138" formatCode="0">
                  <c:v>23.25391418104315</c:v>
                </c:pt>
                <c:pt idx="139" formatCode="0">
                  <c:v>23.25391418104315</c:v>
                </c:pt>
                <c:pt idx="140" formatCode="0">
                  <c:v>23.25391418104315</c:v>
                </c:pt>
                <c:pt idx="141" formatCode="0">
                  <c:v>23.25391418104315</c:v>
                </c:pt>
                <c:pt idx="142" formatCode="0">
                  <c:v>23.25391418104315</c:v>
                </c:pt>
                <c:pt idx="143" formatCode="0">
                  <c:v>23.25391418104315</c:v>
                </c:pt>
                <c:pt idx="144" formatCode="0">
                  <c:v>23.25391418104315</c:v>
                </c:pt>
                <c:pt idx="145" formatCode="0">
                  <c:v>23.25391418104315</c:v>
                </c:pt>
                <c:pt idx="146" formatCode="0">
                  <c:v>23.25391418104315</c:v>
                </c:pt>
                <c:pt idx="147" formatCode="0">
                  <c:v>23.25391418104315</c:v>
                </c:pt>
                <c:pt idx="148" formatCode="0">
                  <c:v>23.25391418104315</c:v>
                </c:pt>
                <c:pt idx="149" formatCode="0">
                  <c:v>23.25391418104315</c:v>
                </c:pt>
                <c:pt idx="150" formatCode="0">
                  <c:v>23.25391418104315</c:v>
                </c:pt>
                <c:pt idx="151" formatCode="0">
                  <c:v>23.25391418104315</c:v>
                </c:pt>
                <c:pt idx="152" formatCode="0">
                  <c:v>23.25391418104315</c:v>
                </c:pt>
                <c:pt idx="153" formatCode="0">
                  <c:v>23.25391418104315</c:v>
                </c:pt>
                <c:pt idx="154" formatCode="0">
                  <c:v>23.25391418104315</c:v>
                </c:pt>
                <c:pt idx="155" formatCode="0">
                  <c:v>23.25391418104315</c:v>
                </c:pt>
                <c:pt idx="156" formatCode="0">
                  <c:v>23.25391418104315</c:v>
                </c:pt>
                <c:pt idx="157" formatCode="0">
                  <c:v>23.25391418104315</c:v>
                </c:pt>
                <c:pt idx="158" formatCode="0">
                  <c:v>23.25391418104315</c:v>
                </c:pt>
                <c:pt idx="159" formatCode="0">
                  <c:v>23.25391418104315</c:v>
                </c:pt>
                <c:pt idx="160" formatCode="0">
                  <c:v>23.25391418104315</c:v>
                </c:pt>
                <c:pt idx="161" formatCode="0">
                  <c:v>36.15505377202963</c:v>
                </c:pt>
                <c:pt idx="162" formatCode="0">
                  <c:v>36.15505377202963</c:v>
                </c:pt>
                <c:pt idx="163" formatCode="0">
                  <c:v>36.15505377202963</c:v>
                </c:pt>
                <c:pt idx="164" formatCode="0">
                  <c:v>36.15505377202963</c:v>
                </c:pt>
                <c:pt idx="165" formatCode="0">
                  <c:v>36.15505377202963</c:v>
                </c:pt>
                <c:pt idx="166" formatCode="0">
                  <c:v>36.15505377202963</c:v>
                </c:pt>
                <c:pt idx="167" formatCode="0">
                  <c:v>36.15505377202963</c:v>
                </c:pt>
                <c:pt idx="168" formatCode="0">
                  <c:v>36.15505377202963</c:v>
                </c:pt>
                <c:pt idx="169" formatCode="0">
                  <c:v>36.15505377202963</c:v>
                </c:pt>
                <c:pt idx="170" formatCode="0">
                  <c:v>36.15505377202963</c:v>
                </c:pt>
                <c:pt idx="171" formatCode="0">
                  <c:v>36.15505377202963</c:v>
                </c:pt>
                <c:pt idx="172" formatCode="0">
                  <c:v>36.15505377202963</c:v>
                </c:pt>
                <c:pt idx="173" formatCode="0">
                  <c:v>36.15505377202963</c:v>
                </c:pt>
                <c:pt idx="174" formatCode="0">
                  <c:v>36.15505377202963</c:v>
                </c:pt>
                <c:pt idx="175" formatCode="0">
                  <c:v>36.15505377202963</c:v>
                </c:pt>
                <c:pt idx="176" formatCode="0">
                  <c:v>36.15505377202963</c:v>
                </c:pt>
                <c:pt idx="177" formatCode="0">
                  <c:v>36.15505377202963</c:v>
                </c:pt>
                <c:pt idx="178" formatCode="0">
                  <c:v>36.15505377202963</c:v>
                </c:pt>
                <c:pt idx="179" formatCode="0">
                  <c:v>36.15505377202963</c:v>
                </c:pt>
                <c:pt idx="180" formatCode="0">
                  <c:v>36.15505377202963</c:v>
                </c:pt>
                <c:pt idx="181" formatCode="0">
                  <c:v>36.15505377202963</c:v>
                </c:pt>
                <c:pt idx="182" formatCode="0">
                  <c:v>36.15505377202963</c:v>
                </c:pt>
                <c:pt idx="183" formatCode="0">
                  <c:v>36.15505377202963</c:v>
                </c:pt>
                <c:pt idx="184" formatCode="0">
                  <c:v>36.15505377202963</c:v>
                </c:pt>
                <c:pt idx="185" formatCode="0">
                  <c:v>36.15505377202963</c:v>
                </c:pt>
                <c:pt idx="186" formatCode="0">
                  <c:v>36.15505377202963</c:v>
                </c:pt>
                <c:pt idx="187" formatCode="0">
                  <c:v>36.15505377202963</c:v>
                </c:pt>
                <c:pt idx="188" formatCode="0">
                  <c:v>36.15505377202963</c:v>
                </c:pt>
                <c:pt idx="189" formatCode="0">
                  <c:v>36.15505377202963</c:v>
                </c:pt>
                <c:pt idx="190" formatCode="0">
                  <c:v>36.15505377202963</c:v>
                </c:pt>
                <c:pt idx="191" formatCode="0">
                  <c:v>36.15505377202963</c:v>
                </c:pt>
                <c:pt idx="192" formatCode="0">
                  <c:v>36.15505377202963</c:v>
                </c:pt>
                <c:pt idx="193" formatCode="0">
                  <c:v>36.15505377202963</c:v>
                </c:pt>
                <c:pt idx="194" formatCode="0">
                  <c:v>36.15505377202963</c:v>
                </c:pt>
                <c:pt idx="195" formatCode="0">
                  <c:v>36.15505377202963</c:v>
                </c:pt>
                <c:pt idx="196" formatCode="0">
                  <c:v>36.15505377202963</c:v>
                </c:pt>
                <c:pt idx="197" formatCode="0">
                  <c:v>36.15505377202963</c:v>
                </c:pt>
                <c:pt idx="198" formatCode="0">
                  <c:v>36.15505377202963</c:v>
                </c:pt>
                <c:pt idx="199" formatCode="0">
                  <c:v>36.15505377202963</c:v>
                </c:pt>
                <c:pt idx="200" formatCode="0">
                  <c:v>36.15505377202963</c:v>
                </c:pt>
                <c:pt idx="201" formatCode="0">
                  <c:v>36.15505377202963</c:v>
                </c:pt>
                <c:pt idx="202" formatCode="0">
                  <c:v>36.15505377202963</c:v>
                </c:pt>
                <c:pt idx="203" formatCode="0">
                  <c:v>36.15505377202963</c:v>
                </c:pt>
                <c:pt idx="204" formatCode="0">
                  <c:v>36.15505377202963</c:v>
                </c:pt>
                <c:pt idx="205" formatCode="0">
                  <c:v>36.15505377202963</c:v>
                </c:pt>
                <c:pt idx="206" formatCode="0">
                  <c:v>36.15505377202963</c:v>
                </c:pt>
                <c:pt idx="207" formatCode="0">
                  <c:v>36.15505377202963</c:v>
                </c:pt>
                <c:pt idx="208" formatCode="0">
                  <c:v>36.15505377202963</c:v>
                </c:pt>
                <c:pt idx="209" formatCode="0">
                  <c:v>36.15505377202963</c:v>
                </c:pt>
                <c:pt idx="210" formatCode="0">
                  <c:v>36.15505377202963</c:v>
                </c:pt>
                <c:pt idx="211" formatCode="0">
                  <c:v>36.15505377202963</c:v>
                </c:pt>
                <c:pt idx="212" formatCode="0">
                  <c:v>36.15505377202963</c:v>
                </c:pt>
                <c:pt idx="213" formatCode="0">
                  <c:v>36.15505377202963</c:v>
                </c:pt>
                <c:pt idx="214" formatCode="0">
                  <c:v>36.15505377202963</c:v>
                </c:pt>
                <c:pt idx="215" formatCode="0">
                  <c:v>36.15505377202963</c:v>
                </c:pt>
                <c:pt idx="216" formatCode="0">
                  <c:v>36.15505377202963</c:v>
                </c:pt>
                <c:pt idx="217" formatCode="0">
                  <c:v>36.15505377202963</c:v>
                </c:pt>
                <c:pt idx="218" formatCode="0">
                  <c:v>36.15505377202963</c:v>
                </c:pt>
                <c:pt idx="219" formatCode="0">
                  <c:v>36.15505377202963</c:v>
                </c:pt>
                <c:pt idx="220" formatCode="0">
                  <c:v>36.15505377202963</c:v>
                </c:pt>
                <c:pt idx="221" formatCode="0">
                  <c:v>36.15505377202963</c:v>
                </c:pt>
                <c:pt idx="222" formatCode="0">
                  <c:v>36.15505377202963</c:v>
                </c:pt>
                <c:pt idx="223" formatCode="0">
                  <c:v>36.15505377202963</c:v>
                </c:pt>
                <c:pt idx="224" formatCode="0">
                  <c:v>36.15505377202963</c:v>
                </c:pt>
                <c:pt idx="225" formatCode="0">
                  <c:v>36.15505377202963</c:v>
                </c:pt>
                <c:pt idx="226" formatCode="0">
                  <c:v>36.15505377202963</c:v>
                </c:pt>
                <c:pt idx="227" formatCode="0">
                  <c:v>36.15505377202963</c:v>
                </c:pt>
                <c:pt idx="228" formatCode="0">
                  <c:v>36.15505377202963</c:v>
                </c:pt>
                <c:pt idx="229" formatCode="0">
                  <c:v>36.15505377202963</c:v>
                </c:pt>
                <c:pt idx="230" formatCode="0">
                  <c:v>36.15505377202963</c:v>
                </c:pt>
                <c:pt idx="231" formatCode="0">
                  <c:v>36.15505377202963</c:v>
                </c:pt>
                <c:pt idx="232" formatCode="0">
                  <c:v>36.15505377202963</c:v>
                </c:pt>
                <c:pt idx="233" formatCode="0">
                  <c:v>36.15505377202963</c:v>
                </c:pt>
                <c:pt idx="234" formatCode="0">
                  <c:v>36.15505377202963</c:v>
                </c:pt>
                <c:pt idx="235" formatCode="0">
                  <c:v>36.15505377202963</c:v>
                </c:pt>
                <c:pt idx="236" formatCode="0">
                  <c:v>36.15505377202963</c:v>
                </c:pt>
                <c:pt idx="237" formatCode="0">
                  <c:v>36.15505377202963</c:v>
                </c:pt>
                <c:pt idx="238" formatCode="0">
                  <c:v>36.15505377202963</c:v>
                </c:pt>
                <c:pt idx="239" formatCode="0">
                  <c:v>36.15505377202963</c:v>
                </c:pt>
                <c:pt idx="240" formatCode="0">
                  <c:v>36.15505377202963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116432600"/>
        <c:axId val="-2121471768"/>
      </c:barChart>
      <c:lineChart>
        <c:grouping val="standard"/>
        <c:varyColors val="0"/>
        <c:ser>
          <c:idx val="0"/>
          <c:order val="0"/>
          <c:tx>
            <c:strRef>
              <c:f>' MixCon Even T40H80U75'!$AJ$77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cat>
            <c:numRef>
              <c:f>' MixCon Even T40H80U75'!$AE$78:$AE$318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 MixCon Even T40H80U75'!$AJ$78:$AJ$318</c:f>
              <c:numCache>
                <c:formatCode>0</c:formatCode>
                <c:ptCount val="24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18.2171957703053</c:v>
                </c:pt>
                <c:pt idx="42">
                  <c:v>19.94036919288419</c:v>
                </c:pt>
                <c:pt idx="43">
                  <c:v>21.66354261546308</c:v>
                </c:pt>
                <c:pt idx="44">
                  <c:v>23.38671603804196</c:v>
                </c:pt>
                <c:pt idx="45">
                  <c:v>25.10988946062085</c:v>
                </c:pt>
                <c:pt idx="46">
                  <c:v>26.83306288319974</c:v>
                </c:pt>
                <c:pt idx="47">
                  <c:v>28.55623630577863</c:v>
                </c:pt>
                <c:pt idx="48">
                  <c:v>30.27940972835752</c:v>
                </c:pt>
                <c:pt idx="49">
                  <c:v>32.00258315093641</c:v>
                </c:pt>
                <c:pt idx="50">
                  <c:v>33.7257565735153</c:v>
                </c:pt>
                <c:pt idx="51">
                  <c:v>35.44892999609419</c:v>
                </c:pt>
                <c:pt idx="52">
                  <c:v>37.17210341867307</c:v>
                </c:pt>
                <c:pt idx="53">
                  <c:v>38.89527684125196</c:v>
                </c:pt>
                <c:pt idx="54">
                  <c:v>40.61845026383085</c:v>
                </c:pt>
                <c:pt idx="55">
                  <c:v>42.34162368640974</c:v>
                </c:pt>
                <c:pt idx="56">
                  <c:v>44.06479710898863</c:v>
                </c:pt>
                <c:pt idx="57">
                  <c:v>45.78797053156752</c:v>
                </c:pt>
                <c:pt idx="58">
                  <c:v>47.51114395414641</c:v>
                </c:pt>
                <c:pt idx="59">
                  <c:v>49.2343173767253</c:v>
                </c:pt>
                <c:pt idx="60">
                  <c:v>50.95749079930418</c:v>
                </c:pt>
                <c:pt idx="61">
                  <c:v>52.68066422188307</c:v>
                </c:pt>
                <c:pt idx="62">
                  <c:v>54.40383764446196</c:v>
                </c:pt>
                <c:pt idx="63">
                  <c:v>56.12701106704085</c:v>
                </c:pt>
                <c:pt idx="64">
                  <c:v>57.85018448961974</c:v>
                </c:pt>
                <c:pt idx="65">
                  <c:v>59.57335791219862</c:v>
                </c:pt>
                <c:pt idx="66">
                  <c:v>61.2965313347775</c:v>
                </c:pt>
                <c:pt idx="67">
                  <c:v>63.0197047573564</c:v>
                </c:pt>
                <c:pt idx="68">
                  <c:v>64.74287817993529</c:v>
                </c:pt>
                <c:pt idx="69">
                  <c:v>66.46605160251418</c:v>
                </c:pt>
                <c:pt idx="70">
                  <c:v>68.18922502509308</c:v>
                </c:pt>
                <c:pt idx="71">
                  <c:v>69.91239844767198</c:v>
                </c:pt>
                <c:pt idx="72">
                  <c:v>71.63557187025087</c:v>
                </c:pt>
                <c:pt idx="73">
                  <c:v>73.35874529282977</c:v>
                </c:pt>
                <c:pt idx="74">
                  <c:v>75.08191871540866</c:v>
                </c:pt>
                <c:pt idx="75">
                  <c:v>76.80509213798756</c:v>
                </c:pt>
                <c:pt idx="76">
                  <c:v>78.52826556056645</c:v>
                </c:pt>
                <c:pt idx="77">
                  <c:v>80.25143898314534</c:v>
                </c:pt>
                <c:pt idx="78">
                  <c:v>81.97461240572424</c:v>
                </c:pt>
                <c:pt idx="79">
                  <c:v>83.69778582830314</c:v>
                </c:pt>
                <c:pt idx="80">
                  <c:v>85.42095925088196</c:v>
                </c:pt>
                <c:pt idx="81">
                  <c:v>86.71105885116137</c:v>
                </c:pt>
                <c:pt idx="82">
                  <c:v>87.98815549932785</c:v>
                </c:pt>
                <c:pt idx="83">
                  <c:v>89.25207374798569</c:v>
                </c:pt>
                <c:pt idx="84">
                  <c:v>90.50265516982493</c:v>
                </c:pt>
                <c:pt idx="85">
                  <c:v>91.73975768915416</c:v>
                </c:pt>
                <c:pt idx="86">
                  <c:v>92.96325492803624</c:v>
                </c:pt>
                <c:pt idx="87">
                  <c:v>94.17303556736168</c:v>
                </c:pt>
                <c:pt idx="88">
                  <c:v>95.3690027231239</c:v>
                </c:pt>
                <c:pt idx="89">
                  <c:v>96.55107333809586</c:v>
                </c:pt>
                <c:pt idx="90">
                  <c:v>97.71917758904893</c:v>
                </c:pt>
                <c:pt idx="91">
                  <c:v>98.87325830960242</c:v>
                </c:pt>
                <c:pt idx="92">
                  <c:v>100.0132704287426</c:v>
                </c:pt>
                <c:pt idx="93">
                  <c:v>101.139180425008</c:v>
                </c:pt>
                <c:pt idx="94">
                  <c:v>102.2509657962968</c:v>
                </c:pt>
                <c:pt idx="95">
                  <c:v>103.3486145452175</c:v>
                </c:pt>
                <c:pt idx="96">
                  <c:v>104.4321246798715</c:v>
                </c:pt>
                <c:pt idx="97">
                  <c:v>105.5015037299297</c:v>
                </c:pt>
                <c:pt idx="98">
                  <c:v>106.5567682778356</c:v>
                </c:pt>
                <c:pt idx="99">
                  <c:v>107.5979435049508</c:v>
                </c:pt>
                <c:pt idx="100">
                  <c:v>108.6250627524327</c:v>
                </c:pt>
                <c:pt idx="101">
                  <c:v>109.6381670966215</c:v>
                </c:pt>
                <c:pt idx="102">
                  <c:v>110.6373049386964</c:v>
                </c:pt>
                <c:pt idx="103">
                  <c:v>111.6225316083471</c:v>
                </c:pt>
                <c:pt idx="104">
                  <c:v>112.5939089811971</c:v>
                </c:pt>
                <c:pt idx="105">
                  <c:v>113.5515051097048</c:v>
                </c:pt>
                <c:pt idx="106">
                  <c:v>114.495393867261</c:v>
                </c:pt>
                <c:pt idx="107">
                  <c:v>115.4256546051933</c:v>
                </c:pt>
                <c:pt idx="108">
                  <c:v>116.3423718223867</c:v>
                </c:pt>
                <c:pt idx="109">
                  <c:v>117.2456348472197</c:v>
                </c:pt>
                <c:pt idx="110">
                  <c:v>118.1355375315197</c:v>
                </c:pt>
                <c:pt idx="111">
                  <c:v>119.0121779562328</c:v>
                </c:pt>
                <c:pt idx="112">
                  <c:v>119.8756581485074</c:v>
                </c:pt>
                <c:pt idx="113">
                  <c:v>120.7260838098875</c:v>
                </c:pt>
                <c:pt idx="114">
                  <c:v>121.5635640553153</c:v>
                </c:pt>
                <c:pt idx="115">
                  <c:v>122.3882111626412</c:v>
                </c:pt>
                <c:pt idx="116">
                  <c:v>123.2001403323428</c:v>
                </c:pt>
                <c:pt idx="117">
                  <c:v>123.9994694571578</c:v>
                </c:pt>
                <c:pt idx="118">
                  <c:v>124.7863189013368</c:v>
                </c:pt>
                <c:pt idx="119">
                  <c:v>125.5608112892266</c:v>
                </c:pt>
                <c:pt idx="120">
                  <c:v>126.323071302899</c:v>
                </c:pt>
                <c:pt idx="121">
                  <c:v>127.0732254885427</c:v>
                </c:pt>
                <c:pt idx="122">
                  <c:v>127.8114020713414</c:v>
                </c:pt>
                <c:pt idx="123">
                  <c:v>128.5377307785662</c:v>
                </c:pt>
                <c:pt idx="124">
                  <c:v>129.2523426706143</c:v>
                </c:pt>
                <c:pt idx="125">
                  <c:v>129.9553699797319</c:v>
                </c:pt>
                <c:pt idx="126">
                  <c:v>130.6469459561647</c:v>
                </c:pt>
                <c:pt idx="127">
                  <c:v>131.3272047214833</c:v>
                </c:pt>
                <c:pt idx="128">
                  <c:v>131.9962811288383</c:v>
                </c:pt>
                <c:pt idx="129">
                  <c:v>132.6543106299048</c:v>
                </c:pt>
                <c:pt idx="130">
                  <c:v>133.3014291482797</c:v>
                </c:pt>
                <c:pt idx="131">
                  <c:v>133.9377729591053</c:v>
                </c:pt>
                <c:pt idx="132">
                  <c:v>134.5634785746921</c:v>
                </c:pt>
                <c:pt idx="133">
                  <c:v>135.1786826359275</c:v>
                </c:pt>
                <c:pt idx="134">
                  <c:v>135.7835218092532</c:v>
                </c:pt>
                <c:pt idx="135">
                  <c:v>136.3781326890098</c:v>
                </c:pt>
                <c:pt idx="136">
                  <c:v>136.9626517049435</c:v>
                </c:pt>
                <c:pt idx="137">
                  <c:v>137.5372150346831</c:v>
                </c:pt>
                <c:pt idx="138">
                  <c:v>138.1019585209953</c:v>
                </c:pt>
                <c:pt idx="139">
                  <c:v>138.6570175936353</c:v>
                </c:pt>
                <c:pt idx="140">
                  <c:v>139.202527195614</c:v>
                </c:pt>
                <c:pt idx="141">
                  <c:v>139.7386217137076</c:v>
                </c:pt>
                <c:pt idx="142">
                  <c:v>140.265434913042</c:v>
                </c:pt>
                <c:pt idx="143">
                  <c:v>140.7830998755894</c:v>
                </c:pt>
                <c:pt idx="144">
                  <c:v>141.2917489424176</c:v>
                </c:pt>
                <c:pt idx="145">
                  <c:v>141.7915136595419</c:v>
                </c:pt>
                <c:pt idx="146">
                  <c:v>142.2825247272286</c:v>
                </c:pt>
                <c:pt idx="147">
                  <c:v>142.7649119526085</c:v>
                </c:pt>
                <c:pt idx="148">
                  <c:v>143.238804205462</c:v>
                </c:pt>
                <c:pt idx="149">
                  <c:v>143.7043293770408</c:v>
                </c:pt>
                <c:pt idx="150">
                  <c:v>144.1616143417985</c:v>
                </c:pt>
                <c:pt idx="151">
                  <c:v>144.6107849219023</c:v>
                </c:pt>
                <c:pt idx="152">
                  <c:v>145.0519658544084</c:v>
                </c:pt>
                <c:pt idx="153">
                  <c:v>145.485280760981</c:v>
                </c:pt>
                <c:pt idx="154">
                  <c:v>145.9108521200458</c:v>
                </c:pt>
                <c:pt idx="155">
                  <c:v>146.3288012412665</c:v>
                </c:pt>
                <c:pt idx="156">
                  <c:v>146.7392482422407</c:v>
                </c:pt>
                <c:pt idx="157">
                  <c:v>147.1423120273151</c:v>
                </c:pt>
                <c:pt idx="158">
                  <c:v>147.5381102684207</c:v>
                </c:pt>
                <c:pt idx="159">
                  <c:v>147.926759387836</c:v>
                </c:pt>
                <c:pt idx="160">
                  <c:v>148.3083745427871</c:v>
                </c:pt>
                <c:pt idx="161">
                  <c:v>148.6830696117966</c:v>
                </c:pt>
                <c:pt idx="162">
                  <c:v>149.0509571827004</c:v>
                </c:pt>
                <c:pt idx="163">
                  <c:v>149.412148542248</c:v>
                </c:pt>
                <c:pt idx="164">
                  <c:v>149.766753667212</c:v>
                </c:pt>
                <c:pt idx="165">
                  <c:v>150.1148812169305</c:v>
                </c:pt>
                <c:pt idx="166">
                  <c:v>150.4566385272107</c:v>
                </c:pt>
                <c:pt idx="167">
                  <c:v>150.792131605525</c:v>
                </c:pt>
                <c:pt idx="168">
                  <c:v>151.1214651274338</c:v>
                </c:pt>
                <c:pt idx="169">
                  <c:v>151.4447424341706</c:v>
                </c:pt>
                <c:pt idx="170">
                  <c:v>151.7620655313278</c:v>
                </c:pt>
                <c:pt idx="171">
                  <c:v>152.0735350885863</c:v>
                </c:pt>
                <c:pt idx="172">
                  <c:v>152.3792504404302</c:v>
                </c:pt>
                <c:pt idx="173">
                  <c:v>152.6793095877948</c:v>
                </c:pt>
                <c:pt idx="174">
                  <c:v>152.9738092005933</c:v>
                </c:pt>
                <c:pt idx="175">
                  <c:v>153.2628446210756</c:v>
                </c:pt>
                <c:pt idx="176">
                  <c:v>153.546509867969</c:v>
                </c:pt>
                <c:pt idx="177">
                  <c:v>153.8248976413555</c:v>
                </c:pt>
                <c:pt idx="178">
                  <c:v>154.0980993282435</c:v>
                </c:pt>
                <c:pt idx="179">
                  <c:v>154.3662050087893</c:v>
                </c:pt>
                <c:pt idx="180">
                  <c:v>154.6293034631307</c:v>
                </c:pt>
                <c:pt idx="181">
                  <c:v>154.8874821787927</c:v>
                </c:pt>
                <c:pt idx="182">
                  <c:v>155.1408273586285</c:v>
                </c:pt>
                <c:pt idx="183">
                  <c:v>155.3894239292618</c:v>
                </c:pt>
                <c:pt idx="184">
                  <c:v>155.6333555499951</c:v>
                </c:pt>
                <c:pt idx="185">
                  <c:v>155.872704622153</c:v>
                </c:pt>
                <c:pt idx="186">
                  <c:v>156.1075522988293</c:v>
                </c:pt>
                <c:pt idx="187">
                  <c:v>156.3379784950081</c:v>
                </c:pt>
                <c:pt idx="188">
                  <c:v>156.5640618980319</c:v>
                </c:pt>
                <c:pt idx="189">
                  <c:v>156.785879978388</c:v>
                </c:pt>
                <c:pt idx="190">
                  <c:v>157.0035090007905</c:v>
                </c:pt>
                <c:pt idx="191">
                  <c:v>157.2170240355302</c:v>
                </c:pt>
                <c:pt idx="192">
                  <c:v>157.426498970072</c:v>
                </c:pt>
                <c:pt idx="193">
                  <c:v>157.6320065208753</c:v>
                </c:pt>
                <c:pt idx="194">
                  <c:v>157.8336182454183</c:v>
                </c:pt>
                <c:pt idx="195">
                  <c:v>158.0314045544048</c:v>
                </c:pt>
                <c:pt idx="196">
                  <c:v>158.2254347241343</c:v>
                </c:pt>
                <c:pt idx="197">
                  <c:v>158.4157769090179</c:v>
                </c:pt>
                <c:pt idx="198">
                  <c:v>158.6024981542229</c:v>
                </c:pt>
                <c:pt idx="199">
                  <c:v>158.7856644084281</c:v>
                </c:pt>
                <c:pt idx="200">
                  <c:v>158.9653405366756</c:v>
                </c:pt>
                <c:pt idx="201">
                  <c:v>159.1415903333042</c:v>
                </c:pt>
                <c:pt idx="202">
                  <c:v>159.3144765349492</c:v>
                </c:pt>
                <c:pt idx="203">
                  <c:v>159.4840608335961</c:v>
                </c:pt>
                <c:pt idx="204">
                  <c:v>159.6504038896766</c:v>
                </c:pt>
                <c:pt idx="205">
                  <c:v>159.8135653451913</c:v>
                </c:pt>
                <c:pt idx="206">
                  <c:v>159.9736038368528</c:v>
                </c:pt>
                <c:pt idx="207">
                  <c:v>160.1305770092337</c:v>
                </c:pt>
                <c:pt idx="208">
                  <c:v>160.2845415279132</c:v>
                </c:pt>
                <c:pt idx="209">
                  <c:v>160.4355530926093</c:v>
                </c:pt>
                <c:pt idx="210">
                  <c:v>160.583666450291</c:v>
                </c:pt>
                <c:pt idx="211">
                  <c:v>160.7289354082586</c:v>
                </c:pt>
                <c:pt idx="212">
                  <c:v>160.8714128471875</c:v>
                </c:pt>
                <c:pt idx="213">
                  <c:v>161.0111507341245</c:v>
                </c:pt>
                <c:pt idx="214">
                  <c:v>161.1482001354321</c:v>
                </c:pt>
                <c:pt idx="215">
                  <c:v>161.2826112296733</c:v>
                </c:pt>
                <c:pt idx="216">
                  <c:v>161.4144333204302</c:v>
                </c:pt>
                <c:pt idx="217">
                  <c:v>161.5437148490511</c:v>
                </c:pt>
                <c:pt idx="218">
                  <c:v>161.6705034073209</c:v>
                </c:pt>
                <c:pt idx="219">
                  <c:v>161.7948457500485</c:v>
                </c:pt>
                <c:pt idx="220">
                  <c:v>161.9167878075679</c:v>
                </c:pt>
                <c:pt idx="221">
                  <c:v>162.0363746981476</c:v>
                </c:pt>
                <c:pt idx="222">
                  <c:v>162.1536507403046</c:v>
                </c:pt>
                <c:pt idx="223">
                  <c:v>162.2686594650193</c:v>
                </c:pt>
                <c:pt idx="224">
                  <c:v>162.3814436278471</c:v>
                </c:pt>
                <c:pt idx="225">
                  <c:v>162.4920452209242</c:v>
                </c:pt>
                <c:pt idx="226">
                  <c:v>162.6005054848648</c:v>
                </c:pt>
                <c:pt idx="227">
                  <c:v>162.7068649205455</c:v>
                </c:pt>
                <c:pt idx="228">
                  <c:v>162.8111633007765</c:v>
                </c:pt>
                <c:pt idx="229">
                  <c:v>162.9134396818556</c:v>
                </c:pt>
                <c:pt idx="230">
                  <c:v>163.0137324150037</c:v>
                </c:pt>
                <c:pt idx="231">
                  <c:v>163.1120791576799</c:v>
                </c:pt>
                <c:pt idx="232">
                  <c:v>163.2085168847747</c:v>
                </c:pt>
                <c:pt idx="233">
                  <c:v>163.3030818996792</c:v>
                </c:pt>
                <c:pt idx="234">
                  <c:v>163.3958098452297</c:v>
                </c:pt>
                <c:pt idx="235">
                  <c:v>163.4867357145264</c:v>
                </c:pt>
                <c:pt idx="236">
                  <c:v>163.5758938616243</c:v>
                </c:pt>
                <c:pt idx="237">
                  <c:v>163.6633180120978</c:v>
                </c:pt>
                <c:pt idx="238">
                  <c:v>163.749041273475</c:v>
                </c:pt>
                <c:pt idx="239">
                  <c:v>163.833096145545</c:v>
                </c:pt>
                <c:pt idx="240">
                  <c:v>163.9155145305334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6432600"/>
        <c:axId val="-2121471768"/>
      </c:lineChart>
      <c:catAx>
        <c:axId val="-2116432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overlay val="0"/>
        </c:title>
        <c:majorTickMark val="out"/>
        <c:minorTickMark val="none"/>
        <c:tickLblPos val="nextTo"/>
        <c:crossAx val="-2121471768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-2121471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 Benefits in Tonnes of Carbon per Hectare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6432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7342479755953"/>
          <c:y val="0.0871046462703612"/>
          <c:w val="0.302327350438223"/>
          <c:h val="0.853028532723732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 MixCon Even T40H80U75'!$AK$77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val>
            <c:numRef>
              <c:f>' MixCon Even T40H80U75'!$AK$78:$AK$318</c:f>
              <c:numCache>
                <c:formatCode>General</c:formatCode>
                <c:ptCount val="241"/>
                <c:pt idx="40" formatCode="0">
                  <c:v>2.020207719085605</c:v>
                </c:pt>
                <c:pt idx="41" formatCode="0">
                  <c:v>1.951392027839185</c:v>
                </c:pt>
                <c:pt idx="42" formatCode="0">
                  <c:v>1.884920451664193</c:v>
                </c:pt>
                <c:pt idx="43" formatCode="0">
                  <c:v>1.820713141395872</c:v>
                </c:pt>
                <c:pt idx="44" formatCode="0">
                  <c:v>1.758692967825152</c:v>
                </c:pt>
                <c:pt idx="45" formatCode="0">
                  <c:v>1.698785429046968</c:v>
                </c:pt>
                <c:pt idx="46" formatCode="0">
                  <c:v>1.640918560964647</c:v>
                </c:pt>
                <c:pt idx="47" formatCode="0">
                  <c:v>1.585022850842832</c:v>
                </c:pt>
                <c:pt idx="48" formatCode="0">
                  <c:v>1.531031153805118</c:v>
                </c:pt>
                <c:pt idx="49" formatCode="0">
                  <c:v>1.478878612176087</c:v>
                </c:pt>
                <c:pt idx="50" formatCode="0">
                  <c:v>1.42850257757084</c:v>
                </c:pt>
                <c:pt idx="51" formatCode="0">
                  <c:v>1.379842535638456</c:v>
                </c:pt>
                <c:pt idx="52" formatCode="0">
                  <c:v>1.33284003336896</c:v>
                </c:pt>
                <c:pt idx="53" formatCode="0">
                  <c:v>1.287438608876482</c:v>
                </c:pt>
                <c:pt idx="54" formatCode="0">
                  <c:v>1.243583723574259</c:v>
                </c:pt>
                <c:pt idx="55" formatCode="0">
                  <c:v>1.20122269666001</c:v>
                </c:pt>
                <c:pt idx="56" formatCode="0">
                  <c:v>1.160304641832974</c:v>
                </c:pt>
                <c:pt idx="57" formatCode="0">
                  <c:v>1.1207804061666</c:v>
                </c:pt>
                <c:pt idx="58" formatCode="0">
                  <c:v>1.082602511063463</c:v>
                </c:pt>
                <c:pt idx="59" formatCode="0">
                  <c:v>1.045725095221461</c:v>
                </c:pt>
                <c:pt idx="60" formatCode="0">
                  <c:v>1.010103859542803</c:v>
                </c:pt>
                <c:pt idx="61" formatCode="0">
                  <c:v>0.975696013919593</c:v>
                </c:pt>
                <c:pt idx="62" formatCode="0">
                  <c:v>0.942460225832096</c:v>
                </c:pt>
                <c:pt idx="63" formatCode="0">
                  <c:v>0.910356570697936</c:v>
                </c:pt>
                <c:pt idx="64" formatCode="0">
                  <c:v>0.879346483912576</c:v>
                </c:pt>
                <c:pt idx="65" formatCode="0">
                  <c:v>0.849392714523484</c:v>
                </c:pt>
                <c:pt idx="66" formatCode="0">
                  <c:v>0.820459280482324</c:v>
                </c:pt>
                <c:pt idx="67" formatCode="0">
                  <c:v>0.792511425421416</c:v>
                </c:pt>
                <c:pt idx="68" formatCode="0">
                  <c:v>0.765515576902559</c:v>
                </c:pt>
                <c:pt idx="69" formatCode="0">
                  <c:v>0.739439306088043</c:v>
                </c:pt>
                <c:pt idx="70" formatCode="0">
                  <c:v>0.71425128878542</c:v>
                </c:pt>
                <c:pt idx="71" formatCode="0">
                  <c:v>0.689921267819228</c:v>
                </c:pt>
                <c:pt idx="72" formatCode="0">
                  <c:v>0.66642001668448</c:v>
                </c:pt>
                <c:pt idx="73" formatCode="0">
                  <c:v>0.643719304438241</c:v>
                </c:pt>
                <c:pt idx="74" formatCode="0">
                  <c:v>0.62179186178713</c:v>
                </c:pt>
                <c:pt idx="75" formatCode="0">
                  <c:v>0.600611348330005</c:v>
                </c:pt>
                <c:pt idx="76" formatCode="0">
                  <c:v>0.580152320916487</c:v>
                </c:pt>
                <c:pt idx="77" formatCode="0">
                  <c:v>0.5603902030833</c:v>
                </c:pt>
                <c:pt idx="78" formatCode="0">
                  <c:v>0.541301255531732</c:v>
                </c:pt>
                <c:pt idx="79" formatCode="0">
                  <c:v>0.522862547610731</c:v>
                </c:pt>
                <c:pt idx="80" formatCode="0">
                  <c:v>9.047147854859597</c:v>
                </c:pt>
                <c:pt idx="81" formatCode="0">
                  <c:v>8.738968786163371</c:v>
                </c:pt>
                <c:pt idx="82" formatCode="0">
                  <c:v>8.44128742789546</c:v>
                </c:pt>
                <c:pt idx="83" formatCode="0">
                  <c:v>8.15374618950079</c:v>
                </c:pt>
                <c:pt idx="84" formatCode="0">
                  <c:v>7.875999661271344</c:v>
                </c:pt>
                <c:pt idx="85" formatCode="0">
                  <c:v>7.607714199421768</c:v>
                </c:pt>
                <c:pt idx="86" formatCode="0">
                  <c:v>7.348567525298883</c:v>
                </c:pt>
                <c:pt idx="87" formatCode="0">
                  <c:v>7.098248338243541</c:v>
                </c:pt>
                <c:pt idx="88" formatCode="0">
                  <c:v>6.856455941639851</c:v>
                </c:pt>
                <c:pt idx="89" formatCode="0">
                  <c:v>6.622899881702542</c:v>
                </c:pt>
                <c:pt idx="90" formatCode="0">
                  <c:v>6.397299598568549</c:v>
                </c:pt>
                <c:pt idx="91" formatCode="0">
                  <c:v>6.179384089273691</c:v>
                </c:pt>
                <c:pt idx="92" formatCode="0">
                  <c:v>5.96889158220963</c:v>
                </c:pt>
                <c:pt idx="93" formatCode="0">
                  <c:v>5.765569222669983</c:v>
                </c:pt>
                <c:pt idx="94" formatCode="0">
                  <c:v>5.569172769107919</c:v>
                </c:pt>
                <c:pt idx="95" formatCode="0">
                  <c:v>5.37946629974032</c:v>
                </c:pt>
                <c:pt idx="96" formatCode="0">
                  <c:v>5.196221929146087</c:v>
                </c:pt>
                <c:pt idx="97" formatCode="0">
                  <c:v>5.01921953451815</c:v>
                </c:pt>
                <c:pt idx="98" formatCode="0">
                  <c:v>4.848246491240333</c:v>
                </c:pt>
                <c:pt idx="99" formatCode="0">
                  <c:v>4.683097417471451</c:v>
                </c:pt>
                <c:pt idx="100" formatCode="0">
                  <c:v>4.523573927429799</c:v>
                </c:pt>
                <c:pt idx="101" formatCode="0">
                  <c:v>4.369484393081685</c:v>
                </c:pt>
                <c:pt idx="102" formatCode="0">
                  <c:v>4.22064371394773</c:v>
                </c:pt>
                <c:pt idx="103" formatCode="0">
                  <c:v>4.076873094750396</c:v>
                </c:pt>
                <c:pt idx="104" formatCode="0">
                  <c:v>3.937999830635672</c:v>
                </c:pt>
                <c:pt idx="105" formatCode="0">
                  <c:v>3.803857099710884</c:v>
                </c:pt>
                <c:pt idx="106" formatCode="0">
                  <c:v>3.674283762649441</c:v>
                </c:pt>
                <c:pt idx="107" formatCode="0">
                  <c:v>3.549124169121771</c:v>
                </c:pt>
                <c:pt idx="108" formatCode="0">
                  <c:v>3.428227970819925</c:v>
                </c:pt>
                <c:pt idx="109" formatCode="0">
                  <c:v>3.311449940851272</c:v>
                </c:pt>
                <c:pt idx="110" formatCode="0">
                  <c:v>3.198649799284274</c:v>
                </c:pt>
                <c:pt idx="111" formatCode="0">
                  <c:v>3.089692044636846</c:v>
                </c:pt>
                <c:pt idx="112" formatCode="0">
                  <c:v>2.984445791104815</c:v>
                </c:pt>
                <c:pt idx="113" formatCode="0">
                  <c:v>2.882784611334991</c:v>
                </c:pt>
                <c:pt idx="114" formatCode="0">
                  <c:v>2.78458638455396</c:v>
                </c:pt>
                <c:pt idx="115" formatCode="0">
                  <c:v>2.68973314987016</c:v>
                </c:pt>
                <c:pt idx="116" formatCode="0">
                  <c:v>2.598110964573043</c:v>
                </c:pt>
                <c:pt idx="117" formatCode="0">
                  <c:v>2.509609767259075</c:v>
                </c:pt>
                <c:pt idx="118" formatCode="0">
                  <c:v>2.424123245620166</c:v>
                </c:pt>
                <c:pt idx="119" formatCode="0">
                  <c:v>2.341548708735726</c:v>
                </c:pt>
                <c:pt idx="120" formatCode="0">
                  <c:v>2.261786963714899</c:v>
                </c:pt>
                <c:pt idx="121" formatCode="0">
                  <c:v>2.184742196540843</c:v>
                </c:pt>
                <c:pt idx="122" formatCode="0">
                  <c:v>2.110321856973865</c:v>
                </c:pt>
                <c:pt idx="123" formatCode="0">
                  <c:v>2.038436547375198</c:v>
                </c:pt>
                <c:pt idx="124" formatCode="0">
                  <c:v>1.968999915317836</c:v>
                </c:pt>
                <c:pt idx="125" formatCode="0">
                  <c:v>1.901928549855442</c:v>
                </c:pt>
                <c:pt idx="126" formatCode="0">
                  <c:v>1.837141881324721</c:v>
                </c:pt>
                <c:pt idx="127" formatCode="0">
                  <c:v>1.774562084560885</c:v>
                </c:pt>
                <c:pt idx="128" formatCode="0">
                  <c:v>1.714113985409963</c:v>
                </c:pt>
                <c:pt idx="129" formatCode="0">
                  <c:v>1.655724970425636</c:v>
                </c:pt>
                <c:pt idx="130" formatCode="0">
                  <c:v>1.599324899642137</c:v>
                </c:pt>
                <c:pt idx="131" formatCode="0">
                  <c:v>1.544846022318423</c:v>
                </c:pt>
                <c:pt idx="132" formatCode="0">
                  <c:v>1.492222895552407</c:v>
                </c:pt>
                <c:pt idx="133" formatCode="0">
                  <c:v>1.441392305667496</c:v>
                </c:pt>
                <c:pt idx="134" formatCode="0">
                  <c:v>1.39229319227698</c:v>
                </c:pt>
                <c:pt idx="135" formatCode="0">
                  <c:v>1.34486657493508</c:v>
                </c:pt>
                <c:pt idx="136" formatCode="0">
                  <c:v>1.299055482286522</c:v>
                </c:pt>
                <c:pt idx="137" formatCode="0">
                  <c:v>1.254804883629538</c:v>
                </c:pt>
                <c:pt idx="138" formatCode="0">
                  <c:v>1.212061622810084</c:v>
                </c:pt>
                <c:pt idx="139" formatCode="0">
                  <c:v>1.170774354367862</c:v>
                </c:pt>
                <c:pt idx="140" formatCode="0">
                  <c:v>1.13089348185745</c:v>
                </c:pt>
                <c:pt idx="141" formatCode="0">
                  <c:v>1.092371098270422</c:v>
                </c:pt>
                <c:pt idx="142" formatCode="0">
                  <c:v>1.055160928486933</c:v>
                </c:pt>
                <c:pt idx="143" formatCode="0">
                  <c:v>1.019218273687599</c:v>
                </c:pt>
                <c:pt idx="144" formatCode="0">
                  <c:v>0.984499957658918</c:v>
                </c:pt>
                <c:pt idx="145" formatCode="0">
                  <c:v>0.950964274927721</c:v>
                </c:pt>
                <c:pt idx="146" formatCode="0">
                  <c:v>0.918570940662361</c:v>
                </c:pt>
                <c:pt idx="147" formatCode="0">
                  <c:v>0.887281042280443</c:v>
                </c:pt>
                <c:pt idx="148" formatCode="0">
                  <c:v>0.857056992704981</c:v>
                </c:pt>
                <c:pt idx="149" formatCode="0">
                  <c:v>0.827862485212818</c:v>
                </c:pt>
                <c:pt idx="150" formatCode="0">
                  <c:v>0.799662449821069</c:v>
                </c:pt>
                <c:pt idx="151" formatCode="0">
                  <c:v>0.772423011159211</c:v>
                </c:pt>
                <c:pt idx="152" formatCode="0">
                  <c:v>0.746111447776204</c:v>
                </c:pt>
                <c:pt idx="153" formatCode="0">
                  <c:v>0.720696152833748</c:v>
                </c:pt>
                <c:pt idx="154" formatCode="0">
                  <c:v>0.69614659613849</c:v>
                </c:pt>
                <c:pt idx="155" formatCode="0">
                  <c:v>0.67243328746754</c:v>
                </c:pt>
                <c:pt idx="156" formatCode="0">
                  <c:v>0.649527741143261</c:v>
                </c:pt>
                <c:pt idx="157" formatCode="0">
                  <c:v>0.627402441814769</c:v>
                </c:pt>
                <c:pt idx="158" formatCode="0">
                  <c:v>0.606030811405042</c:v>
                </c:pt>
                <c:pt idx="159" formatCode="0">
                  <c:v>0.585387177183931</c:v>
                </c:pt>
                <c:pt idx="160" formatCode="0">
                  <c:v>0.565446740928725</c:v>
                </c:pt>
                <c:pt idx="161" formatCode="0">
                  <c:v>10.30759594245539</c:v>
                </c:pt>
                <c:pt idx="162" formatCode="0">
                  <c:v>9.956481384695988</c:v>
                </c:pt>
                <c:pt idx="163" formatCode="0">
                  <c:v>9.617327077741805</c:v>
                </c:pt>
                <c:pt idx="164" formatCode="0">
                  <c:v>9.289725611543433</c:v>
                </c:pt>
                <c:pt idx="165" formatCode="0">
                  <c:v>8.97328345393338</c:v>
                </c:pt>
                <c:pt idx="166" formatCode="0">
                  <c:v>8.667620477894468</c:v>
                </c:pt>
                <c:pt idx="167" formatCode="0">
                  <c:v>8.372369504931196</c:v>
                </c:pt>
                <c:pt idx="168" formatCode="0">
                  <c:v>8.087175863995567</c:v>
                </c:pt>
                <c:pt idx="169" formatCode="0">
                  <c:v>7.811696965437495</c:v>
                </c:pt>
                <c:pt idx="170" formatCode="0">
                  <c:v>7.545601889468049</c:v>
                </c:pt>
                <c:pt idx="171" formatCode="0">
                  <c:v>7.288570988641145</c:v>
                </c:pt>
                <c:pt idx="172" formatCode="0">
                  <c:v>7.04029550387616</c:v>
                </c:pt>
                <c:pt idx="173" formatCode="0">
                  <c:v>6.800477193560233</c:v>
                </c:pt>
                <c:pt idx="174" formatCode="0">
                  <c:v>6.56882797528471</c:v>
                </c:pt>
                <c:pt idx="175" formatCode="0">
                  <c:v>6.345069579785338</c:v>
                </c:pt>
                <c:pt idx="176" formatCode="0">
                  <c:v>6.128933216670561</c:v>
                </c:pt>
                <c:pt idx="177" formatCode="0">
                  <c:v>5.920159251536308</c:v>
                </c:pt>
                <c:pt idx="178" formatCode="0">
                  <c:v>5.718496894079442</c:v>
                </c:pt>
                <c:pt idx="179" formatCode="0">
                  <c:v>5.523703896835228</c:v>
                </c:pt>
                <c:pt idx="180" formatCode="0">
                  <c:v>5.335546264176884</c:v>
                </c:pt>
                <c:pt idx="181" formatCode="0">
                  <c:v>5.153797971227693</c:v>
                </c:pt>
                <c:pt idx="182" formatCode="0">
                  <c:v>4.978240692347994</c:v>
                </c:pt>
                <c:pt idx="183" formatCode="0">
                  <c:v>4.808663538870903</c:v>
                </c:pt>
                <c:pt idx="184" formatCode="0">
                  <c:v>4.644862805771718</c:v>
                </c:pt>
                <c:pt idx="185" formatCode="0">
                  <c:v>4.48664172696669</c:v>
                </c:pt>
                <c:pt idx="186" formatCode="0">
                  <c:v>4.333810238947234</c:v>
                </c:pt>
                <c:pt idx="187" formatCode="0">
                  <c:v>4.186184752465598</c:v>
                </c:pt>
                <c:pt idx="188" formatCode="0">
                  <c:v>4.043587931997783</c:v>
                </c:pt>
                <c:pt idx="189" formatCode="0">
                  <c:v>3.905848482718747</c:v>
                </c:pt>
                <c:pt idx="190" formatCode="0">
                  <c:v>3.772800944734026</c:v>
                </c:pt>
                <c:pt idx="191" formatCode="0">
                  <c:v>3.644285494320573</c:v>
                </c:pt>
                <c:pt idx="192" formatCode="0">
                  <c:v>3.52014775193808</c:v>
                </c:pt>
                <c:pt idx="193" formatCode="0">
                  <c:v>3.400238596780118</c:v>
                </c:pt>
                <c:pt idx="194" formatCode="0">
                  <c:v>3.284413987642354</c:v>
                </c:pt>
                <c:pt idx="195" formatCode="0">
                  <c:v>3.172534789892669</c:v>
                </c:pt>
                <c:pt idx="196" formatCode="0">
                  <c:v>3.064466608335282</c:v>
                </c:pt>
                <c:pt idx="197" formatCode="0">
                  <c:v>2.960079625768154</c:v>
                </c:pt>
                <c:pt idx="198" formatCode="0">
                  <c:v>2.859248447039721</c:v>
                </c:pt>
                <c:pt idx="199" formatCode="0">
                  <c:v>2.761851948417613</c:v>
                </c:pt>
                <c:pt idx="200" formatCode="0">
                  <c:v>2.667773132088442</c:v>
                </c:pt>
                <c:pt idx="201" formatCode="0">
                  <c:v>2.576898985613846</c:v>
                </c:pt>
                <c:pt idx="202" formatCode="0">
                  <c:v>2.489120346173998</c:v>
                </c:pt>
                <c:pt idx="203" formatCode="0">
                  <c:v>2.404331769435451</c:v>
                </c:pt>
                <c:pt idx="204" formatCode="0">
                  <c:v>2.322431402885859</c:v>
                </c:pt>
                <c:pt idx="205" formatCode="0">
                  <c:v>2.243320863483345</c:v>
                </c:pt>
                <c:pt idx="206" formatCode="0">
                  <c:v>2.166905119473617</c:v>
                </c:pt>
                <c:pt idx="207" formatCode="0">
                  <c:v>2.0930923762328</c:v>
                </c:pt>
                <c:pt idx="208" formatCode="0">
                  <c:v>2.021793965998892</c:v>
                </c:pt>
                <c:pt idx="209" formatCode="0">
                  <c:v>1.952924241359373</c:v>
                </c:pt>
                <c:pt idx="210" formatCode="0">
                  <c:v>1.886400472367012</c:v>
                </c:pt>
                <c:pt idx="211" formatCode="0">
                  <c:v>1.822142747160286</c:v>
                </c:pt>
                <c:pt idx="212" formatCode="0">
                  <c:v>1.760073875969041</c:v>
                </c:pt>
                <c:pt idx="213" formatCode="0">
                  <c:v>1.700119298390058</c:v>
                </c:pt>
                <c:pt idx="214" formatCode="0">
                  <c:v>1.642206993821178</c:v>
                </c:pt>
                <c:pt idx="215" formatCode="0">
                  <c:v>1.586267394946334</c:v>
                </c:pt>
                <c:pt idx="216" formatCode="0">
                  <c:v>1.53223330416764</c:v>
                </c:pt>
                <c:pt idx="217" formatCode="0">
                  <c:v>1.480039812884077</c:v>
                </c:pt>
                <c:pt idx="218" formatCode="0">
                  <c:v>1.429624223519861</c:v>
                </c:pt>
                <c:pt idx="219" formatCode="0">
                  <c:v>1.380925974208807</c:v>
                </c:pt>
                <c:pt idx="220" formatCode="0">
                  <c:v>1.33388656604422</c:v>
                </c:pt>
                <c:pt idx="221" formatCode="0">
                  <c:v>1.288449492806923</c:v>
                </c:pt>
                <c:pt idx="222" formatCode="0">
                  <c:v>1.244560173087</c:v>
                </c:pt>
                <c:pt idx="223" formatCode="0">
                  <c:v>1.202165884717726</c:v>
                </c:pt>
                <c:pt idx="224" formatCode="0">
                  <c:v>1.161215701442929</c:v>
                </c:pt>
                <c:pt idx="225" formatCode="0">
                  <c:v>1.121660431741673</c:v>
                </c:pt>
                <c:pt idx="226" formatCode="0">
                  <c:v>1.083452559736809</c:v>
                </c:pt>
                <c:pt idx="227" formatCode="0">
                  <c:v>1.0465461881164</c:v>
                </c:pt>
                <c:pt idx="228" formatCode="0">
                  <c:v>1.010896982999446</c:v>
                </c:pt>
                <c:pt idx="229" formatCode="0">
                  <c:v>0.976462120679687</c:v>
                </c:pt>
                <c:pt idx="230" formatCode="0">
                  <c:v>0.943200236183506</c:v>
                </c:pt>
                <c:pt idx="231" formatCode="0">
                  <c:v>0.911071373580143</c:v>
                </c:pt>
                <c:pt idx="232" formatCode="0">
                  <c:v>0.88003693798452</c:v>
                </c:pt>
                <c:pt idx="233" formatCode="0">
                  <c:v>0.850059649195029</c:v>
                </c:pt>
                <c:pt idx="234" formatCode="0">
                  <c:v>0.821103496910589</c:v>
                </c:pt>
                <c:pt idx="235" formatCode="0">
                  <c:v>0.793133697473167</c:v>
                </c:pt>
                <c:pt idx="236" formatCode="0">
                  <c:v>0.76611665208382</c:v>
                </c:pt>
                <c:pt idx="237" formatCode="0">
                  <c:v>0.740019906442038</c:v>
                </c:pt>
                <c:pt idx="238" formatCode="0">
                  <c:v>0.71481211175993</c:v>
                </c:pt>
                <c:pt idx="239" formatCode="0">
                  <c:v>0.690462987104403</c:v>
                </c:pt>
                <c:pt idx="240" formatCode="0">
                  <c:v>0.66694328302211</c:v>
                </c:pt>
              </c:numCache>
            </c:numRef>
          </c:val>
        </c:ser>
        <c:ser>
          <c:idx val="2"/>
          <c:order val="2"/>
          <c:tx>
            <c:strRef>
              <c:f>' MixCon Even T40H80U75'!$AL$77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val>
            <c:numRef>
              <c:f>' MixCon Even T40H80U75'!$AL$78:$AL$318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0.0</c:v>
                </c:pt>
                <c:pt idx="81" formatCode="0">
                  <c:v>0.00668801632245595</c:v>
                </c:pt>
                <c:pt idx="82" formatCode="0">
                  <c:v>0.0504185326109012</c:v>
                </c:pt>
                <c:pt idx="83" formatCode="0">
                  <c:v>0.160413357645756</c:v>
                </c:pt>
                <c:pt idx="84" formatCode="0">
                  <c:v>0.35859718815809</c:v>
                </c:pt>
                <c:pt idx="85" formatCode="0">
                  <c:v>0.660785573896258</c:v>
                </c:pt>
                <c:pt idx="86" formatCode="0">
                  <c:v>1.077708464550237</c:v>
                </c:pt>
                <c:pt idx="87" formatCode="0">
                  <c:v>1.615890329645917</c:v>
                </c:pt>
                <c:pt idx="88" formatCode="0">
                  <c:v>2.278405281062679</c:v>
                </c:pt>
                <c:pt idx="89" formatCode="0">
                  <c:v>3.06552337058766</c:v>
                </c:pt>
                <c:pt idx="90" formatCode="0">
                  <c:v>3.975262246372517</c:v>
                </c:pt>
                <c:pt idx="91" formatCode="0">
                  <c:v>5.003856600881361</c:v>
                </c:pt>
                <c:pt idx="92" formatCode="0">
                  <c:v>6.146156301122398</c:v>
                </c:pt>
                <c:pt idx="93" formatCode="0">
                  <c:v>7.395962735068286</c:v>
                </c:pt>
                <c:pt idx="94" formatCode="0">
                  <c:v>8.746311714465289</c:v>
                </c:pt>
                <c:pt idx="95" formatCode="0">
                  <c:v>10.18971022450242</c:v>
                </c:pt>
                <c:pt idx="96" formatCode="0">
                  <c:v>11.71833338808361</c:v>
                </c:pt>
                <c:pt idx="97" formatCode="0">
                  <c:v>13.32418720171437</c:v>
                </c:pt>
                <c:pt idx="98" formatCode="0">
                  <c:v>14.99924188802333</c:v>
                </c:pt>
                <c:pt idx="99" formatCode="0">
                  <c:v>16.7355400849764</c:v>
                </c:pt>
                <c:pt idx="100" formatCode="0">
                  <c:v>18.5252835435601</c:v>
                </c:pt>
                <c:pt idx="101" formatCode="0">
                  <c:v>20.360901524977</c:v>
                </c:pt>
                <c:pt idx="102" formatCode="0">
                  <c:v>22.2351036671383</c:v>
                </c:pt>
                <c:pt idx="103" formatCode="0">
                  <c:v>24.14091972133881</c:v>
                </c:pt>
                <c:pt idx="104" formatCode="0">
                  <c:v>26.07172823716755</c:v>
                </c:pt>
                <c:pt idx="105" formatCode="0">
                  <c:v>28.02127599139918</c:v>
                </c:pt>
                <c:pt idx="106" formatCode="0">
                  <c:v>29.98368970993027</c:v>
                </c:pt>
                <c:pt idx="107" formatCode="0">
                  <c:v>31.9534814164577</c:v>
                </c:pt>
                <c:pt idx="108" formatCode="0">
                  <c:v>33.92554855373363</c:v>
                </c:pt>
                <c:pt idx="109" formatCode="0">
                  <c:v>35.89516985952151</c:v>
                </c:pt>
                <c:pt idx="110" formatCode="0">
                  <c:v>37.85799783686052</c:v>
                </c:pt>
                <c:pt idx="111" formatCode="0">
                  <c:v>39.81004853431885</c:v>
                </c:pt>
                <c:pt idx="112" formatCode="0">
                  <c:v>41.74768924428267</c:v>
                </c:pt>
                <c:pt idx="113" formatCode="0">
                  <c:v>43.6676246339707</c:v>
                </c:pt>
                <c:pt idx="114" formatCode="0">
                  <c:v>45.56688174300185</c:v>
                </c:pt>
                <c:pt idx="115" formatCode="0">
                  <c:v>47.44279421141578</c:v>
                </c:pt>
                <c:pt idx="116" formatCode="0">
                  <c:v>49.2929860416739</c:v>
                </c:pt>
                <c:pt idx="117" formatCode="0">
                  <c:v>51.11535514614482</c:v>
                </c:pt>
                <c:pt idx="118" formatCode="0">
                  <c:v>52.90805688683921</c:v>
                </c:pt>
                <c:pt idx="119" formatCode="0">
                  <c:v>54.6694877757727</c:v>
                </c:pt>
                <c:pt idx="120" formatCode="0">
                  <c:v>56.39826947148036</c:v>
                </c:pt>
                <c:pt idx="121" formatCode="0">
                  <c:v>58.09323317916701</c:v>
                </c:pt>
                <c:pt idx="122" formatCode="0">
                  <c:v>59.75340453812044</c:v>
                </c:pt>
                <c:pt idx="123" formatCode="0">
                  <c:v>61.37798905978897</c:v>
                </c:pt>
                <c:pt idx="124" formatCode="0">
                  <c:v>62.9663581628481</c:v>
                </c:pt>
                <c:pt idx="125" formatCode="0">
                  <c:v>64.51803583722602</c:v>
                </c:pt>
                <c:pt idx="126" formatCode="0">
                  <c:v>66.03268595705948</c:v>
                </c:pt>
                <c:pt idx="127" formatCode="0">
                  <c:v>67.51010025258091</c:v>
                </c:pt>
                <c:pt idx="128" formatCode="0">
                  <c:v>68.95018694271826</c:v>
                </c:pt>
                <c:pt idx="129" formatCode="0">
                  <c:v>70.35296002346652</c:v>
                </c:pt>
                <c:pt idx="130" formatCode="0">
                  <c:v>71.7185292016597</c:v>
                </c:pt>
                <c:pt idx="131" formatCode="0">
                  <c:v>73.0470904594357</c:v>
                </c:pt>
                <c:pt idx="132" formatCode="0">
                  <c:v>74.33891723129203</c:v>
                </c:pt>
                <c:pt idx="133" formatCode="0">
                  <c:v>75.59435217302817</c:v>
                </c:pt>
                <c:pt idx="134" formatCode="0">
                  <c:v>76.81379949994392</c:v>
                </c:pt>
                <c:pt idx="135" formatCode="0">
                  <c:v>77.99771787030171</c:v>
                </c:pt>
                <c:pt idx="136" formatCode="0">
                  <c:v>79.146613789177</c:v>
                </c:pt>
                <c:pt idx="137" formatCode="0">
                  <c:v>80.26103550733013</c:v>
                </c:pt>
                <c:pt idx="138" formatCode="0">
                  <c:v>81.34156738957395</c:v>
                </c:pt>
                <c:pt idx="139" formatCode="0">
                  <c:v>82.38882472721718</c:v>
                </c:pt>
                <c:pt idx="140" formatCode="0">
                  <c:v>83.40344896949128</c:v>
                </c:pt>
                <c:pt idx="141" formatCode="0">
                  <c:v>84.38610334936986</c:v>
                </c:pt>
                <c:pt idx="142" formatCode="0">
                  <c:v>85.33746887983068</c:v>
                </c:pt>
                <c:pt idx="143" formatCode="0">
                  <c:v>86.25824069735708</c:v>
                </c:pt>
                <c:pt idx="144" formatCode="0">
                  <c:v>87.14912473030602</c:v>
                </c:pt>
                <c:pt idx="145" formatCode="0">
                  <c:v>88.01083467065497</c:v>
                </c:pt>
                <c:pt idx="146" formatCode="0">
                  <c:v>88.84408922856835</c:v>
                </c:pt>
                <c:pt idx="147" formatCode="0">
                  <c:v>89.64960965017287</c:v>
                </c:pt>
                <c:pt idx="148" formatCode="0">
                  <c:v>90.42811747989307</c:v>
                </c:pt>
                <c:pt idx="149" formatCode="0">
                  <c:v>91.18033254965907</c:v>
                </c:pt>
                <c:pt idx="150" formatCode="0">
                  <c:v>91.90697117825042</c:v>
                </c:pt>
                <c:pt idx="151" formatCode="0">
                  <c:v>92.60874456497581</c:v>
                </c:pt>
                <c:pt idx="152" formatCode="0">
                  <c:v>93.28635736280309</c:v>
                </c:pt>
                <c:pt idx="153" formatCode="0">
                  <c:v>93.94050641694188</c:v>
                </c:pt>
                <c:pt idx="154" formatCode="0">
                  <c:v>94.57187965573975</c:v>
                </c:pt>
                <c:pt idx="155" formatCode="0">
                  <c:v>95.18115512158023</c:v>
                </c:pt>
                <c:pt idx="156" formatCode="0">
                  <c:v>95.76900013026282</c:v>
                </c:pt>
                <c:pt idx="157" formatCode="0">
                  <c:v>96.33607054810381</c:v>
                </c:pt>
                <c:pt idx="158" formatCode="0">
                  <c:v>96.88301017671954</c:v>
                </c:pt>
                <c:pt idx="159" formatCode="0">
                  <c:v>97.41045023613991</c:v>
                </c:pt>
                <c:pt idx="160" formatCode="0">
                  <c:v>97.91900893755162</c:v>
                </c:pt>
                <c:pt idx="161" formatCode="0">
                  <c:v>0.0</c:v>
                </c:pt>
                <c:pt idx="162" formatCode="0">
                  <c:v>0.00668801632245595</c:v>
                </c:pt>
                <c:pt idx="163" formatCode="0">
                  <c:v>0.0504185326109012</c:v>
                </c:pt>
                <c:pt idx="164" formatCode="0">
                  <c:v>0.160413357645756</c:v>
                </c:pt>
                <c:pt idx="165" formatCode="0">
                  <c:v>0.35859718815809</c:v>
                </c:pt>
                <c:pt idx="166" formatCode="0">
                  <c:v>0.660785573896258</c:v>
                </c:pt>
                <c:pt idx="167" formatCode="0">
                  <c:v>1.077708464550237</c:v>
                </c:pt>
                <c:pt idx="168" formatCode="0">
                  <c:v>1.615890329645917</c:v>
                </c:pt>
                <c:pt idx="169" formatCode="0">
                  <c:v>2.278405281062679</c:v>
                </c:pt>
                <c:pt idx="170" formatCode="0">
                  <c:v>3.06552337058766</c:v>
                </c:pt>
                <c:pt idx="171" formatCode="0">
                  <c:v>3.975262246372517</c:v>
                </c:pt>
                <c:pt idx="172" formatCode="0">
                  <c:v>5.003856600881361</c:v>
                </c:pt>
                <c:pt idx="173" formatCode="0">
                  <c:v>6.146156301122398</c:v>
                </c:pt>
                <c:pt idx="174" formatCode="0">
                  <c:v>7.395962735068286</c:v>
                </c:pt>
                <c:pt idx="175" formatCode="0">
                  <c:v>8.746311714465289</c:v>
                </c:pt>
                <c:pt idx="176" formatCode="0">
                  <c:v>10.18971022450242</c:v>
                </c:pt>
                <c:pt idx="177" formatCode="0">
                  <c:v>11.71833338808361</c:v>
                </c:pt>
                <c:pt idx="178" formatCode="0">
                  <c:v>13.32418720171437</c:v>
                </c:pt>
                <c:pt idx="179" formatCode="0">
                  <c:v>14.99924188802333</c:v>
                </c:pt>
                <c:pt idx="180" formatCode="0">
                  <c:v>16.7355400849764</c:v>
                </c:pt>
                <c:pt idx="181" formatCode="0">
                  <c:v>18.5252835435601</c:v>
                </c:pt>
                <c:pt idx="182" formatCode="0">
                  <c:v>20.360901524977</c:v>
                </c:pt>
                <c:pt idx="183" formatCode="0">
                  <c:v>22.2351036671383</c:v>
                </c:pt>
                <c:pt idx="184" formatCode="0">
                  <c:v>24.14091972133881</c:v>
                </c:pt>
                <c:pt idx="185" formatCode="0">
                  <c:v>26.07172823716755</c:v>
                </c:pt>
                <c:pt idx="186" formatCode="0">
                  <c:v>28.02127599139918</c:v>
                </c:pt>
                <c:pt idx="187" formatCode="0">
                  <c:v>29.98368970993027</c:v>
                </c:pt>
                <c:pt idx="188" formatCode="0">
                  <c:v>31.9534814164577</c:v>
                </c:pt>
                <c:pt idx="189" formatCode="0">
                  <c:v>33.92554855373363</c:v>
                </c:pt>
                <c:pt idx="190" formatCode="0">
                  <c:v>35.89516985952151</c:v>
                </c:pt>
                <c:pt idx="191" formatCode="0">
                  <c:v>37.85799783686052</c:v>
                </c:pt>
                <c:pt idx="192" formatCode="0">
                  <c:v>39.81004853431885</c:v>
                </c:pt>
                <c:pt idx="193" formatCode="0">
                  <c:v>41.74768924428267</c:v>
                </c:pt>
                <c:pt idx="194" formatCode="0">
                  <c:v>43.6676246339707</c:v>
                </c:pt>
                <c:pt idx="195" formatCode="0">
                  <c:v>45.56688174300185</c:v>
                </c:pt>
                <c:pt idx="196" formatCode="0">
                  <c:v>47.44279421141578</c:v>
                </c:pt>
                <c:pt idx="197" formatCode="0">
                  <c:v>49.2929860416739</c:v>
                </c:pt>
                <c:pt idx="198" formatCode="0">
                  <c:v>51.11535514614482</c:v>
                </c:pt>
                <c:pt idx="199" formatCode="0">
                  <c:v>52.90805688683921</c:v>
                </c:pt>
                <c:pt idx="200" formatCode="0">
                  <c:v>54.6694877757727</c:v>
                </c:pt>
                <c:pt idx="201" formatCode="0">
                  <c:v>56.39826947148036</c:v>
                </c:pt>
                <c:pt idx="202" formatCode="0">
                  <c:v>58.09323317916701</c:v>
                </c:pt>
                <c:pt idx="203" formatCode="0">
                  <c:v>59.75340453812044</c:v>
                </c:pt>
                <c:pt idx="204" formatCode="0">
                  <c:v>61.37798905978897</c:v>
                </c:pt>
                <c:pt idx="205" formatCode="0">
                  <c:v>62.9663581628481</c:v>
                </c:pt>
                <c:pt idx="206" formatCode="0">
                  <c:v>64.51803583722602</c:v>
                </c:pt>
                <c:pt idx="207" formatCode="0">
                  <c:v>66.03268595705948</c:v>
                </c:pt>
                <c:pt idx="208" formatCode="0">
                  <c:v>67.51010025258091</c:v>
                </c:pt>
                <c:pt idx="209" formatCode="0">
                  <c:v>68.95018694271826</c:v>
                </c:pt>
                <c:pt idx="210" formatCode="0">
                  <c:v>70.35296002346652</c:v>
                </c:pt>
                <c:pt idx="211" formatCode="0">
                  <c:v>71.7185292016597</c:v>
                </c:pt>
                <c:pt idx="212" formatCode="0">
                  <c:v>73.0470904594357</c:v>
                </c:pt>
                <c:pt idx="213" formatCode="0">
                  <c:v>74.33891723129203</c:v>
                </c:pt>
                <c:pt idx="214" formatCode="0">
                  <c:v>75.59435217302817</c:v>
                </c:pt>
                <c:pt idx="215" formatCode="0">
                  <c:v>76.81379949994392</c:v>
                </c:pt>
                <c:pt idx="216" formatCode="0">
                  <c:v>77.99771787030171</c:v>
                </c:pt>
                <c:pt idx="217" formatCode="0">
                  <c:v>79.146613789177</c:v>
                </c:pt>
                <c:pt idx="218" formatCode="0">
                  <c:v>80.26103550733013</c:v>
                </c:pt>
                <c:pt idx="219" formatCode="0">
                  <c:v>81.34156738957395</c:v>
                </c:pt>
                <c:pt idx="220" formatCode="0">
                  <c:v>82.38882472721718</c:v>
                </c:pt>
                <c:pt idx="221" formatCode="0">
                  <c:v>83.40344896949128</c:v>
                </c:pt>
                <c:pt idx="222" formatCode="0">
                  <c:v>84.38610334936986</c:v>
                </c:pt>
                <c:pt idx="223" formatCode="0">
                  <c:v>85.33746887983068</c:v>
                </c:pt>
                <c:pt idx="224" formatCode="0">
                  <c:v>86.25824069735708</c:v>
                </c:pt>
                <c:pt idx="225" formatCode="0">
                  <c:v>87.14912473030602</c:v>
                </c:pt>
                <c:pt idx="226" formatCode="0">
                  <c:v>88.01083467065497</c:v>
                </c:pt>
                <c:pt idx="227" formatCode="0">
                  <c:v>88.84408922856835</c:v>
                </c:pt>
                <c:pt idx="228" formatCode="0">
                  <c:v>89.64960965017287</c:v>
                </c:pt>
                <c:pt idx="229" formatCode="0">
                  <c:v>90.42811747989307</c:v>
                </c:pt>
                <c:pt idx="230" formatCode="0">
                  <c:v>91.18033254965907</c:v>
                </c:pt>
                <c:pt idx="231" formatCode="0">
                  <c:v>91.90697117825042</c:v>
                </c:pt>
                <c:pt idx="232" formatCode="0">
                  <c:v>92.60874456497581</c:v>
                </c:pt>
                <c:pt idx="233" formatCode="0">
                  <c:v>93.28635736280309</c:v>
                </c:pt>
                <c:pt idx="234" formatCode="0">
                  <c:v>93.94050641694188</c:v>
                </c:pt>
                <c:pt idx="235" formatCode="0">
                  <c:v>94.57187965573975</c:v>
                </c:pt>
                <c:pt idx="236" formatCode="0">
                  <c:v>95.18115512158023</c:v>
                </c:pt>
                <c:pt idx="237" formatCode="0">
                  <c:v>95.76900013026282</c:v>
                </c:pt>
                <c:pt idx="238" formatCode="0">
                  <c:v>96.33607054810381</c:v>
                </c:pt>
                <c:pt idx="239" formatCode="0">
                  <c:v>96.88301017671954</c:v>
                </c:pt>
                <c:pt idx="240" formatCode="0">
                  <c:v>97.41045023613991</c:v>
                </c:pt>
              </c:numCache>
            </c:numRef>
          </c:val>
        </c:ser>
        <c:ser>
          <c:idx val="3"/>
          <c:order val="3"/>
          <c:tx>
            <c:strRef>
              <c:f>' MixCon Even T40H80U75'!$AM$77</c:f>
              <c:strCache>
                <c:ptCount val="1"/>
                <c:pt idx="0">
                  <c:v>Net energy from logging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75000"/>
                </a:schemeClr>
              </a:bgClr>
            </a:pattFill>
          </c:spPr>
          <c:invertIfNegative val="0"/>
          <c:val>
            <c:numRef>
              <c:f>' MixCon Even T40H80U75'!$AM$78:$AM$318</c:f>
              <c:numCache>
                <c:formatCode>General</c:formatCode>
                <c:ptCount val="241"/>
                <c:pt idx="40" formatCode="0">
                  <c:v>6.060623157256816</c:v>
                </c:pt>
                <c:pt idx="41" formatCode="0">
                  <c:v>6.060623157256816</c:v>
                </c:pt>
                <c:pt idx="42" formatCode="0">
                  <c:v>6.060623157256816</c:v>
                </c:pt>
                <c:pt idx="43" formatCode="0">
                  <c:v>6.060623157256816</c:v>
                </c:pt>
                <c:pt idx="44" formatCode="0">
                  <c:v>6.060623157256816</c:v>
                </c:pt>
                <c:pt idx="45" formatCode="0">
                  <c:v>6.060623157256816</c:v>
                </c:pt>
                <c:pt idx="46" formatCode="0">
                  <c:v>6.060623157256816</c:v>
                </c:pt>
                <c:pt idx="47" formatCode="0">
                  <c:v>6.060623157256816</c:v>
                </c:pt>
                <c:pt idx="48" formatCode="0">
                  <c:v>6.060623157256816</c:v>
                </c:pt>
                <c:pt idx="49" formatCode="0">
                  <c:v>6.060623157256816</c:v>
                </c:pt>
                <c:pt idx="50" formatCode="0">
                  <c:v>6.060623157256816</c:v>
                </c:pt>
                <c:pt idx="51" formatCode="0">
                  <c:v>6.060623157256816</c:v>
                </c:pt>
                <c:pt idx="52" formatCode="0">
                  <c:v>6.060623157256816</c:v>
                </c:pt>
                <c:pt idx="53" formatCode="0">
                  <c:v>6.060623157256816</c:v>
                </c:pt>
                <c:pt idx="54" formatCode="0">
                  <c:v>6.060623157256816</c:v>
                </c:pt>
                <c:pt idx="55" formatCode="0">
                  <c:v>6.060623157256816</c:v>
                </c:pt>
                <c:pt idx="56" formatCode="0">
                  <c:v>6.060623157256816</c:v>
                </c:pt>
                <c:pt idx="57" formatCode="0">
                  <c:v>6.060623157256816</c:v>
                </c:pt>
                <c:pt idx="58" formatCode="0">
                  <c:v>6.060623157256816</c:v>
                </c:pt>
                <c:pt idx="59" formatCode="0">
                  <c:v>6.060623157256816</c:v>
                </c:pt>
                <c:pt idx="60" formatCode="0">
                  <c:v>6.060623157256816</c:v>
                </c:pt>
                <c:pt idx="61" formatCode="0">
                  <c:v>6.060623157256816</c:v>
                </c:pt>
                <c:pt idx="62" formatCode="0">
                  <c:v>6.060623157256816</c:v>
                </c:pt>
                <c:pt idx="63" formatCode="0">
                  <c:v>6.060623157256816</c:v>
                </c:pt>
                <c:pt idx="64" formatCode="0">
                  <c:v>6.060623157256816</c:v>
                </c:pt>
                <c:pt idx="65" formatCode="0">
                  <c:v>6.060623157256816</c:v>
                </c:pt>
                <c:pt idx="66" formatCode="0">
                  <c:v>6.060623157256816</c:v>
                </c:pt>
                <c:pt idx="67" formatCode="0">
                  <c:v>6.060623157256816</c:v>
                </c:pt>
                <c:pt idx="68" formatCode="0">
                  <c:v>6.060623157256816</c:v>
                </c:pt>
                <c:pt idx="69" formatCode="0">
                  <c:v>6.060623157256816</c:v>
                </c:pt>
                <c:pt idx="70" formatCode="0">
                  <c:v>6.060623157256816</c:v>
                </c:pt>
                <c:pt idx="71" formatCode="0">
                  <c:v>6.060623157256816</c:v>
                </c:pt>
                <c:pt idx="72" formatCode="0">
                  <c:v>6.060623157256816</c:v>
                </c:pt>
                <c:pt idx="73" formatCode="0">
                  <c:v>6.060623157256816</c:v>
                </c:pt>
                <c:pt idx="74" formatCode="0">
                  <c:v>6.060623157256816</c:v>
                </c:pt>
                <c:pt idx="75" formatCode="0">
                  <c:v>6.060623157256816</c:v>
                </c:pt>
                <c:pt idx="76" formatCode="0">
                  <c:v>6.060623157256816</c:v>
                </c:pt>
                <c:pt idx="77" formatCode="0">
                  <c:v>6.060623157256816</c:v>
                </c:pt>
                <c:pt idx="78" formatCode="0">
                  <c:v>6.060623157256816</c:v>
                </c:pt>
                <c:pt idx="79" formatCode="0">
                  <c:v>6.060623157256816</c:v>
                </c:pt>
                <c:pt idx="80" formatCode="0">
                  <c:v>29.12428215499495</c:v>
                </c:pt>
                <c:pt idx="81" formatCode="0">
                  <c:v>29.12428215499495</c:v>
                </c:pt>
                <c:pt idx="82" formatCode="0">
                  <c:v>29.12428215499495</c:v>
                </c:pt>
                <c:pt idx="83" formatCode="0">
                  <c:v>29.12428215499495</c:v>
                </c:pt>
                <c:pt idx="84" formatCode="0">
                  <c:v>29.12428215499495</c:v>
                </c:pt>
                <c:pt idx="85" formatCode="0">
                  <c:v>29.12428215499495</c:v>
                </c:pt>
                <c:pt idx="86" formatCode="0">
                  <c:v>29.12428215499495</c:v>
                </c:pt>
                <c:pt idx="87" formatCode="0">
                  <c:v>29.12428215499495</c:v>
                </c:pt>
                <c:pt idx="88" formatCode="0">
                  <c:v>29.12428215499495</c:v>
                </c:pt>
                <c:pt idx="89" formatCode="0">
                  <c:v>29.12428215499495</c:v>
                </c:pt>
                <c:pt idx="90" formatCode="0">
                  <c:v>29.12428215499495</c:v>
                </c:pt>
                <c:pt idx="91" formatCode="0">
                  <c:v>29.12428215499495</c:v>
                </c:pt>
                <c:pt idx="92" formatCode="0">
                  <c:v>29.12428215499495</c:v>
                </c:pt>
                <c:pt idx="93" formatCode="0">
                  <c:v>29.12428215499495</c:v>
                </c:pt>
                <c:pt idx="94" formatCode="0">
                  <c:v>29.12428215499495</c:v>
                </c:pt>
                <c:pt idx="95" formatCode="0">
                  <c:v>29.12428215499495</c:v>
                </c:pt>
                <c:pt idx="96" formatCode="0">
                  <c:v>29.12428215499495</c:v>
                </c:pt>
                <c:pt idx="97" formatCode="0">
                  <c:v>29.12428215499495</c:v>
                </c:pt>
                <c:pt idx="98" formatCode="0">
                  <c:v>29.12428215499495</c:v>
                </c:pt>
                <c:pt idx="99" formatCode="0">
                  <c:v>29.12428215499495</c:v>
                </c:pt>
                <c:pt idx="100" formatCode="0">
                  <c:v>29.12428215499495</c:v>
                </c:pt>
                <c:pt idx="101" formatCode="0">
                  <c:v>29.12428215499495</c:v>
                </c:pt>
                <c:pt idx="102" formatCode="0">
                  <c:v>29.12428215499495</c:v>
                </c:pt>
                <c:pt idx="103" formatCode="0">
                  <c:v>29.12428215499495</c:v>
                </c:pt>
                <c:pt idx="104" formatCode="0">
                  <c:v>29.12428215499495</c:v>
                </c:pt>
                <c:pt idx="105" formatCode="0">
                  <c:v>29.12428215499495</c:v>
                </c:pt>
                <c:pt idx="106" formatCode="0">
                  <c:v>29.12428215499495</c:v>
                </c:pt>
                <c:pt idx="107" formatCode="0">
                  <c:v>29.12428215499495</c:v>
                </c:pt>
                <c:pt idx="108" formatCode="0">
                  <c:v>29.12428215499495</c:v>
                </c:pt>
                <c:pt idx="109" formatCode="0">
                  <c:v>29.12428215499495</c:v>
                </c:pt>
                <c:pt idx="110" formatCode="0">
                  <c:v>29.12428215499495</c:v>
                </c:pt>
                <c:pt idx="111" formatCode="0">
                  <c:v>29.12428215499495</c:v>
                </c:pt>
                <c:pt idx="112" formatCode="0">
                  <c:v>29.12428215499495</c:v>
                </c:pt>
                <c:pt idx="113" formatCode="0">
                  <c:v>29.12428215499495</c:v>
                </c:pt>
                <c:pt idx="114" formatCode="0">
                  <c:v>29.12428215499495</c:v>
                </c:pt>
                <c:pt idx="115" formatCode="0">
                  <c:v>29.12428215499495</c:v>
                </c:pt>
                <c:pt idx="116" formatCode="0">
                  <c:v>29.12428215499495</c:v>
                </c:pt>
                <c:pt idx="117" formatCode="0">
                  <c:v>29.12428215499495</c:v>
                </c:pt>
                <c:pt idx="118" formatCode="0">
                  <c:v>29.12428215499495</c:v>
                </c:pt>
                <c:pt idx="119" formatCode="0">
                  <c:v>29.12428215499495</c:v>
                </c:pt>
                <c:pt idx="120" formatCode="0">
                  <c:v>29.12428215499495</c:v>
                </c:pt>
                <c:pt idx="121" formatCode="0">
                  <c:v>29.12428215499495</c:v>
                </c:pt>
                <c:pt idx="122" formatCode="0">
                  <c:v>29.12428215499495</c:v>
                </c:pt>
                <c:pt idx="123" formatCode="0">
                  <c:v>29.12428215499495</c:v>
                </c:pt>
                <c:pt idx="124" formatCode="0">
                  <c:v>29.12428215499495</c:v>
                </c:pt>
                <c:pt idx="125" formatCode="0">
                  <c:v>29.12428215499495</c:v>
                </c:pt>
                <c:pt idx="126" formatCode="0">
                  <c:v>29.12428215499495</c:v>
                </c:pt>
                <c:pt idx="127" formatCode="0">
                  <c:v>29.12428215499495</c:v>
                </c:pt>
                <c:pt idx="128" formatCode="0">
                  <c:v>29.12428215499495</c:v>
                </c:pt>
                <c:pt idx="129" formatCode="0">
                  <c:v>29.12428215499495</c:v>
                </c:pt>
                <c:pt idx="130" formatCode="0">
                  <c:v>29.12428215499495</c:v>
                </c:pt>
                <c:pt idx="131" formatCode="0">
                  <c:v>29.12428215499495</c:v>
                </c:pt>
                <c:pt idx="132" formatCode="0">
                  <c:v>29.12428215499495</c:v>
                </c:pt>
                <c:pt idx="133" formatCode="0">
                  <c:v>29.12428215499495</c:v>
                </c:pt>
                <c:pt idx="134" formatCode="0">
                  <c:v>29.12428215499495</c:v>
                </c:pt>
                <c:pt idx="135" formatCode="0">
                  <c:v>29.12428215499495</c:v>
                </c:pt>
                <c:pt idx="136" formatCode="0">
                  <c:v>29.12428215499495</c:v>
                </c:pt>
                <c:pt idx="137" formatCode="0">
                  <c:v>29.12428215499495</c:v>
                </c:pt>
                <c:pt idx="138" formatCode="0">
                  <c:v>29.12428215499495</c:v>
                </c:pt>
                <c:pt idx="139" formatCode="0">
                  <c:v>29.12428215499495</c:v>
                </c:pt>
                <c:pt idx="140" formatCode="0">
                  <c:v>29.12428215499495</c:v>
                </c:pt>
                <c:pt idx="141" formatCode="0">
                  <c:v>29.12428215499495</c:v>
                </c:pt>
                <c:pt idx="142" formatCode="0">
                  <c:v>29.12428215499495</c:v>
                </c:pt>
                <c:pt idx="143" formatCode="0">
                  <c:v>29.12428215499495</c:v>
                </c:pt>
                <c:pt idx="144" formatCode="0">
                  <c:v>29.12428215499495</c:v>
                </c:pt>
                <c:pt idx="145" formatCode="0">
                  <c:v>29.12428215499495</c:v>
                </c:pt>
                <c:pt idx="146" formatCode="0">
                  <c:v>29.12428215499495</c:v>
                </c:pt>
                <c:pt idx="147" formatCode="0">
                  <c:v>29.12428215499495</c:v>
                </c:pt>
                <c:pt idx="148" formatCode="0">
                  <c:v>29.12428215499495</c:v>
                </c:pt>
                <c:pt idx="149" formatCode="0">
                  <c:v>29.12428215499495</c:v>
                </c:pt>
                <c:pt idx="150" formatCode="0">
                  <c:v>29.12428215499495</c:v>
                </c:pt>
                <c:pt idx="151" formatCode="0">
                  <c:v>29.12428215499495</c:v>
                </c:pt>
                <c:pt idx="152" formatCode="0">
                  <c:v>29.12428215499495</c:v>
                </c:pt>
                <c:pt idx="153" formatCode="0">
                  <c:v>29.12428215499495</c:v>
                </c:pt>
                <c:pt idx="154" formatCode="0">
                  <c:v>29.12428215499495</c:v>
                </c:pt>
                <c:pt idx="155" formatCode="0">
                  <c:v>29.12428215499495</c:v>
                </c:pt>
                <c:pt idx="156" formatCode="0">
                  <c:v>29.12428215499495</c:v>
                </c:pt>
                <c:pt idx="157" formatCode="0">
                  <c:v>29.12428215499495</c:v>
                </c:pt>
                <c:pt idx="158" formatCode="0">
                  <c:v>29.12428215499495</c:v>
                </c:pt>
                <c:pt idx="159" formatCode="0">
                  <c:v>29.12428215499495</c:v>
                </c:pt>
                <c:pt idx="160" formatCode="0">
                  <c:v>29.12428215499495</c:v>
                </c:pt>
                <c:pt idx="161" formatCode="0">
                  <c:v>49.50179141087708</c:v>
                </c:pt>
                <c:pt idx="162" formatCode="0">
                  <c:v>49.50179141087708</c:v>
                </c:pt>
                <c:pt idx="163" formatCode="0">
                  <c:v>49.50179141087708</c:v>
                </c:pt>
                <c:pt idx="164" formatCode="0">
                  <c:v>49.50179141087708</c:v>
                </c:pt>
                <c:pt idx="165" formatCode="0">
                  <c:v>49.50179141087708</c:v>
                </c:pt>
                <c:pt idx="166" formatCode="0">
                  <c:v>49.50179141087708</c:v>
                </c:pt>
                <c:pt idx="167" formatCode="0">
                  <c:v>49.50179141087708</c:v>
                </c:pt>
                <c:pt idx="168" formatCode="0">
                  <c:v>49.50179141087708</c:v>
                </c:pt>
                <c:pt idx="169" formatCode="0">
                  <c:v>49.50179141087708</c:v>
                </c:pt>
                <c:pt idx="170" formatCode="0">
                  <c:v>49.50179141087708</c:v>
                </c:pt>
                <c:pt idx="171" formatCode="0">
                  <c:v>49.50179141087708</c:v>
                </c:pt>
                <c:pt idx="172" formatCode="0">
                  <c:v>49.50179141087708</c:v>
                </c:pt>
                <c:pt idx="173" formatCode="0">
                  <c:v>49.50179141087708</c:v>
                </c:pt>
                <c:pt idx="174" formatCode="0">
                  <c:v>49.50179141087708</c:v>
                </c:pt>
                <c:pt idx="175" formatCode="0">
                  <c:v>49.50179141087708</c:v>
                </c:pt>
                <c:pt idx="176" formatCode="0">
                  <c:v>49.50179141087708</c:v>
                </c:pt>
                <c:pt idx="177" formatCode="0">
                  <c:v>49.50179141087708</c:v>
                </c:pt>
                <c:pt idx="178" formatCode="0">
                  <c:v>49.50179141087708</c:v>
                </c:pt>
                <c:pt idx="179" formatCode="0">
                  <c:v>49.50179141087708</c:v>
                </c:pt>
                <c:pt idx="180" formatCode="0">
                  <c:v>49.50179141087708</c:v>
                </c:pt>
                <c:pt idx="181" formatCode="0">
                  <c:v>49.50179141087708</c:v>
                </c:pt>
                <c:pt idx="182" formatCode="0">
                  <c:v>49.50179141087708</c:v>
                </c:pt>
                <c:pt idx="183" formatCode="0">
                  <c:v>49.50179141087708</c:v>
                </c:pt>
                <c:pt idx="184" formatCode="0">
                  <c:v>49.50179141087708</c:v>
                </c:pt>
                <c:pt idx="185" formatCode="0">
                  <c:v>49.50179141087708</c:v>
                </c:pt>
                <c:pt idx="186" formatCode="0">
                  <c:v>49.50179141087708</c:v>
                </c:pt>
                <c:pt idx="187" formatCode="0">
                  <c:v>49.50179141087708</c:v>
                </c:pt>
                <c:pt idx="188" formatCode="0">
                  <c:v>49.50179141087708</c:v>
                </c:pt>
                <c:pt idx="189" formatCode="0">
                  <c:v>49.50179141087708</c:v>
                </c:pt>
                <c:pt idx="190" formatCode="0">
                  <c:v>49.50179141087708</c:v>
                </c:pt>
                <c:pt idx="191" formatCode="0">
                  <c:v>49.50179141087708</c:v>
                </c:pt>
                <c:pt idx="192" formatCode="0">
                  <c:v>49.50179141087708</c:v>
                </c:pt>
                <c:pt idx="193" formatCode="0">
                  <c:v>49.50179141087708</c:v>
                </c:pt>
                <c:pt idx="194" formatCode="0">
                  <c:v>49.50179141087708</c:v>
                </c:pt>
                <c:pt idx="195" formatCode="0">
                  <c:v>49.50179141087708</c:v>
                </c:pt>
                <c:pt idx="196" formatCode="0">
                  <c:v>49.50179141087708</c:v>
                </c:pt>
                <c:pt idx="197" formatCode="0">
                  <c:v>49.50179141087708</c:v>
                </c:pt>
                <c:pt idx="198" formatCode="0">
                  <c:v>49.50179141087708</c:v>
                </c:pt>
                <c:pt idx="199" formatCode="0">
                  <c:v>49.50179141087708</c:v>
                </c:pt>
                <c:pt idx="200" formatCode="0">
                  <c:v>49.50179141087708</c:v>
                </c:pt>
                <c:pt idx="201" formatCode="0">
                  <c:v>49.50179141087708</c:v>
                </c:pt>
                <c:pt idx="202" formatCode="0">
                  <c:v>49.50179141087708</c:v>
                </c:pt>
                <c:pt idx="203" formatCode="0">
                  <c:v>49.50179141087708</c:v>
                </c:pt>
                <c:pt idx="204" formatCode="0">
                  <c:v>49.50179141087708</c:v>
                </c:pt>
                <c:pt idx="205" formatCode="0">
                  <c:v>49.50179141087708</c:v>
                </c:pt>
                <c:pt idx="206" formatCode="0">
                  <c:v>49.50179141087708</c:v>
                </c:pt>
                <c:pt idx="207" formatCode="0">
                  <c:v>49.50179141087708</c:v>
                </c:pt>
                <c:pt idx="208" formatCode="0">
                  <c:v>49.50179141087708</c:v>
                </c:pt>
                <c:pt idx="209" formatCode="0">
                  <c:v>49.50179141087708</c:v>
                </c:pt>
                <c:pt idx="210" formatCode="0">
                  <c:v>49.50179141087708</c:v>
                </c:pt>
                <c:pt idx="211" formatCode="0">
                  <c:v>49.50179141087708</c:v>
                </c:pt>
                <c:pt idx="212" formatCode="0">
                  <c:v>49.50179141087708</c:v>
                </c:pt>
                <c:pt idx="213" formatCode="0">
                  <c:v>49.50179141087708</c:v>
                </c:pt>
                <c:pt idx="214" formatCode="0">
                  <c:v>49.50179141087708</c:v>
                </c:pt>
                <c:pt idx="215" formatCode="0">
                  <c:v>49.50179141087708</c:v>
                </c:pt>
                <c:pt idx="216" formatCode="0">
                  <c:v>49.50179141087708</c:v>
                </c:pt>
                <c:pt idx="217" formatCode="0">
                  <c:v>49.50179141087708</c:v>
                </c:pt>
                <c:pt idx="218" formatCode="0">
                  <c:v>49.50179141087708</c:v>
                </c:pt>
                <c:pt idx="219" formatCode="0">
                  <c:v>49.50179141087708</c:v>
                </c:pt>
                <c:pt idx="220" formatCode="0">
                  <c:v>49.50179141087708</c:v>
                </c:pt>
                <c:pt idx="221" formatCode="0">
                  <c:v>49.50179141087708</c:v>
                </c:pt>
                <c:pt idx="222" formatCode="0">
                  <c:v>49.50179141087708</c:v>
                </c:pt>
                <c:pt idx="223" formatCode="0">
                  <c:v>49.50179141087708</c:v>
                </c:pt>
                <c:pt idx="224" formatCode="0">
                  <c:v>49.50179141087708</c:v>
                </c:pt>
                <c:pt idx="225" formatCode="0">
                  <c:v>49.50179141087708</c:v>
                </c:pt>
                <c:pt idx="226" formatCode="0">
                  <c:v>49.50179141087708</c:v>
                </c:pt>
                <c:pt idx="227" formatCode="0">
                  <c:v>49.50179141087708</c:v>
                </c:pt>
                <c:pt idx="228" formatCode="0">
                  <c:v>49.50179141087708</c:v>
                </c:pt>
                <c:pt idx="229" formatCode="0">
                  <c:v>49.50179141087708</c:v>
                </c:pt>
                <c:pt idx="230" formatCode="0">
                  <c:v>49.50179141087708</c:v>
                </c:pt>
                <c:pt idx="231" formatCode="0">
                  <c:v>49.50179141087708</c:v>
                </c:pt>
                <c:pt idx="232" formatCode="0">
                  <c:v>49.50179141087708</c:v>
                </c:pt>
                <c:pt idx="233" formatCode="0">
                  <c:v>49.50179141087708</c:v>
                </c:pt>
                <c:pt idx="234" formatCode="0">
                  <c:v>49.50179141087708</c:v>
                </c:pt>
                <c:pt idx="235" formatCode="0">
                  <c:v>49.50179141087708</c:v>
                </c:pt>
                <c:pt idx="236" formatCode="0">
                  <c:v>49.50179141087708</c:v>
                </c:pt>
                <c:pt idx="237" formatCode="0">
                  <c:v>49.50179141087708</c:v>
                </c:pt>
                <c:pt idx="238" formatCode="0">
                  <c:v>49.50179141087708</c:v>
                </c:pt>
                <c:pt idx="239" formatCode="0">
                  <c:v>49.50179141087708</c:v>
                </c:pt>
                <c:pt idx="240" formatCode="0">
                  <c:v>49.50179141087708</c:v>
                </c:pt>
              </c:numCache>
            </c:numRef>
          </c:val>
        </c:ser>
        <c:ser>
          <c:idx val="4"/>
          <c:order val="4"/>
          <c:tx>
            <c:strRef>
              <c:f>' MixCon Even T40H80U75'!$AN$77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60000"/>
                  <a:lumOff val="40000"/>
                </a:schemeClr>
              </a:bgClr>
            </a:pattFill>
          </c:spPr>
          <c:invertIfNegative val="0"/>
          <c:val>
            <c:numRef>
              <c:f>' MixCon Even T40H80U75'!$AN$78:$AN$318</c:f>
              <c:numCache>
                <c:formatCode>General</c:formatCode>
                <c:ptCount val="241"/>
                <c:pt idx="40" formatCode="0">
                  <c:v>0.754210881791959</c:v>
                </c:pt>
                <c:pt idx="41" formatCode="0">
                  <c:v>0.754210881791959</c:v>
                </c:pt>
                <c:pt idx="42" formatCode="0">
                  <c:v>0.754210881791959</c:v>
                </c:pt>
                <c:pt idx="43" formatCode="0">
                  <c:v>0.754210881791959</c:v>
                </c:pt>
                <c:pt idx="44" formatCode="0">
                  <c:v>0.754210881791959</c:v>
                </c:pt>
                <c:pt idx="45" formatCode="0">
                  <c:v>0.754210881791959</c:v>
                </c:pt>
                <c:pt idx="46" formatCode="0">
                  <c:v>0.754210881791959</c:v>
                </c:pt>
                <c:pt idx="47" formatCode="0">
                  <c:v>0.754210881791959</c:v>
                </c:pt>
                <c:pt idx="48" formatCode="0">
                  <c:v>0.754210881791959</c:v>
                </c:pt>
                <c:pt idx="49" formatCode="0">
                  <c:v>0.754210881791959</c:v>
                </c:pt>
                <c:pt idx="50" formatCode="0">
                  <c:v>0.754210881791959</c:v>
                </c:pt>
                <c:pt idx="51" formatCode="0">
                  <c:v>0.754210881791959</c:v>
                </c:pt>
                <c:pt idx="52" formatCode="0">
                  <c:v>0.754210881791959</c:v>
                </c:pt>
                <c:pt idx="53" formatCode="0">
                  <c:v>0.754210881791959</c:v>
                </c:pt>
                <c:pt idx="54" formatCode="0">
                  <c:v>0.754210881791959</c:v>
                </c:pt>
                <c:pt idx="55" formatCode="0">
                  <c:v>0.754210881791959</c:v>
                </c:pt>
                <c:pt idx="56" formatCode="0">
                  <c:v>0.754210881791959</c:v>
                </c:pt>
                <c:pt idx="57" formatCode="0">
                  <c:v>0.754210881791959</c:v>
                </c:pt>
                <c:pt idx="58" formatCode="0">
                  <c:v>0.754210881791959</c:v>
                </c:pt>
                <c:pt idx="59" formatCode="0">
                  <c:v>0.754210881791959</c:v>
                </c:pt>
                <c:pt idx="60" formatCode="0">
                  <c:v>0.754210881791959</c:v>
                </c:pt>
                <c:pt idx="61" formatCode="0">
                  <c:v>0.754210881791959</c:v>
                </c:pt>
                <c:pt idx="62" formatCode="0">
                  <c:v>0.754210881791959</c:v>
                </c:pt>
                <c:pt idx="63" formatCode="0">
                  <c:v>0.754210881791959</c:v>
                </c:pt>
                <c:pt idx="64" formatCode="0">
                  <c:v>0.754210881791959</c:v>
                </c:pt>
                <c:pt idx="65" formatCode="0">
                  <c:v>0.754210881791959</c:v>
                </c:pt>
                <c:pt idx="66" formatCode="0">
                  <c:v>0.754210881791959</c:v>
                </c:pt>
                <c:pt idx="67" formatCode="0">
                  <c:v>0.754210881791959</c:v>
                </c:pt>
                <c:pt idx="68" formatCode="0">
                  <c:v>0.754210881791959</c:v>
                </c:pt>
                <c:pt idx="69" formatCode="0">
                  <c:v>0.754210881791959</c:v>
                </c:pt>
                <c:pt idx="70" formatCode="0">
                  <c:v>0.754210881791959</c:v>
                </c:pt>
                <c:pt idx="71" formatCode="0">
                  <c:v>0.754210881791959</c:v>
                </c:pt>
                <c:pt idx="72" formatCode="0">
                  <c:v>0.754210881791959</c:v>
                </c:pt>
                <c:pt idx="73" formatCode="0">
                  <c:v>0.754210881791959</c:v>
                </c:pt>
                <c:pt idx="74" formatCode="0">
                  <c:v>0.754210881791959</c:v>
                </c:pt>
                <c:pt idx="75" formatCode="0">
                  <c:v>0.754210881791959</c:v>
                </c:pt>
                <c:pt idx="76" formatCode="0">
                  <c:v>0.754210881791959</c:v>
                </c:pt>
                <c:pt idx="77" formatCode="0">
                  <c:v>0.754210881791959</c:v>
                </c:pt>
                <c:pt idx="78" formatCode="0">
                  <c:v>0.754210881791959</c:v>
                </c:pt>
                <c:pt idx="79" formatCode="0">
                  <c:v>0.754210881791959</c:v>
                </c:pt>
                <c:pt idx="80" formatCode="0">
                  <c:v>13.05482901391896</c:v>
                </c:pt>
                <c:pt idx="81" formatCode="0">
                  <c:v>13.05482901391896</c:v>
                </c:pt>
                <c:pt idx="82" formatCode="0">
                  <c:v>13.05482901391896</c:v>
                </c:pt>
                <c:pt idx="83" formatCode="0">
                  <c:v>13.05482901391896</c:v>
                </c:pt>
                <c:pt idx="84" formatCode="0">
                  <c:v>13.05482901391896</c:v>
                </c:pt>
                <c:pt idx="85" formatCode="0">
                  <c:v>13.05482901391896</c:v>
                </c:pt>
                <c:pt idx="86" formatCode="0">
                  <c:v>13.05482901391896</c:v>
                </c:pt>
                <c:pt idx="87" formatCode="0">
                  <c:v>13.05482901391896</c:v>
                </c:pt>
                <c:pt idx="88" formatCode="0">
                  <c:v>13.05482901391896</c:v>
                </c:pt>
                <c:pt idx="89" formatCode="0">
                  <c:v>13.05482901391896</c:v>
                </c:pt>
                <c:pt idx="90" formatCode="0">
                  <c:v>13.05482901391896</c:v>
                </c:pt>
                <c:pt idx="91" formatCode="0">
                  <c:v>13.05482901391896</c:v>
                </c:pt>
                <c:pt idx="92" formatCode="0">
                  <c:v>13.05482901391896</c:v>
                </c:pt>
                <c:pt idx="93" formatCode="0">
                  <c:v>13.05482901391896</c:v>
                </c:pt>
                <c:pt idx="94" formatCode="0">
                  <c:v>13.05482901391896</c:v>
                </c:pt>
                <c:pt idx="95" formatCode="0">
                  <c:v>13.05482901391896</c:v>
                </c:pt>
                <c:pt idx="96" formatCode="0">
                  <c:v>13.05482901391896</c:v>
                </c:pt>
                <c:pt idx="97" formatCode="0">
                  <c:v>13.05482901391896</c:v>
                </c:pt>
                <c:pt idx="98" formatCode="0">
                  <c:v>13.05482901391896</c:v>
                </c:pt>
                <c:pt idx="99" formatCode="0">
                  <c:v>13.05482901391896</c:v>
                </c:pt>
                <c:pt idx="100" formatCode="0">
                  <c:v>13.05482901391896</c:v>
                </c:pt>
                <c:pt idx="101" formatCode="0">
                  <c:v>13.05482901391896</c:v>
                </c:pt>
                <c:pt idx="102" formatCode="0">
                  <c:v>13.05482901391896</c:v>
                </c:pt>
                <c:pt idx="103" formatCode="0">
                  <c:v>13.05482901391896</c:v>
                </c:pt>
                <c:pt idx="104" formatCode="0">
                  <c:v>13.05482901391896</c:v>
                </c:pt>
                <c:pt idx="105" formatCode="0">
                  <c:v>13.05482901391896</c:v>
                </c:pt>
                <c:pt idx="106" formatCode="0">
                  <c:v>13.05482901391896</c:v>
                </c:pt>
                <c:pt idx="107" formatCode="0">
                  <c:v>13.05482901391896</c:v>
                </c:pt>
                <c:pt idx="108" formatCode="0">
                  <c:v>13.05482901391896</c:v>
                </c:pt>
                <c:pt idx="109" formatCode="0">
                  <c:v>13.05482901391896</c:v>
                </c:pt>
                <c:pt idx="110" formatCode="0">
                  <c:v>13.05482901391896</c:v>
                </c:pt>
                <c:pt idx="111" formatCode="0">
                  <c:v>13.05482901391896</c:v>
                </c:pt>
                <c:pt idx="112" formatCode="0">
                  <c:v>13.05482901391896</c:v>
                </c:pt>
                <c:pt idx="113" formatCode="0">
                  <c:v>13.05482901391896</c:v>
                </c:pt>
                <c:pt idx="114" formatCode="0">
                  <c:v>13.05482901391896</c:v>
                </c:pt>
                <c:pt idx="115" formatCode="0">
                  <c:v>13.05482901391896</c:v>
                </c:pt>
                <c:pt idx="116" formatCode="0">
                  <c:v>13.05482901391896</c:v>
                </c:pt>
                <c:pt idx="117" formatCode="0">
                  <c:v>13.05482901391896</c:v>
                </c:pt>
                <c:pt idx="118" formatCode="0">
                  <c:v>13.05482901391896</c:v>
                </c:pt>
                <c:pt idx="119" formatCode="0">
                  <c:v>13.05482901391896</c:v>
                </c:pt>
                <c:pt idx="120" formatCode="0">
                  <c:v>13.05482901391896</c:v>
                </c:pt>
                <c:pt idx="121" formatCode="0">
                  <c:v>13.05482901391896</c:v>
                </c:pt>
                <c:pt idx="122" formatCode="0">
                  <c:v>13.05482901391896</c:v>
                </c:pt>
                <c:pt idx="123" formatCode="0">
                  <c:v>13.05482901391896</c:v>
                </c:pt>
                <c:pt idx="124" formatCode="0">
                  <c:v>13.05482901391896</c:v>
                </c:pt>
                <c:pt idx="125" formatCode="0">
                  <c:v>13.05482901391896</c:v>
                </c:pt>
                <c:pt idx="126" formatCode="0">
                  <c:v>13.05482901391896</c:v>
                </c:pt>
                <c:pt idx="127" formatCode="0">
                  <c:v>13.05482901391896</c:v>
                </c:pt>
                <c:pt idx="128" formatCode="0">
                  <c:v>13.05482901391896</c:v>
                </c:pt>
                <c:pt idx="129" formatCode="0">
                  <c:v>13.05482901391896</c:v>
                </c:pt>
                <c:pt idx="130" formatCode="0">
                  <c:v>13.05482901391896</c:v>
                </c:pt>
                <c:pt idx="131" formatCode="0">
                  <c:v>13.05482901391896</c:v>
                </c:pt>
                <c:pt idx="132" formatCode="0">
                  <c:v>13.05482901391896</c:v>
                </c:pt>
                <c:pt idx="133" formatCode="0">
                  <c:v>13.05482901391896</c:v>
                </c:pt>
                <c:pt idx="134" formatCode="0">
                  <c:v>13.05482901391896</c:v>
                </c:pt>
                <c:pt idx="135" formatCode="0">
                  <c:v>13.05482901391896</c:v>
                </c:pt>
                <c:pt idx="136" formatCode="0">
                  <c:v>13.05482901391896</c:v>
                </c:pt>
                <c:pt idx="137" formatCode="0">
                  <c:v>13.05482901391896</c:v>
                </c:pt>
                <c:pt idx="138" formatCode="0">
                  <c:v>13.05482901391896</c:v>
                </c:pt>
                <c:pt idx="139" formatCode="0">
                  <c:v>13.05482901391896</c:v>
                </c:pt>
                <c:pt idx="140" formatCode="0">
                  <c:v>13.05482901391896</c:v>
                </c:pt>
                <c:pt idx="141" formatCode="0">
                  <c:v>13.05482901391896</c:v>
                </c:pt>
                <c:pt idx="142" formatCode="0">
                  <c:v>13.05482901391896</c:v>
                </c:pt>
                <c:pt idx="143" formatCode="0">
                  <c:v>13.05482901391896</c:v>
                </c:pt>
                <c:pt idx="144" formatCode="0">
                  <c:v>13.05482901391896</c:v>
                </c:pt>
                <c:pt idx="145" formatCode="0">
                  <c:v>13.05482901391896</c:v>
                </c:pt>
                <c:pt idx="146" formatCode="0">
                  <c:v>13.05482901391896</c:v>
                </c:pt>
                <c:pt idx="147" formatCode="0">
                  <c:v>13.05482901391896</c:v>
                </c:pt>
                <c:pt idx="148" formatCode="0">
                  <c:v>13.05482901391896</c:v>
                </c:pt>
                <c:pt idx="149" formatCode="0">
                  <c:v>13.05482901391896</c:v>
                </c:pt>
                <c:pt idx="150" formatCode="0">
                  <c:v>13.05482901391896</c:v>
                </c:pt>
                <c:pt idx="151" formatCode="0">
                  <c:v>13.05482901391896</c:v>
                </c:pt>
                <c:pt idx="152" formatCode="0">
                  <c:v>13.05482901391896</c:v>
                </c:pt>
                <c:pt idx="153" formatCode="0">
                  <c:v>13.05482901391896</c:v>
                </c:pt>
                <c:pt idx="154" formatCode="0">
                  <c:v>13.05482901391896</c:v>
                </c:pt>
                <c:pt idx="155" formatCode="0">
                  <c:v>13.05482901391896</c:v>
                </c:pt>
                <c:pt idx="156" formatCode="0">
                  <c:v>13.05482901391896</c:v>
                </c:pt>
                <c:pt idx="157" formatCode="0">
                  <c:v>13.05482901391896</c:v>
                </c:pt>
                <c:pt idx="158" formatCode="0">
                  <c:v>13.05482901391896</c:v>
                </c:pt>
                <c:pt idx="159" formatCode="0">
                  <c:v>13.05482901391896</c:v>
                </c:pt>
                <c:pt idx="160" formatCode="0">
                  <c:v>13.05482901391896</c:v>
                </c:pt>
                <c:pt idx="161" formatCode="0">
                  <c:v>26.40095541913443</c:v>
                </c:pt>
                <c:pt idx="162" formatCode="0">
                  <c:v>26.40095541913443</c:v>
                </c:pt>
                <c:pt idx="163" formatCode="0">
                  <c:v>26.40095541913443</c:v>
                </c:pt>
                <c:pt idx="164" formatCode="0">
                  <c:v>26.40095541913443</c:v>
                </c:pt>
                <c:pt idx="165" formatCode="0">
                  <c:v>26.40095541913443</c:v>
                </c:pt>
                <c:pt idx="166" formatCode="0">
                  <c:v>26.40095541913443</c:v>
                </c:pt>
                <c:pt idx="167" formatCode="0">
                  <c:v>26.40095541913443</c:v>
                </c:pt>
                <c:pt idx="168" formatCode="0">
                  <c:v>26.40095541913443</c:v>
                </c:pt>
                <c:pt idx="169" formatCode="0">
                  <c:v>26.40095541913443</c:v>
                </c:pt>
                <c:pt idx="170" formatCode="0">
                  <c:v>26.40095541913443</c:v>
                </c:pt>
                <c:pt idx="171" formatCode="0">
                  <c:v>26.40095541913443</c:v>
                </c:pt>
                <c:pt idx="172" formatCode="0">
                  <c:v>26.40095541913443</c:v>
                </c:pt>
                <c:pt idx="173" formatCode="0">
                  <c:v>26.40095541913443</c:v>
                </c:pt>
                <c:pt idx="174" formatCode="0">
                  <c:v>26.40095541913443</c:v>
                </c:pt>
                <c:pt idx="175" formatCode="0">
                  <c:v>26.40095541913443</c:v>
                </c:pt>
                <c:pt idx="176" formatCode="0">
                  <c:v>26.40095541913443</c:v>
                </c:pt>
                <c:pt idx="177" formatCode="0">
                  <c:v>26.40095541913443</c:v>
                </c:pt>
                <c:pt idx="178" formatCode="0">
                  <c:v>26.40095541913443</c:v>
                </c:pt>
                <c:pt idx="179" formatCode="0">
                  <c:v>26.40095541913443</c:v>
                </c:pt>
                <c:pt idx="180" formatCode="0">
                  <c:v>26.40095541913443</c:v>
                </c:pt>
                <c:pt idx="181" formatCode="0">
                  <c:v>26.40095541913443</c:v>
                </c:pt>
                <c:pt idx="182" formatCode="0">
                  <c:v>26.40095541913443</c:v>
                </c:pt>
                <c:pt idx="183" formatCode="0">
                  <c:v>26.40095541913443</c:v>
                </c:pt>
                <c:pt idx="184" formatCode="0">
                  <c:v>26.40095541913443</c:v>
                </c:pt>
                <c:pt idx="185" formatCode="0">
                  <c:v>26.40095541913443</c:v>
                </c:pt>
                <c:pt idx="186" formatCode="0">
                  <c:v>26.40095541913443</c:v>
                </c:pt>
                <c:pt idx="187" formatCode="0">
                  <c:v>26.40095541913443</c:v>
                </c:pt>
                <c:pt idx="188" formatCode="0">
                  <c:v>26.40095541913443</c:v>
                </c:pt>
                <c:pt idx="189" formatCode="0">
                  <c:v>26.40095541913443</c:v>
                </c:pt>
                <c:pt idx="190" formatCode="0">
                  <c:v>26.40095541913443</c:v>
                </c:pt>
                <c:pt idx="191" formatCode="0">
                  <c:v>26.40095541913443</c:v>
                </c:pt>
                <c:pt idx="192" formatCode="0">
                  <c:v>26.40095541913443</c:v>
                </c:pt>
                <c:pt idx="193" formatCode="0">
                  <c:v>26.40095541913443</c:v>
                </c:pt>
                <c:pt idx="194" formatCode="0">
                  <c:v>26.40095541913443</c:v>
                </c:pt>
                <c:pt idx="195" formatCode="0">
                  <c:v>26.40095541913443</c:v>
                </c:pt>
                <c:pt idx="196" formatCode="0">
                  <c:v>26.40095541913443</c:v>
                </c:pt>
                <c:pt idx="197" formatCode="0">
                  <c:v>26.40095541913443</c:v>
                </c:pt>
                <c:pt idx="198" formatCode="0">
                  <c:v>26.40095541913443</c:v>
                </c:pt>
                <c:pt idx="199" formatCode="0">
                  <c:v>26.40095541913443</c:v>
                </c:pt>
                <c:pt idx="200" formatCode="0">
                  <c:v>26.40095541913443</c:v>
                </c:pt>
                <c:pt idx="201" formatCode="0">
                  <c:v>26.40095541913443</c:v>
                </c:pt>
                <c:pt idx="202" formatCode="0">
                  <c:v>26.40095541913443</c:v>
                </c:pt>
                <c:pt idx="203" formatCode="0">
                  <c:v>26.40095541913443</c:v>
                </c:pt>
                <c:pt idx="204" formatCode="0">
                  <c:v>26.40095541913443</c:v>
                </c:pt>
                <c:pt idx="205" formatCode="0">
                  <c:v>26.40095541913443</c:v>
                </c:pt>
                <c:pt idx="206" formatCode="0">
                  <c:v>26.40095541913443</c:v>
                </c:pt>
                <c:pt idx="207" formatCode="0">
                  <c:v>26.40095541913443</c:v>
                </c:pt>
                <c:pt idx="208" formatCode="0">
                  <c:v>26.40095541913443</c:v>
                </c:pt>
                <c:pt idx="209" formatCode="0">
                  <c:v>26.40095541913443</c:v>
                </c:pt>
                <c:pt idx="210" formatCode="0">
                  <c:v>26.40095541913443</c:v>
                </c:pt>
                <c:pt idx="211" formatCode="0">
                  <c:v>26.40095541913443</c:v>
                </c:pt>
                <c:pt idx="212" formatCode="0">
                  <c:v>26.40095541913443</c:v>
                </c:pt>
                <c:pt idx="213" formatCode="0">
                  <c:v>26.40095541913443</c:v>
                </c:pt>
                <c:pt idx="214" formatCode="0">
                  <c:v>26.40095541913443</c:v>
                </c:pt>
                <c:pt idx="215" formatCode="0">
                  <c:v>26.40095541913443</c:v>
                </c:pt>
                <c:pt idx="216" formatCode="0">
                  <c:v>26.40095541913443</c:v>
                </c:pt>
                <c:pt idx="217" formatCode="0">
                  <c:v>26.40095541913443</c:v>
                </c:pt>
                <c:pt idx="218" formatCode="0">
                  <c:v>26.40095541913443</c:v>
                </c:pt>
                <c:pt idx="219" formatCode="0">
                  <c:v>26.40095541913443</c:v>
                </c:pt>
                <c:pt idx="220" formatCode="0">
                  <c:v>26.40095541913443</c:v>
                </c:pt>
                <c:pt idx="221" formatCode="0">
                  <c:v>26.40095541913443</c:v>
                </c:pt>
                <c:pt idx="222" formatCode="0">
                  <c:v>26.40095541913443</c:v>
                </c:pt>
                <c:pt idx="223" formatCode="0">
                  <c:v>26.40095541913443</c:v>
                </c:pt>
                <c:pt idx="224" formatCode="0">
                  <c:v>26.40095541913443</c:v>
                </c:pt>
                <c:pt idx="225" formatCode="0">
                  <c:v>26.40095541913443</c:v>
                </c:pt>
                <c:pt idx="226" formatCode="0">
                  <c:v>26.40095541913443</c:v>
                </c:pt>
                <c:pt idx="227" formatCode="0">
                  <c:v>26.40095541913443</c:v>
                </c:pt>
                <c:pt idx="228" formatCode="0">
                  <c:v>26.40095541913443</c:v>
                </c:pt>
                <c:pt idx="229" formatCode="0">
                  <c:v>26.40095541913443</c:v>
                </c:pt>
                <c:pt idx="230" formatCode="0">
                  <c:v>26.40095541913443</c:v>
                </c:pt>
                <c:pt idx="231" formatCode="0">
                  <c:v>26.40095541913443</c:v>
                </c:pt>
                <c:pt idx="232" formatCode="0">
                  <c:v>26.40095541913443</c:v>
                </c:pt>
                <c:pt idx="233" formatCode="0">
                  <c:v>26.40095541913443</c:v>
                </c:pt>
                <c:pt idx="234" formatCode="0">
                  <c:v>26.40095541913443</c:v>
                </c:pt>
                <c:pt idx="235" formatCode="0">
                  <c:v>26.40095541913443</c:v>
                </c:pt>
                <c:pt idx="236" formatCode="0">
                  <c:v>26.40095541913443</c:v>
                </c:pt>
                <c:pt idx="237" formatCode="0">
                  <c:v>26.40095541913443</c:v>
                </c:pt>
                <c:pt idx="238" formatCode="0">
                  <c:v>26.40095541913443</c:v>
                </c:pt>
                <c:pt idx="239" formatCode="0">
                  <c:v>26.40095541913443</c:v>
                </c:pt>
                <c:pt idx="240" formatCode="0">
                  <c:v>26.40095541913443</c:v>
                </c:pt>
              </c:numCache>
            </c:numRef>
          </c:val>
        </c:ser>
        <c:ser>
          <c:idx val="5"/>
          <c:order val="5"/>
          <c:tx>
            <c:strRef>
              <c:f>' MixCon Even T40H80U75'!$AO$77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val>
            <c:numRef>
              <c:f>' MixCon Even T40H80U75'!$AO$78:$AO$318</c:f>
              <c:numCache>
                <c:formatCode>General</c:formatCode>
                <c:ptCount val="241"/>
                <c:pt idx="40" formatCode="0">
                  <c:v>2.356909005599873</c:v>
                </c:pt>
                <c:pt idx="41" formatCode="0">
                  <c:v>2.320883069138215</c:v>
                </c:pt>
                <c:pt idx="42" formatCode="0">
                  <c:v>2.285407798016142</c:v>
                </c:pt>
                <c:pt idx="43" formatCode="0">
                  <c:v>2.250474775177888</c:v>
                </c:pt>
                <c:pt idx="44" formatCode="0">
                  <c:v>2.216075712224464</c:v>
                </c:pt>
                <c:pt idx="45" formatCode="0">
                  <c:v>2.182202447447107</c:v>
                </c:pt>
                <c:pt idx="46" formatCode="0">
                  <c:v>2.148846943890789</c:v>
                </c:pt>
                <c:pt idx="47" formatCode="0">
                  <c:v>2.116001287447326</c:v>
                </c:pt>
                <c:pt idx="48" formatCode="0">
                  <c:v>2.083657684977632</c:v>
                </c:pt>
                <c:pt idx="49" formatCode="0">
                  <c:v>2.051808462462677</c:v>
                </c:pt>
                <c:pt idx="50" formatCode="0">
                  <c:v>2.02044606318271</c:v>
                </c:pt>
                <c:pt idx="51" formatCode="0">
                  <c:v>1.989563045924307</c:v>
                </c:pt>
                <c:pt idx="52" formatCode="0">
                  <c:v>1.959152083214829</c:v>
                </c:pt>
                <c:pt idx="53" formatCode="0">
                  <c:v>1.929205959583866</c:v>
                </c:pt>
                <c:pt idx="54" formatCode="0">
                  <c:v>1.89971756985126</c:v>
                </c:pt>
                <c:pt idx="55" formatCode="0">
                  <c:v>1.870679917441281</c:v>
                </c:pt>
                <c:pt idx="56" formatCode="0">
                  <c:v>1.842086112722594</c:v>
                </c:pt>
                <c:pt idx="57" formatCode="0">
                  <c:v>1.813929371373575</c:v>
                </c:pt>
                <c:pt idx="58" formatCode="0">
                  <c:v>1.786203012772638</c:v>
                </c:pt>
                <c:pt idx="59" formatCode="0">
                  <c:v>1.758900458413145</c:v>
                </c:pt>
                <c:pt idx="60" formatCode="0">
                  <c:v>1.732015230342558</c:v>
                </c:pt>
                <c:pt idx="61" formatCode="0">
                  <c:v>1.705540949625444</c:v>
                </c:pt>
                <c:pt idx="62" formatCode="0">
                  <c:v>1.679471334829975</c:v>
                </c:pt>
                <c:pt idx="63" formatCode="0">
                  <c:v>1.653800200537558</c:v>
                </c:pt>
                <c:pt idx="64" formatCode="0">
                  <c:v>1.628521455875254</c:v>
                </c:pt>
                <c:pt idx="65" formatCode="0">
                  <c:v>1.603629103070621</c:v>
                </c:pt>
                <c:pt idx="66" formatCode="0">
                  <c:v>1.579117236028651</c:v>
                </c:pt>
                <c:pt idx="67" formatCode="0">
                  <c:v>1.554980038930454</c:v>
                </c:pt>
                <c:pt idx="68" formatCode="0">
                  <c:v>1.531211784853375</c:v>
                </c:pt>
                <c:pt idx="69" formatCode="0">
                  <c:v>1.50780683441218</c:v>
                </c:pt>
                <c:pt idx="70" formatCode="0">
                  <c:v>1.484759634421037</c:v>
                </c:pt>
                <c:pt idx="71" formatCode="0">
                  <c:v>1.462064716575928</c:v>
                </c:pt>
                <c:pt idx="72" formatCode="0">
                  <c:v>1.439716696157214</c:v>
                </c:pt>
                <c:pt idx="73" formatCode="0">
                  <c:v>1.417710270752027</c:v>
                </c:pt>
                <c:pt idx="74" formatCode="0">
                  <c:v>1.396040218996188</c:v>
                </c:pt>
                <c:pt idx="75" formatCode="0">
                  <c:v>1.37470139933536</c:v>
                </c:pt>
                <c:pt idx="76" formatCode="0">
                  <c:v>1.353688748805136</c:v>
                </c:pt>
                <c:pt idx="77" formatCode="0">
                  <c:v>1.33299728182977</c:v>
                </c:pt>
                <c:pt idx="78" formatCode="0">
                  <c:v>1.312622089039269</c:v>
                </c:pt>
                <c:pt idx="79" formatCode="0">
                  <c:v>1.292558336104581</c:v>
                </c:pt>
                <c:pt idx="80" formatCode="0">
                  <c:v>39.71223292548744</c:v>
                </c:pt>
                <c:pt idx="81" formatCode="0">
                  <c:v>39.10522163369595</c:v>
                </c:pt>
                <c:pt idx="82" formatCode="0">
                  <c:v>38.50748865947109</c:v>
                </c:pt>
                <c:pt idx="83" formatCode="0">
                  <c:v>37.91889218143648</c:v>
                </c:pt>
                <c:pt idx="84" formatCode="0">
                  <c:v>37.33929254599056</c:v>
                </c:pt>
                <c:pt idx="85" formatCode="0">
                  <c:v>36.76855223417155</c:v>
                </c:pt>
                <c:pt idx="86" formatCode="0">
                  <c:v>36.20653582902896</c:v>
                </c:pt>
                <c:pt idx="87" formatCode="0">
                  <c:v>35.65310998349388</c:v>
                </c:pt>
                <c:pt idx="88" formatCode="0">
                  <c:v>35.1081433887403</c:v>
                </c:pt>
                <c:pt idx="89" formatCode="0">
                  <c:v>34.57150674302997</c:v>
                </c:pt>
                <c:pt idx="90" formatCode="0">
                  <c:v>34.04307272103379</c:v>
                </c:pt>
                <c:pt idx="91" formatCode="0">
                  <c:v>33.52271594362166</c:v>
                </c:pt>
                <c:pt idx="92" formatCode="0">
                  <c:v>33.01031294811452</c:v>
                </c:pt>
                <c:pt idx="93" formatCode="0">
                  <c:v>32.50574215899085</c:v>
                </c:pt>
                <c:pt idx="94" formatCode="0">
                  <c:v>32.00888385904101</c:v>
                </c:pt>
                <c:pt idx="95" formatCode="0">
                  <c:v>31.51962016096247</c:v>
                </c:pt>
                <c:pt idx="96" formatCode="0">
                  <c:v>31.03783497938928</c:v>
                </c:pt>
                <c:pt idx="97" formatCode="0">
                  <c:v>30.56341400334896</c:v>
                </c:pt>
                <c:pt idx="98" formatCode="0">
                  <c:v>30.09624466914051</c:v>
                </c:pt>
                <c:pt idx="99" formatCode="0">
                  <c:v>29.63621613362689</c:v>
                </c:pt>
                <c:pt idx="100" formatCode="0">
                  <c:v>29.1832192479358</c:v>
                </c:pt>
                <c:pt idx="101" formatCode="0">
                  <c:v>28.73714653156244</c:v>
                </c:pt>
                <c:pt idx="102" formatCode="0">
                  <c:v>28.29789214686806</c:v>
                </c:pt>
                <c:pt idx="103" formatCode="0">
                  <c:v>27.86535187396836</c:v>
                </c:pt>
                <c:pt idx="104" formatCode="0">
                  <c:v>27.43942308600574</c:v>
                </c:pt>
                <c:pt idx="105" formatCode="0">
                  <c:v>27.02000472479948</c:v>
                </c:pt>
                <c:pt idx="106" formatCode="0">
                  <c:v>26.60699727686809</c:v>
                </c:pt>
                <c:pt idx="107" formatCode="0">
                  <c:v>26.20030274981824</c:v>
                </c:pt>
                <c:pt idx="108" formatCode="0">
                  <c:v>25.79982464909457</c:v>
                </c:pt>
                <c:pt idx="109" formatCode="0">
                  <c:v>25.4054679550848</c:v>
                </c:pt>
                <c:pt idx="110" formatCode="0">
                  <c:v>25.01713910057494</c:v>
                </c:pt>
                <c:pt idx="111" formatCode="0">
                  <c:v>24.63474594854896</c:v>
                </c:pt>
                <c:pt idx="112" formatCode="0">
                  <c:v>24.25819777032786</c:v>
                </c:pt>
                <c:pt idx="113" formatCode="0">
                  <c:v>23.88740522404298</c:v>
                </c:pt>
                <c:pt idx="114" formatCode="0">
                  <c:v>23.52228033343812</c:v>
                </c:pt>
                <c:pt idx="115" formatCode="0">
                  <c:v>23.16273646699595</c:v>
                </c:pt>
                <c:pt idx="116" formatCode="0">
                  <c:v>22.80868831738326</c:v>
                </c:pt>
                <c:pt idx="117" formatCode="0">
                  <c:v>22.4600518812105</c:v>
                </c:pt>
                <c:pt idx="118" formatCode="0">
                  <c:v>22.11674443910071</c:v>
                </c:pt>
                <c:pt idx="119" formatCode="0">
                  <c:v>21.77868453606301</c:v>
                </c:pt>
                <c:pt idx="120" formatCode="0">
                  <c:v>21.4457919621662</c:v>
                </c:pt>
                <c:pt idx="121" formatCode="0">
                  <c:v>21.11798773350771</c:v>
                </c:pt>
                <c:pt idx="122" formatCode="0">
                  <c:v>20.79519407347339</c:v>
                </c:pt>
                <c:pt idx="123" formatCode="0">
                  <c:v>20.4773343942839</c:v>
                </c:pt>
                <c:pt idx="124" formatCode="0">
                  <c:v>20.164333278823</c:v>
                </c:pt>
                <c:pt idx="125" formatCode="0">
                  <c:v>19.85611646274372</c:v>
                </c:pt>
                <c:pt idx="126" formatCode="0">
                  <c:v>19.55261081684798</c:v>
                </c:pt>
                <c:pt idx="127" formatCode="0">
                  <c:v>19.25374432973554</c:v>
                </c:pt>
                <c:pt idx="128" formatCode="0">
                  <c:v>18.95944609071824</c:v>
                </c:pt>
                <c:pt idx="129" formatCode="0">
                  <c:v>18.66964627299528</c:v>
                </c:pt>
                <c:pt idx="130" formatCode="0">
                  <c:v>18.38427611708578</c:v>
                </c:pt>
                <c:pt idx="131" formatCode="0">
                  <c:v>18.10326791451448</c:v>
                </c:pt>
                <c:pt idx="132" formatCode="0">
                  <c:v>17.82655499174694</c:v>
                </c:pt>
                <c:pt idx="133" formatCode="0">
                  <c:v>17.55407169437014</c:v>
                </c:pt>
                <c:pt idx="134" formatCode="0">
                  <c:v>17.28575337151499</c:v>
                </c:pt>
                <c:pt idx="135" formatCode="0">
                  <c:v>17.02153636051689</c:v>
                </c:pt>
                <c:pt idx="136" formatCode="0">
                  <c:v>16.76135797181083</c:v>
                </c:pt>
                <c:pt idx="137" formatCode="0">
                  <c:v>16.50515647405726</c:v>
                </c:pt>
                <c:pt idx="138" formatCode="0">
                  <c:v>16.25287107949543</c:v>
                </c:pt>
                <c:pt idx="139" formatCode="0">
                  <c:v>16.0044419295205</c:v>
                </c:pt>
                <c:pt idx="140" formatCode="0">
                  <c:v>15.75981008048123</c:v>
                </c:pt>
                <c:pt idx="141" formatCode="0">
                  <c:v>15.51891748969464</c:v>
                </c:pt>
                <c:pt idx="142" formatCode="0">
                  <c:v>15.28170700167448</c:v>
                </c:pt>
                <c:pt idx="143" formatCode="0">
                  <c:v>15.04812233457025</c:v>
                </c:pt>
                <c:pt idx="144" formatCode="0">
                  <c:v>14.81810806681344</c:v>
                </c:pt>
                <c:pt idx="145" formatCode="0">
                  <c:v>14.5916096239679</c:v>
                </c:pt>
                <c:pt idx="146" formatCode="0">
                  <c:v>14.36857326578122</c:v>
                </c:pt>
                <c:pt idx="147" formatCode="0">
                  <c:v>14.14894607343403</c:v>
                </c:pt>
                <c:pt idx="148" formatCode="0">
                  <c:v>13.93267593698418</c:v>
                </c:pt>
                <c:pt idx="149" formatCode="0">
                  <c:v>13.71971154300287</c:v>
                </c:pt>
                <c:pt idx="150" formatCode="0">
                  <c:v>13.51000236239974</c:v>
                </c:pt>
                <c:pt idx="151" formatCode="0">
                  <c:v>13.30349863843404</c:v>
                </c:pt>
                <c:pt idx="152" formatCode="0">
                  <c:v>13.10015137490912</c:v>
                </c:pt>
                <c:pt idx="153" formatCode="0">
                  <c:v>12.89991232454728</c:v>
                </c:pt>
                <c:pt idx="154" formatCode="0">
                  <c:v>12.7027339775424</c:v>
                </c:pt>
                <c:pt idx="155" formatCode="0">
                  <c:v>12.50856955028747</c:v>
                </c:pt>
                <c:pt idx="156" formatCode="0">
                  <c:v>12.31737297427448</c:v>
                </c:pt>
                <c:pt idx="157" formatCode="0">
                  <c:v>12.12909888516393</c:v>
                </c:pt>
                <c:pt idx="158" formatCode="0">
                  <c:v>11.94370261202149</c:v>
                </c:pt>
                <c:pt idx="159" formatCode="0">
                  <c:v>11.76114016671906</c:v>
                </c:pt>
                <c:pt idx="160" formatCode="0">
                  <c:v>11.58136823349797</c:v>
                </c:pt>
                <c:pt idx="161" formatCode="0">
                  <c:v>55.10238200144587</c:v>
                </c:pt>
                <c:pt idx="162" formatCode="0">
                  <c:v>54.26012847865243</c:v>
                </c:pt>
                <c:pt idx="163" formatCode="0">
                  <c:v>53.43074900904672</c:v>
                </c:pt>
                <c:pt idx="164" formatCode="0">
                  <c:v>52.61404680954504</c:v>
                </c:pt>
                <c:pt idx="165" formatCode="0">
                  <c:v>51.80982810494175</c:v>
                </c:pt>
                <c:pt idx="166" formatCode="0">
                  <c:v>51.01790208193307</c:v>
                </c:pt>
                <c:pt idx="167" formatCode="0">
                  <c:v>50.23808084384373</c:v>
                </c:pt>
                <c:pt idx="168" formatCode="0">
                  <c:v>49.47017936604556</c:v>
                </c:pt>
                <c:pt idx="169" formatCode="0">
                  <c:v>48.71401545205755</c:v>
                </c:pt>
                <c:pt idx="170" formatCode="0">
                  <c:v>47.96940969031692</c:v>
                </c:pt>
                <c:pt idx="171" formatCode="0">
                  <c:v>47.23618541161093</c:v>
                </c:pt>
                <c:pt idx="172" formatCode="0">
                  <c:v>46.51416864715945</c:v>
                </c:pt>
                <c:pt idx="173" formatCode="0">
                  <c:v>45.80318808733808</c:v>
                </c:pt>
                <c:pt idx="174" formatCode="0">
                  <c:v>45.1030750410324</c:v>
                </c:pt>
                <c:pt idx="175" formatCode="0">
                  <c:v>44.41366339561334</c:v>
                </c:pt>
                <c:pt idx="176" formatCode="0">
                  <c:v>43.73478957752438</c:v>
                </c:pt>
                <c:pt idx="177" formatCode="0">
                  <c:v>43.06629251347127</c:v>
                </c:pt>
                <c:pt idx="178" formatCode="0">
                  <c:v>42.4080135922048</c:v>
                </c:pt>
                <c:pt idx="179" formatCode="0">
                  <c:v>41.75979662688795</c:v>
                </c:pt>
                <c:pt idx="180" formatCode="0">
                  <c:v>41.12148781803806</c:v>
                </c:pt>
                <c:pt idx="181" formatCode="0">
                  <c:v>40.49293571703557</c:v>
                </c:pt>
                <c:pt idx="182" formatCode="0">
                  <c:v>39.87399119019049</c:v>
                </c:pt>
                <c:pt idx="183" formatCode="0">
                  <c:v>39.26450738335812</c:v>
                </c:pt>
                <c:pt idx="184" formatCode="0">
                  <c:v>38.66433968709564</c:v>
                </c:pt>
                <c:pt idx="185" formatCode="0">
                  <c:v>38.0733457023513</c:v>
                </c:pt>
                <c:pt idx="186" formatCode="0">
                  <c:v>37.49138520667806</c:v>
                </c:pt>
                <c:pt idx="187" formatCode="0">
                  <c:v>36.91832012096358</c:v>
                </c:pt>
                <c:pt idx="188" formatCode="0">
                  <c:v>36.35401447666889</c:v>
                </c:pt>
                <c:pt idx="189" formatCode="0">
                  <c:v>35.79833438356774</c:v>
                </c:pt>
                <c:pt idx="190" formatCode="0">
                  <c:v>35.25114799797906</c:v>
                </c:pt>
                <c:pt idx="191" formatCode="0">
                  <c:v>34.71232549148502</c:v>
                </c:pt>
                <c:pt idx="192" formatCode="0">
                  <c:v>34.18173902012724</c:v>
                </c:pt>
                <c:pt idx="193" formatCode="0">
                  <c:v>33.6592626940738</c:v>
                </c:pt>
                <c:pt idx="194" formatCode="0">
                  <c:v>33.14477254775</c:v>
                </c:pt>
                <c:pt idx="195" formatCode="0">
                  <c:v>32.63814651042556</c:v>
                </c:pt>
                <c:pt idx="196" formatCode="0">
                  <c:v>32.13926437725147</c:v>
                </c:pt>
                <c:pt idx="197" formatCode="0">
                  <c:v>31.64800778073955</c:v>
                </c:pt>
                <c:pt idx="198" formatCode="0">
                  <c:v>31.16426016267791</c:v>
                </c:pt>
                <c:pt idx="199" formatCode="0">
                  <c:v>30.68790674647571</c:v>
                </c:pt>
                <c:pt idx="200" formatCode="0">
                  <c:v>30.21883450993069</c:v>
                </c:pt>
                <c:pt idx="201" formatCode="0">
                  <c:v>29.75693215841287</c:v>
                </c:pt>
                <c:pt idx="202" formatCode="0">
                  <c:v>29.30209009845817</c:v>
                </c:pt>
                <c:pt idx="203" formatCode="0">
                  <c:v>28.85420041176567</c:v>
                </c:pt>
                <c:pt idx="204" formatCode="0">
                  <c:v>28.4131568295924</c:v>
                </c:pt>
                <c:pt idx="205" formatCode="0">
                  <c:v>27.97885470753933</c:v>
                </c:pt>
                <c:pt idx="206" formatCode="0">
                  <c:v>27.55119100072294</c:v>
                </c:pt>
                <c:pt idx="207" formatCode="0">
                  <c:v>27.13006423932622</c:v>
                </c:pt>
                <c:pt idx="208" formatCode="0">
                  <c:v>26.71537450452336</c:v>
                </c:pt>
                <c:pt idx="209" formatCode="0">
                  <c:v>26.30702340477253</c:v>
                </c:pt>
                <c:pt idx="210" formatCode="0">
                  <c:v>25.90491405247088</c:v>
                </c:pt>
                <c:pt idx="211" formatCode="0">
                  <c:v>25.50895104096654</c:v>
                </c:pt>
                <c:pt idx="212" formatCode="0">
                  <c:v>25.11904042192187</c:v>
                </c:pt>
                <c:pt idx="213" formatCode="0">
                  <c:v>24.73508968302278</c:v>
                </c:pt>
                <c:pt idx="214" formatCode="0">
                  <c:v>24.35700772602877</c:v>
                </c:pt>
                <c:pt idx="215" formatCode="0">
                  <c:v>23.98470484515846</c:v>
                </c:pt>
                <c:pt idx="216" formatCode="0">
                  <c:v>23.61809270580547</c:v>
                </c:pt>
                <c:pt idx="217" formatCode="0">
                  <c:v>23.25708432357973</c:v>
                </c:pt>
                <c:pt idx="218" formatCode="0">
                  <c:v>22.90159404366904</c:v>
                </c:pt>
                <c:pt idx="219" formatCode="0">
                  <c:v>22.5515375205162</c:v>
                </c:pt>
                <c:pt idx="220" formatCode="0">
                  <c:v>22.20683169780667</c:v>
                </c:pt>
                <c:pt idx="221" formatCode="0">
                  <c:v>21.86739478876219</c:v>
                </c:pt>
                <c:pt idx="222" formatCode="0">
                  <c:v>21.53314625673563</c:v>
                </c:pt>
                <c:pt idx="223" formatCode="0">
                  <c:v>21.2040067961024</c:v>
                </c:pt>
                <c:pt idx="224" formatCode="0">
                  <c:v>20.87989831344398</c:v>
                </c:pt>
                <c:pt idx="225" formatCode="0">
                  <c:v>20.56074390901903</c:v>
                </c:pt>
                <c:pt idx="226" formatCode="0">
                  <c:v>20.24646785851779</c:v>
                </c:pt>
                <c:pt idx="227" formatCode="0">
                  <c:v>19.93699559509524</c:v>
                </c:pt>
                <c:pt idx="228" formatCode="0">
                  <c:v>19.63225369167906</c:v>
                </c:pt>
                <c:pt idx="229" formatCode="0">
                  <c:v>19.33216984354783</c:v>
                </c:pt>
                <c:pt idx="230" formatCode="0">
                  <c:v>19.03667285117565</c:v>
                </c:pt>
                <c:pt idx="231" formatCode="0">
                  <c:v>18.74569260333903</c:v>
                </c:pt>
                <c:pt idx="232" formatCode="0">
                  <c:v>18.45916006048179</c:v>
                </c:pt>
                <c:pt idx="233" formatCode="0">
                  <c:v>18.17700723833445</c:v>
                </c:pt>
                <c:pt idx="234" formatCode="0">
                  <c:v>17.89916719178387</c:v>
                </c:pt>
                <c:pt idx="235" formatCode="0">
                  <c:v>17.62557399898953</c:v>
                </c:pt>
                <c:pt idx="236" formatCode="0">
                  <c:v>17.35616274574251</c:v>
                </c:pt>
                <c:pt idx="237" formatCode="0">
                  <c:v>17.09086951006362</c:v>
                </c:pt>
                <c:pt idx="238" formatCode="0">
                  <c:v>16.8296313470369</c:v>
                </c:pt>
                <c:pt idx="239" formatCode="0">
                  <c:v>16.572386273875</c:v>
                </c:pt>
                <c:pt idx="240" formatCode="0">
                  <c:v>16.31907325521278</c:v>
                </c:pt>
              </c:numCache>
            </c:numRef>
          </c:val>
        </c:ser>
        <c:ser>
          <c:idx val="6"/>
          <c:order val="6"/>
          <c:tx>
            <c:strRef>
              <c:f>' MixCon Even T40H80U75'!$AP$77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val>
            <c:numRef>
              <c:f>' MixCon Even T40H80U75'!$AP$78:$AP$318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0.0180309811990599</c:v>
                </c:pt>
                <c:pt idx="42" formatCode="0">
                  <c:v>0.0357863543956574</c:v>
                </c:pt>
                <c:pt idx="43" formatCode="0">
                  <c:v>0.0532703323262037</c:v>
                </c:pt>
                <c:pt idx="44" formatCode="0">
                  <c:v>0.0704870633343924</c:v>
                </c:pt>
                <c:pt idx="45" formatCode="0">
                  <c:v>0.0874406323554598</c:v>
                </c:pt>
                <c:pt idx="46" formatCode="0">
                  <c:v>0.104135061885397</c:v>
                </c:pt>
                <c:pt idx="47" formatCode="0">
                  <c:v>0.12057431293535</c:v>
                </c:pt>
                <c:pt idx="48" formatCode="0">
                  <c:v>0.136762285971432</c:v>
                </c:pt>
                <c:pt idx="49" formatCode="0">
                  <c:v>0.152702821840166</c:v>
                </c:pt>
                <c:pt idx="50" formatCode="0">
                  <c:v>0.16839970267979</c:v>
                </c:pt>
                <c:pt idx="51" formatCode="0">
                  <c:v>0.183856652817621</c:v>
                </c:pt>
                <c:pt idx="52" formatCode="0">
                  <c:v>0.199077339653715</c:v>
                </c:pt>
                <c:pt idx="53" formatCode="0">
                  <c:v>0.214065374531011</c:v>
                </c:pt>
                <c:pt idx="54" formatCode="0">
                  <c:v>0.228824313592181</c:v>
                </c:pt>
                <c:pt idx="55" formatCode="0">
                  <c:v>0.243357658623375</c:v>
                </c:pt>
                <c:pt idx="56" formatCode="0">
                  <c:v>0.257668857885079</c:v>
                </c:pt>
                <c:pt idx="57" formatCode="0">
                  <c:v>0.271761306930262</c:v>
                </c:pt>
                <c:pt idx="58" formatCode="0">
                  <c:v>0.285638349410031</c:v>
                </c:pt>
                <c:pt idx="59" formatCode="0">
                  <c:v>0.299303277866957</c:v>
                </c:pt>
                <c:pt idx="60" formatCode="0">
                  <c:v>0.312759334516286</c:v>
                </c:pt>
                <c:pt idx="61" formatCode="0">
                  <c:v>0.326009712015202</c:v>
                </c:pt>
                <c:pt idx="62" formatCode="0">
                  <c:v>0.339057554220334</c:v>
                </c:pt>
                <c:pt idx="63" formatCode="0">
                  <c:v>0.351905956933689</c:v>
                </c:pt>
                <c:pt idx="64" formatCode="0">
                  <c:v>0.364557968637172</c:v>
                </c:pt>
                <c:pt idx="65" formatCode="0">
                  <c:v>0.377016591215891</c:v>
                </c:pt>
                <c:pt idx="66" formatCode="0">
                  <c:v>0.389284780670397</c:v>
                </c:pt>
                <c:pt idx="67" formatCode="0">
                  <c:v>0.401365447818044</c:v>
                </c:pt>
                <c:pt idx="68" formatCode="0">
                  <c:v>0.413261458983623</c:v>
                </c:pt>
                <c:pt idx="69" formatCode="0">
                  <c:v>0.42497563667944</c:v>
                </c:pt>
                <c:pt idx="70" formatCode="0">
                  <c:v>0.436510760275008</c:v>
                </c:pt>
                <c:pt idx="71" formatCode="0">
                  <c:v>0.447869566656485</c:v>
                </c:pt>
                <c:pt idx="72" formatCode="0">
                  <c:v>0.459054750876051</c:v>
                </c:pt>
                <c:pt idx="73" formatCode="0">
                  <c:v>0.470068966791347</c:v>
                </c:pt>
                <c:pt idx="74" formatCode="0">
                  <c:v>0.480914827695145</c:v>
                </c:pt>
                <c:pt idx="75" formatCode="0">
                  <c:v>0.491594906935389</c:v>
                </c:pt>
                <c:pt idx="76" formatCode="0">
                  <c:v>0.502111738525766</c:v>
                </c:pt>
                <c:pt idx="77" formatCode="0">
                  <c:v>0.512467817746937</c:v>
                </c:pt>
                <c:pt idx="78" formatCode="0">
                  <c:v>0.522665601738582</c:v>
                </c:pt>
                <c:pt idx="79" formatCode="0">
                  <c:v>0.532707510082394</c:v>
                </c:pt>
                <c:pt idx="80" formatCode="0">
                  <c:v>0.54259592537616</c:v>
                </c:pt>
                <c:pt idx="81" formatCode="0">
                  <c:v>0.944429037957378</c:v>
                </c:pt>
                <c:pt idx="82" formatCode="0">
                  <c:v>1.340120032133663</c:v>
                </c:pt>
                <c:pt idx="83" formatCode="0">
                  <c:v>1.729762791702343</c:v>
                </c:pt>
                <c:pt idx="84" formatCode="0">
                  <c:v>2.113449765423705</c:v>
                </c:pt>
                <c:pt idx="85" formatCode="0">
                  <c:v>2.491271988955899</c:v>
                </c:pt>
                <c:pt idx="86" formatCode="0">
                  <c:v>2.86331910645454</c:v>
                </c:pt>
                <c:pt idx="87" formatCode="0">
                  <c:v>3.229679391842179</c:v>
                </c:pt>
                <c:pt idx="88" formatCode="0">
                  <c:v>3.590439769752655</c:v>
                </c:pt>
                <c:pt idx="89" formatCode="0">
                  <c:v>3.945685836155306</c:v>
                </c:pt>
                <c:pt idx="90" formatCode="0">
                  <c:v>4.29550187866392</c:v>
                </c:pt>
                <c:pt idx="91" formatCode="0">
                  <c:v>4.639970896535287</c:v>
                </c:pt>
                <c:pt idx="92" formatCode="0">
                  <c:v>4.97917462036206</c:v>
                </c:pt>
                <c:pt idx="93" formatCode="0">
                  <c:v>5.313193531464575</c:v>
                </c:pt>
                <c:pt idx="94" formatCode="0">
                  <c:v>5.642106880986319</c:v>
                </c:pt>
                <c:pt idx="95" formatCode="0">
                  <c:v>5.965992708697459</c:v>
                </c:pt>
                <c:pt idx="96" formatCode="0">
                  <c:v>6.284927861510997</c:v>
                </c:pt>
                <c:pt idx="97" formatCode="0">
                  <c:v>6.598988011715887</c:v>
                </c:pt>
                <c:pt idx="98" formatCode="0">
                  <c:v>6.908247674931444</c:v>
                </c:pt>
                <c:pt idx="99" formatCode="0">
                  <c:v>7.212780227787341</c:v>
                </c:pt>
                <c:pt idx="100" formatCode="0">
                  <c:v>7.512657925333323</c:v>
                </c:pt>
                <c:pt idx="101" formatCode="0">
                  <c:v>7.807951918182863</c:v>
                </c:pt>
                <c:pt idx="102" formatCode="0">
                  <c:v>8.098732269394716</c:v>
                </c:pt>
                <c:pt idx="103" formatCode="0">
                  <c:v>8.385067971096486</c:v>
                </c:pt>
                <c:pt idx="104" formatCode="0">
                  <c:v>8.667026960854054</c:v>
                </c:pt>
                <c:pt idx="105" formatCode="0">
                  <c:v>8.944676137790815</c:v>
                </c:pt>
                <c:pt idx="106" formatCode="0">
                  <c:v>9.218081378460543</c:v>
                </c:pt>
                <c:pt idx="107" formatCode="0">
                  <c:v>9.487307552477622</c:v>
                </c:pt>
                <c:pt idx="108" formatCode="0">
                  <c:v>9.75241853790832</c:v>
                </c:pt>
                <c:pt idx="109" formatCode="0">
                  <c:v>10.01347723642692</c:v>
                </c:pt>
                <c:pt idx="110" formatCode="0">
                  <c:v>10.27054558824005</c:v>
                </c:pt>
                <c:pt idx="111" formatCode="0">
                  <c:v>10.52368458678298</c:v>
                </c:pt>
                <c:pt idx="112" formatCode="0">
                  <c:v>10.77295429319124</c:v>
                </c:pt>
                <c:pt idx="113" formatCode="0">
                  <c:v>11.0184138505511</c:v>
                </c:pt>
                <c:pt idx="114" formatCode="0">
                  <c:v>11.2601214979321</c:v>
                </c:pt>
                <c:pt idx="115" formatCode="0">
                  <c:v>11.49813458420525</c:v>
                </c:pt>
                <c:pt idx="116" formatCode="0">
                  <c:v>11.73250958164987</c:v>
                </c:pt>
                <c:pt idx="117" formatCode="0">
                  <c:v>11.96330209935256</c:v>
                </c:pt>
                <c:pt idx="118" formatCode="0">
                  <c:v>12.19056689640128</c:v>
                </c:pt>
                <c:pt idx="119" formatCode="0">
                  <c:v>12.41435789487781</c:v>
                </c:pt>
                <c:pt idx="120" formatCode="0">
                  <c:v>12.63472819265157</c:v>
                </c:pt>
                <c:pt idx="121" formatCode="0">
                  <c:v>12.85173007597795</c:v>
                </c:pt>
                <c:pt idx="122" formatCode="0">
                  <c:v>13.06541503190398</c:v>
                </c:pt>
                <c:pt idx="123" formatCode="0">
                  <c:v>13.2758337604845</c:v>
                </c:pt>
                <c:pt idx="124" formatCode="0">
                  <c:v>13.48303618681144</c:v>
                </c:pt>
                <c:pt idx="125" formatCode="0">
                  <c:v>13.68707147285938</c:v>
                </c:pt>
                <c:pt idx="126" formatCode="0">
                  <c:v>13.88798802915</c:v>
                </c:pt>
                <c:pt idx="127" formatCode="0">
                  <c:v>14.08583352623813</c:v>
                </c:pt>
                <c:pt idx="128" formatCode="0">
                  <c:v>14.28065490602247</c:v>
                </c:pt>
                <c:pt idx="129" formatCode="0">
                  <c:v>14.47249839288316</c:v>
                </c:pt>
                <c:pt idx="130" formatCode="0">
                  <c:v>14.66140950464925</c:v>
                </c:pt>
                <c:pt idx="131" formatCode="0">
                  <c:v>14.84743306339857</c:v>
                </c:pt>
                <c:pt idx="132" formatCode="0">
                  <c:v>15.0306132060924</c:v>
                </c:pt>
                <c:pt idx="133" formatCode="0">
                  <c:v>15.21099339504763</c:v>
                </c:pt>
                <c:pt idx="134" formatCode="0">
                  <c:v>15.38861642824895</c:v>
                </c:pt>
                <c:pt idx="135" formatCode="0">
                  <c:v>15.56352444950326</c:v>
                </c:pt>
                <c:pt idx="136" formatCode="0">
                  <c:v>15.73575895843894</c:v>
                </c:pt>
                <c:pt idx="137" formatCode="0">
                  <c:v>15.90536082035233</c:v>
                </c:pt>
                <c:pt idx="138" formatCode="0">
                  <c:v>16.07237027590359</c:v>
                </c:pt>
                <c:pt idx="139" formatCode="0">
                  <c:v>16.23682695066446</c:v>
                </c:pt>
                <c:pt idx="140" formatCode="0">
                  <c:v>16.39876986452003</c:v>
                </c:pt>
                <c:pt idx="141" formatCode="0">
                  <c:v>16.5582374409268</c:v>
                </c:pt>
                <c:pt idx="142" formatCode="0">
                  <c:v>16.71526751602925</c:v>
                </c:pt>
                <c:pt idx="143" formatCode="0">
                  <c:v>16.86989734763702</c:v>
                </c:pt>
                <c:pt idx="144" formatCode="0">
                  <c:v>17.02216362406497</c:v>
                </c:pt>
                <c:pt idx="145" formatCode="0">
                  <c:v>17.17210247283796</c:v>
                </c:pt>
                <c:pt idx="146" formatCode="0">
                  <c:v>17.31974946926273</c:v>
                </c:pt>
                <c:pt idx="147" formatCode="0">
                  <c:v>17.46513964486866</c:v>
                </c:pt>
                <c:pt idx="148" formatCode="0">
                  <c:v>17.60830749571954</c:v>
                </c:pt>
                <c:pt idx="149" formatCode="0">
                  <c:v>17.74928699059833</c:v>
                </c:pt>
                <c:pt idx="150" formatCode="0">
                  <c:v>17.88811157906671</c:v>
                </c:pt>
                <c:pt idx="151" formatCode="0">
                  <c:v>18.02481419940157</c:v>
                </c:pt>
                <c:pt idx="152" formatCode="0">
                  <c:v>18.15942728641011</c:v>
                </c:pt>
                <c:pt idx="153" formatCode="0">
                  <c:v>18.29198277912546</c:v>
                </c:pt>
                <c:pt idx="154" formatCode="0">
                  <c:v>18.42251212838476</c:v>
                </c:pt>
                <c:pt idx="155" formatCode="0">
                  <c:v>18.55104630429132</c:v>
                </c:pt>
                <c:pt idx="156" formatCode="0">
                  <c:v>18.67761580356279</c:v>
                </c:pt>
                <c:pt idx="157" formatCode="0">
                  <c:v>18.80225065676692</c:v>
                </c:pt>
                <c:pt idx="158" formatCode="0">
                  <c:v>18.92498043544684</c:v>
                </c:pt>
                <c:pt idx="159" formatCode="0">
                  <c:v>19.04583425913734</c:v>
                </c:pt>
                <c:pt idx="160" formatCode="0">
                  <c:v>19.16484080227392</c:v>
                </c:pt>
                <c:pt idx="161" formatCode="0">
                  <c:v>18.28533619135505</c:v>
                </c:pt>
                <c:pt idx="162" formatCode="0">
                  <c:v>18.84740004223255</c:v>
                </c:pt>
                <c:pt idx="163" formatCode="0">
                  <c:v>19.40087260828276</c:v>
                </c:pt>
                <c:pt idx="164" formatCode="0">
                  <c:v>19.94588520941688</c:v>
                </c:pt>
                <c:pt idx="165" formatCode="0">
                  <c:v>20.48256715828881</c:v>
                </c:pt>
                <c:pt idx="166" formatCode="0">
                  <c:v>21.01104579097661</c:v>
                </c:pt>
                <c:pt idx="167" formatCode="0">
                  <c:v>21.53144649719489</c:v>
                </c:pt>
                <c:pt idx="168" formatCode="0">
                  <c:v>22.04389275004554</c:v>
                </c:pt>
                <c:pt idx="169" formatCode="0">
                  <c:v>22.54850613531353</c:v>
                </c:pt>
                <c:pt idx="170" formatCode="0">
                  <c:v>23.04540638031511</c:v>
                </c:pt>
                <c:pt idx="171" formatCode="0">
                  <c:v>23.53471138230491</c:v>
                </c:pt>
                <c:pt idx="172" formatCode="0">
                  <c:v>24.01653723644887</c:v>
                </c:pt>
                <c:pt idx="173" formatCode="0">
                  <c:v>24.49099826336966</c:v>
                </c:pt>
                <c:pt idx="174" formatCode="0">
                  <c:v>24.95820703627098</c:v>
                </c:pt>
                <c:pt idx="175" formatCode="0">
                  <c:v>25.4182744076473</c:v>
                </c:pt>
                <c:pt idx="176" formatCode="0">
                  <c:v>25.87130953558533</c:v>
                </c:pt>
                <c:pt idx="177" formatCode="0">
                  <c:v>26.31741990966345</c:v>
                </c:pt>
                <c:pt idx="178" formatCode="0">
                  <c:v>26.75671137645527</c:v>
                </c:pt>
                <c:pt idx="179" formatCode="0">
                  <c:v>27.18928816464338</c:v>
                </c:pt>
                <c:pt idx="180" formatCode="0">
                  <c:v>27.6152529097492</c:v>
                </c:pt>
                <c:pt idx="181" formatCode="0">
                  <c:v>28.03470667848487</c:v>
                </c:pt>
                <c:pt idx="182" formatCode="0">
                  <c:v>28.44774899273282</c:v>
                </c:pt>
                <c:pt idx="183" formatCode="0">
                  <c:v>28.85447785315895</c:v>
                </c:pt>
                <c:pt idx="184" formatCode="0">
                  <c:v>29.25498976246478</c:v>
                </c:pt>
                <c:pt idx="185" formatCode="0">
                  <c:v>29.64937974828417</c:v>
                </c:pt>
                <c:pt idx="186" formatCode="0">
                  <c:v>30.03774138573012</c:v>
                </c:pt>
                <c:pt idx="187" formatCode="0">
                  <c:v>30.42016681959691</c:v>
                </c:pt>
                <c:pt idx="188" formatCode="0">
                  <c:v>30.7967467862229</c:v>
                </c:pt>
                <c:pt idx="189" formatCode="0">
                  <c:v>31.16757063501906</c:v>
                </c:pt>
                <c:pt idx="190" formatCode="0">
                  <c:v>31.53272634966858</c:v>
                </c:pt>
                <c:pt idx="191" formatCode="0">
                  <c:v>31.89230056900227</c:v>
                </c:pt>
                <c:pt idx="192" formatCode="0">
                  <c:v>32.24637860755503</c:v>
                </c:pt>
                <c:pt idx="193" formatCode="0">
                  <c:v>32.59504447580802</c:v>
                </c:pt>
                <c:pt idx="194" formatCode="0">
                  <c:v>32.93838090012144</c:v>
                </c:pt>
                <c:pt idx="195" formatCode="0">
                  <c:v>33.27646934236262</c:v>
                </c:pt>
                <c:pt idx="196" formatCode="0">
                  <c:v>33.60939001923413</c:v>
                </c:pt>
                <c:pt idx="197" formatCode="0">
                  <c:v>33.93722192130641</c:v>
                </c:pt>
                <c:pt idx="198" formatCode="0">
                  <c:v>34.26004283175954</c:v>
                </c:pt>
                <c:pt idx="199" formatCode="0">
                  <c:v>34.57792934483848</c:v>
                </c:pt>
                <c:pt idx="200" formatCode="0">
                  <c:v>34.89095688402619</c:v>
                </c:pt>
                <c:pt idx="201" formatCode="0">
                  <c:v>35.19919971993908</c:v>
                </c:pt>
                <c:pt idx="202" formatCode="0">
                  <c:v>35.50273098794886</c:v>
                </c:pt>
                <c:pt idx="203" formatCode="0">
                  <c:v>35.80162270553498</c:v>
                </c:pt>
                <c:pt idx="204" formatCode="0">
                  <c:v>36.09594578937195</c:v>
                </c:pt>
                <c:pt idx="205" formatCode="0">
                  <c:v>36.38577007215537</c:v>
                </c:pt>
                <c:pt idx="206" formatCode="0">
                  <c:v>36.67116431917084</c:v>
                </c:pt>
                <c:pt idx="207" formatCode="0">
                  <c:v>36.95219624460959</c:v>
                </c:pt>
                <c:pt idx="208" formatCode="0">
                  <c:v>37.2289325276347</c:v>
                </c:pt>
                <c:pt idx="209" formatCode="0">
                  <c:v>37.50143882820174</c:v>
                </c:pt>
                <c:pt idx="210" formatCode="0">
                  <c:v>37.76977980263771</c:v>
                </c:pt>
                <c:pt idx="211" formatCode="0">
                  <c:v>38.03401911898161</c:v>
                </c:pt>
                <c:pt idx="212" formatCode="0">
                  <c:v>38.29421947209075</c:v>
                </c:pt>
                <c:pt idx="213" formatCode="0">
                  <c:v>38.55044259851607</c:v>
                </c:pt>
                <c:pt idx="214" formatCode="0">
                  <c:v>38.80274929115008</c:v>
                </c:pt>
                <c:pt idx="215" formatCode="0">
                  <c:v>39.05119941365086</c:v>
                </c:pt>
                <c:pt idx="216" formatCode="0">
                  <c:v>39.29585191464576</c:v>
                </c:pt>
                <c:pt idx="217" formatCode="0">
                  <c:v>39.53676484171774</c:v>
                </c:pt>
                <c:pt idx="218" formatCode="0">
                  <c:v>39.77399535517814</c:v>
                </c:pt>
                <c:pt idx="219" formatCode="0">
                  <c:v>40.00759974162881</c:v>
                </c:pt>
                <c:pt idx="220" formatCode="0">
                  <c:v>40.23763342731696</c:v>
                </c:pt>
                <c:pt idx="221" formatCode="0">
                  <c:v>40.46415099128597</c:v>
                </c:pt>
                <c:pt idx="222" formatCode="0">
                  <c:v>40.68720617832504</c:v>
                </c:pt>
                <c:pt idx="223" formatCode="0">
                  <c:v>40.90685191172095</c:v>
                </c:pt>
                <c:pt idx="224" formatCode="0">
                  <c:v>41.123140305815</c:v>
                </c:pt>
                <c:pt idx="225" formatCode="0">
                  <c:v>41.33612267836791</c:v>
                </c:pt>
                <c:pt idx="226" formatCode="0">
                  <c:v>41.54584956273574</c:v>
                </c:pt>
                <c:pt idx="227" formatCode="0">
                  <c:v>41.75237071985971</c:v>
                </c:pt>
                <c:pt idx="228" formatCode="0">
                  <c:v>41.95573515007278</c:v>
                </c:pt>
                <c:pt idx="229" formatCode="0">
                  <c:v>42.1559911047257</c:v>
                </c:pt>
                <c:pt idx="230" formatCode="0">
                  <c:v>42.3531860976354</c:v>
                </c:pt>
                <c:pt idx="231" formatCode="0">
                  <c:v>42.54736691635837</c:v>
                </c:pt>
                <c:pt idx="232" formatCode="0">
                  <c:v>42.73857963329176</c:v>
                </c:pt>
                <c:pt idx="233" formatCode="0">
                  <c:v>42.92686961660476</c:v>
                </c:pt>
                <c:pt idx="234" formatCode="0">
                  <c:v>43.11228154100284</c:v>
                </c:pt>
                <c:pt idx="235" formatCode="0">
                  <c:v>43.29485939832759</c:v>
                </c:pt>
                <c:pt idx="236" formatCode="0">
                  <c:v>43.47464650799444</c:v>
                </c:pt>
                <c:pt idx="237" formatCode="0">
                  <c:v>43.65168552727081</c:v>
                </c:pt>
                <c:pt idx="238" formatCode="0">
                  <c:v>43.82601846139731</c:v>
                </c:pt>
                <c:pt idx="239" formatCode="0">
                  <c:v>43.99768667355401</c:v>
                </c:pt>
                <c:pt idx="240" formatCode="0">
                  <c:v>44.1667308946746</c:v>
                </c:pt>
              </c:numCache>
            </c:numRef>
          </c:val>
        </c:ser>
        <c:ser>
          <c:idx val="7"/>
          <c:order val="7"/>
          <c:tx>
            <c:strRef>
              <c:f>' MixCon Even T40H80U75'!$AQ$77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val>
            <c:numRef>
              <c:f>' MixCon Even T40H80U75'!$AQ$78:$AQ$318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0.00900648411541453</c:v>
                </c:pt>
                <c:pt idx="42" formatCode="0">
                  <c:v>0.0178753018959328</c:v>
                </c:pt>
                <c:pt idx="43" formatCode="0">
                  <c:v>0.0266085576054963</c:v>
                </c:pt>
                <c:pt idx="44" formatCode="0">
                  <c:v>0.0352083233438524</c:v>
                </c:pt>
                <c:pt idx="45" formatCode="0">
                  <c:v>0.0436766395381917</c:v>
                </c:pt>
                <c:pt idx="46" formatCode="0">
                  <c:v>0.0520155154272712</c:v>
                </c:pt>
                <c:pt idx="47" formatCode="0">
                  <c:v>0.0602269295381369</c:v>
                </c:pt>
                <c:pt idx="48" formatCode="0">
                  <c:v>0.0683128301555604</c:v>
                </c:pt>
                <c:pt idx="49" formatCode="0">
                  <c:v>0.0762751357842989</c:v>
                </c:pt>
                <c:pt idx="50" formatCode="0">
                  <c:v>0.0841157356042907</c:v>
                </c:pt>
                <c:pt idx="51" formatCode="0">
                  <c:v>0.0918364899188915</c:v>
                </c:pt>
                <c:pt idx="52" formatCode="0">
                  <c:v>0.0994392305962611</c:v>
                </c:pt>
                <c:pt idx="53" formatCode="0">
                  <c:v>0.106925761504002</c:v>
                </c:pt>
                <c:pt idx="54" formatCode="0">
                  <c:v>0.114297858937153</c:v>
                </c:pt>
                <c:pt idx="55" formatCode="0">
                  <c:v>0.121557272039648</c:v>
                </c:pt>
                <c:pt idx="56" formatCode="0">
                  <c:v>0.12870572321932</c:v>
                </c:pt>
                <c:pt idx="57" formatCode="0">
                  <c:v>0.135744908556574</c:v>
                </c:pt>
                <c:pt idx="58" formatCode="0">
                  <c:v>0.142676498206809</c:v>
                </c:pt>
                <c:pt idx="59" formatCode="0">
                  <c:v>0.149502136796682</c:v>
                </c:pt>
                <c:pt idx="60" formatCode="0">
                  <c:v>0.156223443814329</c:v>
                </c:pt>
                <c:pt idx="61" formatCode="0">
                  <c:v>0.162842013993607</c:v>
                </c:pt>
                <c:pt idx="62" formatCode="0">
                  <c:v>0.169359417692475</c:v>
                </c:pt>
                <c:pt idx="63" formatCode="0">
                  <c:v>0.175777201265579</c:v>
                </c:pt>
                <c:pt idx="64" formatCode="0">
                  <c:v>0.182096887431155</c:v>
                </c:pt>
                <c:pt idx="65" formatCode="0">
                  <c:v>0.188319975632313</c:v>
                </c:pt>
                <c:pt idx="66" formatCode="0">
                  <c:v>0.194447942392806</c:v>
                </c:pt>
                <c:pt idx="67" formatCode="0">
                  <c:v>0.200482241667355</c:v>
                </c:pt>
                <c:pt idx="68" formatCode="0">
                  <c:v>0.206424305186625</c:v>
                </c:pt>
                <c:pt idx="69" formatCode="0">
                  <c:v>0.212275542796923</c:v>
                </c:pt>
                <c:pt idx="70" formatCode="0">
                  <c:v>0.218037342794709</c:v>
                </c:pt>
                <c:pt idx="71" formatCode="0">
                  <c:v>0.223711072255986</c:v>
                </c:pt>
                <c:pt idx="72" formatCode="0">
                  <c:v>0.229298077360665</c:v>
                </c:pt>
                <c:pt idx="73" formatCode="0">
                  <c:v>0.234799683711962</c:v>
                </c:pt>
                <c:pt idx="74" formatCode="0">
                  <c:v>0.240217196650921</c:v>
                </c:pt>
                <c:pt idx="75" formatCode="0">
                  <c:v>0.245551901566128</c:v>
                </c:pt>
                <c:pt idx="76" formatCode="0">
                  <c:v>0.250805064198684</c:v>
                </c:pt>
                <c:pt idx="77" formatCode="0">
                  <c:v>0.255977930942526</c:v>
                </c:pt>
                <c:pt idx="78" formatCode="0">
                  <c:v>0.261071729140151</c:v>
                </c:pt>
                <c:pt idx="79" formatCode="0">
                  <c:v>0.266087667373823</c:v>
                </c:pt>
                <c:pt idx="80" formatCode="0">
                  <c:v>0.271026935752328</c:v>
                </c:pt>
                <c:pt idx="81" formatCode="0">
                  <c:v>0.471742776202486</c:v>
                </c:pt>
                <c:pt idx="82" formatCode="0">
                  <c:v>0.66939062544139</c:v>
                </c:pt>
                <c:pt idx="83" formatCode="0">
                  <c:v>0.864017378472699</c:v>
                </c:pt>
                <c:pt idx="84" formatCode="0">
                  <c:v>1.055669213498354</c:v>
                </c:pt>
                <c:pt idx="85" formatCode="0">
                  <c:v>1.244391602875074</c:v>
                </c:pt>
                <c:pt idx="86" formatCode="0">
                  <c:v>1.430229323903366</c:v>
                </c:pt>
                <c:pt idx="87" formatCode="0">
                  <c:v>1.613226469451638</c:v>
                </c:pt>
                <c:pt idx="88" formatCode="0">
                  <c:v>1.79342645841791</c:v>
                </c:pt>
                <c:pt idx="89" formatCode="0">
                  <c:v>1.970872046031621</c:v>
                </c:pt>
                <c:pt idx="90" formatCode="0">
                  <c:v>2.145605333997962</c:v>
                </c:pt>
                <c:pt idx="91" formatCode="0">
                  <c:v>2.317667780487156</c:v>
                </c:pt>
                <c:pt idx="92" formatCode="0">
                  <c:v>2.487100209971057</c:v>
                </c:pt>
                <c:pt idx="93" formatCode="0">
                  <c:v>2.653942822909379</c:v>
                </c:pt>
                <c:pt idx="94" formatCode="0">
                  <c:v>2.818235205287872</c:v>
                </c:pt>
                <c:pt idx="95" formatCode="0">
                  <c:v>2.980016338010718</c:v>
                </c:pt>
                <c:pt idx="96" formatCode="0">
                  <c:v>3.13932460614935</c:v>
                </c:pt>
                <c:pt idx="97" formatCode="0">
                  <c:v>3.296197808049893</c:v>
                </c:pt>
                <c:pt idx="98" formatCode="0">
                  <c:v>3.450673164301421</c:v>
                </c:pt>
                <c:pt idx="99" formatCode="0">
                  <c:v>3.602787326567103</c:v>
                </c:pt>
                <c:pt idx="100" formatCode="0">
                  <c:v>3.752576386280381</c:v>
                </c:pt>
                <c:pt idx="101" formatCode="0">
                  <c:v>3.900075883208223</c:v>
                </c:pt>
                <c:pt idx="102" formatCode="0">
                  <c:v>4.045320813883474</c:v>
                </c:pt>
                <c:pt idx="103" formatCode="0">
                  <c:v>4.188345639908334</c:v>
                </c:pt>
                <c:pt idx="104" formatCode="0">
                  <c:v>4.329184296130895</c:v>
                </c:pt>
                <c:pt idx="105" formatCode="0">
                  <c:v>4.46787019869671</c:v>
                </c:pt>
                <c:pt idx="106" formatCode="0">
                  <c:v>4.604436252977294</c:v>
                </c:pt>
                <c:pt idx="107" formatCode="0">
                  <c:v>4.738914861377433</c:v>
                </c:pt>
                <c:pt idx="108" formatCode="0">
                  <c:v>4.871337931023137</c:v>
                </c:pt>
                <c:pt idx="109" formatCode="0">
                  <c:v>5.00173688133213</c:v>
                </c:pt>
                <c:pt idx="110" formatCode="0">
                  <c:v>5.130142651468557</c:v>
                </c:pt>
                <c:pt idx="111" formatCode="0">
                  <c:v>5.256585707683804</c:v>
                </c:pt>
                <c:pt idx="112" formatCode="0">
                  <c:v>5.381096050545075</c:v>
                </c:pt>
                <c:pt idx="113" formatCode="0">
                  <c:v>5.503703222053494</c:v>
                </c:pt>
                <c:pt idx="114" formatCode="0">
                  <c:v>5.624436312653397</c:v>
                </c:pt>
                <c:pt idx="115" formatCode="0">
                  <c:v>5.74332396813449</c:v>
                </c:pt>
                <c:pt idx="116" formatCode="0">
                  <c:v>5.860394396428506</c:v>
                </c:pt>
                <c:pt idx="117" formatCode="0">
                  <c:v>5.975675374301978</c:v>
                </c:pt>
                <c:pt idx="118" formatCode="0">
                  <c:v>6.089194253946695</c:v>
                </c:pt>
                <c:pt idx="119" formatCode="0">
                  <c:v>6.200977969469434</c:v>
                </c:pt>
                <c:pt idx="120" formatCode="0">
                  <c:v>6.3110530432825</c:v>
                </c:pt>
                <c:pt idx="121" formatCode="0">
                  <c:v>6.419445592396573</c:v>
                </c:pt>
                <c:pt idx="122" formatCode="0">
                  <c:v>6.526181334617373</c:v>
                </c:pt>
                <c:pt idx="123" formatCode="0">
                  <c:v>6.631285594647599</c:v>
                </c:pt>
                <c:pt idx="124" formatCode="0">
                  <c:v>6.73478331009562</c:v>
                </c:pt>
                <c:pt idx="125" formatCode="0">
                  <c:v>6.836699037392295</c:v>
                </c:pt>
                <c:pt idx="126" formatCode="0">
                  <c:v>6.937056957617374</c:v>
                </c:pt>
                <c:pt idx="127" formatCode="0">
                  <c:v>7.035880882236826</c:v>
                </c:pt>
                <c:pt idx="128" formatCode="0">
                  <c:v>7.13319425875248</c:v>
                </c:pt>
                <c:pt idx="129" formatCode="0">
                  <c:v>7.229020176265307</c:v>
                </c:pt>
                <c:pt idx="130" formatCode="0">
                  <c:v>7.323381370953669</c:v>
                </c:pt>
                <c:pt idx="131" formatCode="0">
                  <c:v>7.416300231467813</c:v>
                </c:pt>
                <c:pt idx="132" formatCode="0">
                  <c:v>7.507798804241951</c:v>
                </c:pt>
                <c:pt idx="133" formatCode="0">
                  <c:v>7.597898798725088</c:v>
                </c:pt>
                <c:pt idx="134" formatCode="0">
                  <c:v>7.686621592531942</c:v>
                </c:pt>
                <c:pt idx="135" formatCode="0">
                  <c:v>7.773988236515113</c:v>
                </c:pt>
                <c:pt idx="136" formatCode="0">
                  <c:v>7.86001945975971</c:v>
                </c:pt>
                <c:pt idx="137" formatCode="0">
                  <c:v>7.94473567450166</c:v>
                </c:pt>
                <c:pt idx="138" formatCode="0">
                  <c:v>8.02815698097082</c:v>
                </c:pt>
                <c:pt idx="139" formatCode="0">
                  <c:v>8.110303172160068</c:v>
                </c:pt>
                <c:pt idx="140" formatCode="0">
                  <c:v>8.191193738521491</c:v>
                </c:pt>
                <c:pt idx="141" formatCode="0">
                  <c:v>8.270847872590807</c:v>
                </c:pt>
                <c:pt idx="142" formatCode="0">
                  <c:v>8.349284473541077</c:v>
                </c:pt>
                <c:pt idx="143" formatCode="0">
                  <c:v>8.42652215166684</c:v>
                </c:pt>
                <c:pt idx="144" formatCode="0">
                  <c:v>8.50257923279968</c:v>
                </c:pt>
                <c:pt idx="145" formatCode="0">
                  <c:v>8.577473762656322</c:v>
                </c:pt>
                <c:pt idx="146" formatCode="0">
                  <c:v>8.651223511120242</c:v>
                </c:pt>
                <c:pt idx="147" formatCode="0">
                  <c:v>8.72384597645787</c:v>
                </c:pt>
                <c:pt idx="148" formatCode="0">
                  <c:v>8.7953583894703</c:v>
                </c:pt>
                <c:pt idx="149" formatCode="0">
                  <c:v>8.86577771758158</c:v>
                </c:pt>
                <c:pt idx="150" formatCode="0">
                  <c:v>8.935120668864485</c:v>
                </c:pt>
                <c:pt idx="151" formatCode="0">
                  <c:v>9.003403696004777</c:v>
                </c:pt>
                <c:pt idx="152" formatCode="0">
                  <c:v>9.070643000204848</c:v>
                </c:pt>
                <c:pt idx="153" formatCode="0">
                  <c:v>9.1368545350277</c:v>
                </c:pt>
                <c:pt idx="154" formatCode="0">
                  <c:v>9.202054010182195</c:v>
                </c:pt>
                <c:pt idx="155" formatCode="0">
                  <c:v>9.26625689525041</c:v>
                </c:pt>
                <c:pt idx="156" formatCode="0">
                  <c:v>9.329478423358035</c:v>
                </c:pt>
                <c:pt idx="157" formatCode="0">
                  <c:v>9.39173359478867</c:v>
                </c:pt>
                <c:pt idx="158" formatCode="0">
                  <c:v>9.45303718054288</c:v>
                </c:pt>
                <c:pt idx="159" formatCode="0">
                  <c:v>9.513403725842831</c:v>
                </c:pt>
                <c:pt idx="160" formatCode="0">
                  <c:v>9.572847553583377</c:v>
                </c:pt>
                <c:pt idx="161" formatCode="0">
                  <c:v>9.133534561116412</c:v>
                </c:pt>
                <c:pt idx="162" formatCode="0">
                  <c:v>9.414285735380897</c:v>
                </c:pt>
                <c:pt idx="163" formatCode="0">
                  <c:v>9.690745558582795</c:v>
                </c:pt>
                <c:pt idx="164" formatCode="0">
                  <c:v>9.962979625083354</c:v>
                </c:pt>
                <c:pt idx="165" formatCode="0">
                  <c:v>10.23105252661778</c:v>
                </c:pt>
                <c:pt idx="166" formatCode="0">
                  <c:v>10.49502786762068</c:v>
                </c:pt>
                <c:pt idx="167" formatCode="0">
                  <c:v>10.75496828031713</c:v>
                </c:pt>
                <c:pt idx="168" formatCode="0">
                  <c:v>11.01093543958318</c:v>
                </c:pt>
                <c:pt idx="169" formatCode="0">
                  <c:v>11.26299007757918</c:v>
                </c:pt>
                <c:pt idx="170" formatCode="0">
                  <c:v>11.5111919981594</c:v>
                </c:pt>
                <c:pt idx="171" formatCode="0">
                  <c:v>11.7556000910614</c:v>
                </c:pt>
                <c:pt idx="172" formatCode="0">
                  <c:v>11.99627234587855</c:v>
                </c:pt>
                <c:pt idx="173" formatCode="0">
                  <c:v>12.23326586581901</c:v>
                </c:pt>
                <c:pt idx="174" formatCode="0">
                  <c:v>12.46663688125424</c:v>
                </c:pt>
                <c:pt idx="175" formatCode="0">
                  <c:v>12.69644076306059</c:v>
                </c:pt>
                <c:pt idx="176" formatCode="0">
                  <c:v>12.92273203575691</c:v>
                </c:pt>
                <c:pt idx="177" formatCode="0">
                  <c:v>13.14556439044128</c:v>
                </c:pt>
                <c:pt idx="178" formatCode="0">
                  <c:v>13.3649906975301</c:v>
                </c:pt>
                <c:pt idx="179" formatCode="0">
                  <c:v>13.58106301930238</c:v>
                </c:pt>
                <c:pt idx="180" formatCode="0">
                  <c:v>13.79383262225235</c:v>
                </c:pt>
                <c:pt idx="181" formatCode="0">
                  <c:v>14.00334998925318</c:v>
                </c:pt>
                <c:pt idx="182" formatCode="0">
                  <c:v>14.20966483153487</c:v>
                </c:pt>
                <c:pt idx="183" formatCode="0">
                  <c:v>14.41282610047899</c:v>
                </c:pt>
                <c:pt idx="184" formatCode="0">
                  <c:v>14.61288199923315</c:v>
                </c:pt>
                <c:pt idx="185" formatCode="0">
                  <c:v>14.80987999414793</c:v>
                </c:pt>
                <c:pt idx="186" formatCode="0">
                  <c:v>15.00386682603902</c:v>
                </c:pt>
                <c:pt idx="187" formatCode="0">
                  <c:v>15.19488852127717</c:v>
                </c:pt>
                <c:pt idx="188" formatCode="0">
                  <c:v>15.38299040270874</c:v>
                </c:pt>
                <c:pt idx="189" formatCode="0">
                  <c:v>15.56821710040912</c:v>
                </c:pt>
                <c:pt idx="190" formatCode="0">
                  <c:v>15.75061256227201</c:v>
                </c:pt>
                <c:pt idx="191" formatCode="0">
                  <c:v>15.93022006443669</c:v>
                </c:pt>
                <c:pt idx="192" formatCode="0">
                  <c:v>16.10708222155596</c:v>
                </c:pt>
                <c:pt idx="193" formatCode="0">
                  <c:v>16.2812409969071</c:v>
                </c:pt>
                <c:pt idx="194" formatCode="0">
                  <c:v>16.45273771234837</c:v>
                </c:pt>
                <c:pt idx="195" formatCode="0">
                  <c:v>16.62161305812318</c:v>
                </c:pt>
                <c:pt idx="196" formatCode="0">
                  <c:v>16.78790710251454</c:v>
                </c:pt>
                <c:pt idx="197" formatCode="0">
                  <c:v>16.95165930135185</c:v>
                </c:pt>
                <c:pt idx="198" formatCode="0">
                  <c:v>17.1129085073724</c:v>
                </c:pt>
                <c:pt idx="199" formatCode="0">
                  <c:v>17.2716929794398</c:v>
                </c:pt>
                <c:pt idx="200" formatCode="0">
                  <c:v>17.42805039162147</c:v>
                </c:pt>
                <c:pt idx="201" formatCode="0">
                  <c:v>17.58201784212741</c:v>
                </c:pt>
                <c:pt idx="202" formatCode="0">
                  <c:v>17.73363186211231</c:v>
                </c:pt>
                <c:pt idx="203" formatCode="0">
                  <c:v>17.88292842434314</c:v>
                </c:pt>
                <c:pt idx="204" formatCode="0">
                  <c:v>18.02994295173423</c:v>
                </c:pt>
                <c:pt idx="205" formatCode="0">
                  <c:v>18.17471032575192</c:v>
                </c:pt>
                <c:pt idx="206" formatCode="0">
                  <c:v>18.31726489469072</c:v>
                </c:pt>
                <c:pt idx="207" formatCode="0">
                  <c:v>18.45764048182296</c:v>
                </c:pt>
                <c:pt idx="208" formatCode="0">
                  <c:v>18.59587039342392</c:v>
                </c:pt>
                <c:pt idx="209" formatCode="0">
                  <c:v>18.7319874266742</c:v>
                </c:pt>
                <c:pt idx="210" formatCode="0">
                  <c:v>18.86602387744141</c:v>
                </c:pt>
                <c:pt idx="211" formatCode="0">
                  <c:v>18.99801154794285</c:v>
                </c:pt>
                <c:pt idx="212" formatCode="0">
                  <c:v>19.12798175429107</c:v>
                </c:pt>
                <c:pt idx="213" formatCode="0">
                  <c:v>19.25596533392411</c:v>
                </c:pt>
                <c:pt idx="214" formatCode="0">
                  <c:v>19.38199265292211</c:v>
                </c:pt>
                <c:pt idx="215" formatCode="0">
                  <c:v>19.50609361321221</c:v>
                </c:pt>
                <c:pt idx="216" formatCode="0">
                  <c:v>19.62829765966321</c:v>
                </c:pt>
                <c:pt idx="217" formatCode="0">
                  <c:v>19.74863378707179</c:v>
                </c:pt>
                <c:pt idx="218" formatCode="0">
                  <c:v>19.86713054704202</c:v>
                </c:pt>
                <c:pt idx="219" formatCode="0">
                  <c:v>19.98381605475963</c:v>
                </c:pt>
                <c:pt idx="220" formatCode="0">
                  <c:v>20.09871799566281</c:v>
                </c:pt>
                <c:pt idx="221" formatCode="0">
                  <c:v>20.21186363201096</c:v>
                </c:pt>
                <c:pt idx="222" formatCode="0">
                  <c:v>20.32327980935315</c:v>
                </c:pt>
                <c:pt idx="223" formatCode="0">
                  <c:v>20.43299296289756</c:v>
                </c:pt>
                <c:pt idx="224" formatCode="0">
                  <c:v>20.54102912378371</c:v>
                </c:pt>
                <c:pt idx="225" formatCode="0">
                  <c:v>20.64741392525869</c:v>
                </c:pt>
                <c:pt idx="226" formatCode="0">
                  <c:v>20.7521726087591</c:v>
                </c:pt>
                <c:pt idx="227" formatCode="0">
                  <c:v>20.85533002989995</c:v>
                </c:pt>
                <c:pt idx="228" formatCode="0">
                  <c:v>20.95691066437201</c:v>
                </c:pt>
                <c:pt idx="229" formatCode="0">
                  <c:v>21.05693861374909</c:v>
                </c:pt>
                <c:pt idx="230" formatCode="0">
                  <c:v>21.15543761120648</c:v>
                </c:pt>
                <c:pt idx="231" formatCode="0">
                  <c:v>21.25243102715202</c:v>
                </c:pt>
                <c:pt idx="232" formatCode="0">
                  <c:v>21.3479418747711</c:v>
                </c:pt>
                <c:pt idx="233" formatCode="0">
                  <c:v>21.44199281548688</c:v>
                </c:pt>
                <c:pt idx="234" formatCode="0">
                  <c:v>21.53460616433707</c:v>
                </c:pt>
                <c:pt idx="235" formatCode="0">
                  <c:v>21.62580389526852</c:v>
                </c:pt>
                <c:pt idx="236" formatCode="0">
                  <c:v>21.71560764635086</c:v>
                </c:pt>
                <c:pt idx="237" formatCode="0">
                  <c:v>21.8040387249105</c:v>
                </c:pt>
                <c:pt idx="238" formatCode="0">
                  <c:v>21.89111811258606</c:v>
                </c:pt>
                <c:pt idx="239" formatCode="0">
                  <c:v>21.9768664703067</c:v>
                </c:pt>
                <c:pt idx="240" formatCode="0">
                  <c:v>22.0613041431941</c:v>
                </c:pt>
              </c:numCache>
            </c:numRef>
          </c:val>
        </c:ser>
        <c:ser>
          <c:idx val="8"/>
          <c:order val="8"/>
          <c:tx>
            <c:strRef>
              <c:f>' MixCon Even T40H80U75'!$AR$77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val>
            <c:numRef>
              <c:f>' MixCon Even T40H80U75'!$AR$78:$AR$318</c:f>
              <c:numCache>
                <c:formatCode>General</c:formatCode>
                <c:ptCount val="241"/>
                <c:pt idx="40" formatCode="0">
                  <c:v>1.343438133191928</c:v>
                </c:pt>
                <c:pt idx="41" formatCode="0">
                  <c:v>1.343438133191928</c:v>
                </c:pt>
                <c:pt idx="42" formatCode="0">
                  <c:v>1.343438133191928</c:v>
                </c:pt>
                <c:pt idx="43" formatCode="0">
                  <c:v>1.343438133191928</c:v>
                </c:pt>
                <c:pt idx="44" formatCode="0">
                  <c:v>1.343438133191928</c:v>
                </c:pt>
                <c:pt idx="45" formatCode="0">
                  <c:v>1.343438133191928</c:v>
                </c:pt>
                <c:pt idx="46" formatCode="0">
                  <c:v>1.343438133191928</c:v>
                </c:pt>
                <c:pt idx="47" formatCode="0">
                  <c:v>1.343438133191928</c:v>
                </c:pt>
                <c:pt idx="48" formatCode="0">
                  <c:v>1.343438133191928</c:v>
                </c:pt>
                <c:pt idx="49" formatCode="0">
                  <c:v>1.343438133191928</c:v>
                </c:pt>
                <c:pt idx="50" formatCode="0">
                  <c:v>1.343438133191928</c:v>
                </c:pt>
                <c:pt idx="51" formatCode="0">
                  <c:v>1.343438133191928</c:v>
                </c:pt>
                <c:pt idx="52" formatCode="0">
                  <c:v>1.343438133191928</c:v>
                </c:pt>
                <c:pt idx="53" formatCode="0">
                  <c:v>1.343438133191928</c:v>
                </c:pt>
                <c:pt idx="54" formatCode="0">
                  <c:v>1.343438133191928</c:v>
                </c:pt>
                <c:pt idx="55" formatCode="0">
                  <c:v>1.343438133191928</c:v>
                </c:pt>
                <c:pt idx="56" formatCode="0">
                  <c:v>1.343438133191928</c:v>
                </c:pt>
                <c:pt idx="57" formatCode="0">
                  <c:v>1.343438133191928</c:v>
                </c:pt>
                <c:pt idx="58" formatCode="0">
                  <c:v>1.343438133191928</c:v>
                </c:pt>
                <c:pt idx="59" formatCode="0">
                  <c:v>1.343438133191928</c:v>
                </c:pt>
                <c:pt idx="60" formatCode="0">
                  <c:v>1.343438133191928</c:v>
                </c:pt>
                <c:pt idx="61" formatCode="0">
                  <c:v>1.343438133191928</c:v>
                </c:pt>
                <c:pt idx="62" formatCode="0">
                  <c:v>1.343438133191928</c:v>
                </c:pt>
                <c:pt idx="63" formatCode="0">
                  <c:v>1.343438133191928</c:v>
                </c:pt>
                <c:pt idx="64" formatCode="0">
                  <c:v>1.343438133191928</c:v>
                </c:pt>
                <c:pt idx="65" formatCode="0">
                  <c:v>1.343438133191928</c:v>
                </c:pt>
                <c:pt idx="66" formatCode="0">
                  <c:v>1.343438133191928</c:v>
                </c:pt>
                <c:pt idx="67" formatCode="0">
                  <c:v>1.343438133191928</c:v>
                </c:pt>
                <c:pt idx="68" formatCode="0">
                  <c:v>1.343438133191928</c:v>
                </c:pt>
                <c:pt idx="69" formatCode="0">
                  <c:v>1.343438133191928</c:v>
                </c:pt>
                <c:pt idx="70" formatCode="0">
                  <c:v>1.343438133191928</c:v>
                </c:pt>
                <c:pt idx="71" formatCode="0">
                  <c:v>1.343438133191928</c:v>
                </c:pt>
                <c:pt idx="72" formatCode="0">
                  <c:v>1.343438133191928</c:v>
                </c:pt>
                <c:pt idx="73" formatCode="0">
                  <c:v>1.343438133191928</c:v>
                </c:pt>
                <c:pt idx="74" formatCode="0">
                  <c:v>1.343438133191928</c:v>
                </c:pt>
                <c:pt idx="75" formatCode="0">
                  <c:v>1.343438133191928</c:v>
                </c:pt>
                <c:pt idx="76" formatCode="0">
                  <c:v>1.343438133191928</c:v>
                </c:pt>
                <c:pt idx="77" formatCode="0">
                  <c:v>1.343438133191928</c:v>
                </c:pt>
                <c:pt idx="78" formatCode="0">
                  <c:v>1.343438133191928</c:v>
                </c:pt>
                <c:pt idx="79" formatCode="0">
                  <c:v>1.343438133191928</c:v>
                </c:pt>
                <c:pt idx="80" formatCode="0">
                  <c:v>23.25391418104315</c:v>
                </c:pt>
                <c:pt idx="81" formatCode="0">
                  <c:v>23.25391418104315</c:v>
                </c:pt>
                <c:pt idx="82" formatCode="0">
                  <c:v>23.25391418104315</c:v>
                </c:pt>
                <c:pt idx="83" formatCode="0">
                  <c:v>23.25391418104315</c:v>
                </c:pt>
                <c:pt idx="84" formatCode="0">
                  <c:v>23.25391418104315</c:v>
                </c:pt>
                <c:pt idx="85" formatCode="0">
                  <c:v>23.25391418104315</c:v>
                </c:pt>
                <c:pt idx="86" formatCode="0">
                  <c:v>23.25391418104315</c:v>
                </c:pt>
                <c:pt idx="87" formatCode="0">
                  <c:v>23.25391418104315</c:v>
                </c:pt>
                <c:pt idx="88" formatCode="0">
                  <c:v>23.25391418104315</c:v>
                </c:pt>
                <c:pt idx="89" formatCode="0">
                  <c:v>23.25391418104315</c:v>
                </c:pt>
                <c:pt idx="90" formatCode="0">
                  <c:v>23.25391418104315</c:v>
                </c:pt>
                <c:pt idx="91" formatCode="0">
                  <c:v>23.25391418104315</c:v>
                </c:pt>
                <c:pt idx="92" formatCode="0">
                  <c:v>23.25391418104315</c:v>
                </c:pt>
                <c:pt idx="93" formatCode="0">
                  <c:v>23.25391418104315</c:v>
                </c:pt>
                <c:pt idx="94" formatCode="0">
                  <c:v>23.25391418104315</c:v>
                </c:pt>
                <c:pt idx="95" formatCode="0">
                  <c:v>23.25391418104315</c:v>
                </c:pt>
                <c:pt idx="96" formatCode="0">
                  <c:v>23.25391418104315</c:v>
                </c:pt>
                <c:pt idx="97" formatCode="0">
                  <c:v>23.25391418104315</c:v>
                </c:pt>
                <c:pt idx="98" formatCode="0">
                  <c:v>23.25391418104315</c:v>
                </c:pt>
                <c:pt idx="99" formatCode="0">
                  <c:v>23.25391418104315</c:v>
                </c:pt>
                <c:pt idx="100" formatCode="0">
                  <c:v>23.25391418104315</c:v>
                </c:pt>
                <c:pt idx="101" formatCode="0">
                  <c:v>23.25391418104315</c:v>
                </c:pt>
                <c:pt idx="102" formatCode="0">
                  <c:v>23.25391418104315</c:v>
                </c:pt>
                <c:pt idx="103" formatCode="0">
                  <c:v>23.25391418104315</c:v>
                </c:pt>
                <c:pt idx="104" formatCode="0">
                  <c:v>23.25391418104315</c:v>
                </c:pt>
                <c:pt idx="105" formatCode="0">
                  <c:v>23.25391418104315</c:v>
                </c:pt>
                <c:pt idx="106" formatCode="0">
                  <c:v>23.25391418104315</c:v>
                </c:pt>
                <c:pt idx="107" formatCode="0">
                  <c:v>23.25391418104315</c:v>
                </c:pt>
                <c:pt idx="108" formatCode="0">
                  <c:v>23.25391418104315</c:v>
                </c:pt>
                <c:pt idx="109" formatCode="0">
                  <c:v>23.25391418104315</c:v>
                </c:pt>
                <c:pt idx="110" formatCode="0">
                  <c:v>23.25391418104315</c:v>
                </c:pt>
                <c:pt idx="111" formatCode="0">
                  <c:v>23.25391418104315</c:v>
                </c:pt>
                <c:pt idx="112" formatCode="0">
                  <c:v>23.25391418104315</c:v>
                </c:pt>
                <c:pt idx="113" formatCode="0">
                  <c:v>23.25391418104315</c:v>
                </c:pt>
                <c:pt idx="114" formatCode="0">
                  <c:v>23.25391418104315</c:v>
                </c:pt>
                <c:pt idx="115" formatCode="0">
                  <c:v>23.25391418104315</c:v>
                </c:pt>
                <c:pt idx="116" formatCode="0">
                  <c:v>23.25391418104315</c:v>
                </c:pt>
                <c:pt idx="117" formatCode="0">
                  <c:v>23.25391418104315</c:v>
                </c:pt>
                <c:pt idx="118" formatCode="0">
                  <c:v>23.25391418104315</c:v>
                </c:pt>
                <c:pt idx="119" formatCode="0">
                  <c:v>23.25391418104315</c:v>
                </c:pt>
                <c:pt idx="120" formatCode="0">
                  <c:v>23.25391418104315</c:v>
                </c:pt>
                <c:pt idx="121" formatCode="0">
                  <c:v>23.25391418104315</c:v>
                </c:pt>
                <c:pt idx="122" formatCode="0">
                  <c:v>23.25391418104315</c:v>
                </c:pt>
                <c:pt idx="123" formatCode="0">
                  <c:v>23.25391418104315</c:v>
                </c:pt>
                <c:pt idx="124" formatCode="0">
                  <c:v>23.25391418104315</c:v>
                </c:pt>
                <c:pt idx="125" formatCode="0">
                  <c:v>23.25391418104315</c:v>
                </c:pt>
                <c:pt idx="126" formatCode="0">
                  <c:v>23.25391418104315</c:v>
                </c:pt>
                <c:pt idx="127" formatCode="0">
                  <c:v>23.25391418104315</c:v>
                </c:pt>
                <c:pt idx="128" formatCode="0">
                  <c:v>23.25391418104315</c:v>
                </c:pt>
                <c:pt idx="129" formatCode="0">
                  <c:v>23.25391418104315</c:v>
                </c:pt>
                <c:pt idx="130" formatCode="0">
                  <c:v>23.25391418104315</c:v>
                </c:pt>
                <c:pt idx="131" formatCode="0">
                  <c:v>23.25391418104315</c:v>
                </c:pt>
                <c:pt idx="132" formatCode="0">
                  <c:v>23.25391418104315</c:v>
                </c:pt>
                <c:pt idx="133" formatCode="0">
                  <c:v>23.25391418104315</c:v>
                </c:pt>
                <c:pt idx="134" formatCode="0">
                  <c:v>23.25391418104315</c:v>
                </c:pt>
                <c:pt idx="135" formatCode="0">
                  <c:v>23.25391418104315</c:v>
                </c:pt>
                <c:pt idx="136" formatCode="0">
                  <c:v>23.25391418104315</c:v>
                </c:pt>
                <c:pt idx="137" formatCode="0">
                  <c:v>23.25391418104315</c:v>
                </c:pt>
                <c:pt idx="138" formatCode="0">
                  <c:v>23.25391418104315</c:v>
                </c:pt>
                <c:pt idx="139" formatCode="0">
                  <c:v>23.25391418104315</c:v>
                </c:pt>
                <c:pt idx="140" formatCode="0">
                  <c:v>23.25391418104315</c:v>
                </c:pt>
                <c:pt idx="141" formatCode="0">
                  <c:v>23.25391418104315</c:v>
                </c:pt>
                <c:pt idx="142" formatCode="0">
                  <c:v>23.25391418104315</c:v>
                </c:pt>
                <c:pt idx="143" formatCode="0">
                  <c:v>23.25391418104315</c:v>
                </c:pt>
                <c:pt idx="144" formatCode="0">
                  <c:v>23.25391418104315</c:v>
                </c:pt>
                <c:pt idx="145" formatCode="0">
                  <c:v>23.25391418104315</c:v>
                </c:pt>
                <c:pt idx="146" formatCode="0">
                  <c:v>23.25391418104315</c:v>
                </c:pt>
                <c:pt idx="147" formatCode="0">
                  <c:v>23.25391418104315</c:v>
                </c:pt>
                <c:pt idx="148" formatCode="0">
                  <c:v>23.25391418104315</c:v>
                </c:pt>
                <c:pt idx="149" formatCode="0">
                  <c:v>23.25391418104315</c:v>
                </c:pt>
                <c:pt idx="150" formatCode="0">
                  <c:v>23.25391418104315</c:v>
                </c:pt>
                <c:pt idx="151" formatCode="0">
                  <c:v>23.25391418104315</c:v>
                </c:pt>
                <c:pt idx="152" formatCode="0">
                  <c:v>23.25391418104315</c:v>
                </c:pt>
                <c:pt idx="153" formatCode="0">
                  <c:v>23.25391418104315</c:v>
                </c:pt>
                <c:pt idx="154" formatCode="0">
                  <c:v>23.25391418104315</c:v>
                </c:pt>
                <c:pt idx="155" formatCode="0">
                  <c:v>23.25391418104315</c:v>
                </c:pt>
                <c:pt idx="156" formatCode="0">
                  <c:v>23.25391418104315</c:v>
                </c:pt>
                <c:pt idx="157" formatCode="0">
                  <c:v>23.25391418104315</c:v>
                </c:pt>
                <c:pt idx="158" formatCode="0">
                  <c:v>23.25391418104315</c:v>
                </c:pt>
                <c:pt idx="159" formatCode="0">
                  <c:v>23.25391418104315</c:v>
                </c:pt>
                <c:pt idx="160" formatCode="0">
                  <c:v>23.25391418104315</c:v>
                </c:pt>
                <c:pt idx="161" formatCode="0">
                  <c:v>36.15505377202963</c:v>
                </c:pt>
                <c:pt idx="162" formatCode="0">
                  <c:v>36.15505377202963</c:v>
                </c:pt>
                <c:pt idx="163" formatCode="0">
                  <c:v>36.15505377202963</c:v>
                </c:pt>
                <c:pt idx="164" formatCode="0">
                  <c:v>36.15505377202963</c:v>
                </c:pt>
                <c:pt idx="165" formatCode="0">
                  <c:v>36.15505377202963</c:v>
                </c:pt>
                <c:pt idx="166" formatCode="0">
                  <c:v>36.15505377202963</c:v>
                </c:pt>
                <c:pt idx="167" formatCode="0">
                  <c:v>36.15505377202963</c:v>
                </c:pt>
                <c:pt idx="168" formatCode="0">
                  <c:v>36.15505377202963</c:v>
                </c:pt>
                <c:pt idx="169" formatCode="0">
                  <c:v>36.15505377202963</c:v>
                </c:pt>
                <c:pt idx="170" formatCode="0">
                  <c:v>36.15505377202963</c:v>
                </c:pt>
                <c:pt idx="171" formatCode="0">
                  <c:v>36.15505377202963</c:v>
                </c:pt>
                <c:pt idx="172" formatCode="0">
                  <c:v>36.15505377202963</c:v>
                </c:pt>
                <c:pt idx="173" formatCode="0">
                  <c:v>36.15505377202963</c:v>
                </c:pt>
                <c:pt idx="174" formatCode="0">
                  <c:v>36.15505377202963</c:v>
                </c:pt>
                <c:pt idx="175" formatCode="0">
                  <c:v>36.15505377202963</c:v>
                </c:pt>
                <c:pt idx="176" formatCode="0">
                  <c:v>36.15505377202963</c:v>
                </c:pt>
                <c:pt idx="177" formatCode="0">
                  <c:v>36.15505377202963</c:v>
                </c:pt>
                <c:pt idx="178" formatCode="0">
                  <c:v>36.15505377202963</c:v>
                </c:pt>
                <c:pt idx="179" formatCode="0">
                  <c:v>36.15505377202963</c:v>
                </c:pt>
                <c:pt idx="180" formatCode="0">
                  <c:v>36.15505377202963</c:v>
                </c:pt>
                <c:pt idx="181" formatCode="0">
                  <c:v>36.15505377202963</c:v>
                </c:pt>
                <c:pt idx="182" formatCode="0">
                  <c:v>36.15505377202963</c:v>
                </c:pt>
                <c:pt idx="183" formatCode="0">
                  <c:v>36.15505377202963</c:v>
                </c:pt>
                <c:pt idx="184" formatCode="0">
                  <c:v>36.15505377202963</c:v>
                </c:pt>
                <c:pt idx="185" formatCode="0">
                  <c:v>36.15505377202963</c:v>
                </c:pt>
                <c:pt idx="186" formatCode="0">
                  <c:v>36.15505377202963</c:v>
                </c:pt>
                <c:pt idx="187" formatCode="0">
                  <c:v>36.15505377202963</c:v>
                </c:pt>
                <c:pt idx="188" formatCode="0">
                  <c:v>36.15505377202963</c:v>
                </c:pt>
                <c:pt idx="189" formatCode="0">
                  <c:v>36.15505377202963</c:v>
                </c:pt>
                <c:pt idx="190" formatCode="0">
                  <c:v>36.15505377202963</c:v>
                </c:pt>
                <c:pt idx="191" formatCode="0">
                  <c:v>36.15505377202963</c:v>
                </c:pt>
                <c:pt idx="192" formatCode="0">
                  <c:v>36.15505377202963</c:v>
                </c:pt>
                <c:pt idx="193" formatCode="0">
                  <c:v>36.15505377202963</c:v>
                </c:pt>
                <c:pt idx="194" formatCode="0">
                  <c:v>36.15505377202963</c:v>
                </c:pt>
                <c:pt idx="195" formatCode="0">
                  <c:v>36.15505377202963</c:v>
                </c:pt>
                <c:pt idx="196" formatCode="0">
                  <c:v>36.15505377202963</c:v>
                </c:pt>
                <c:pt idx="197" formatCode="0">
                  <c:v>36.15505377202963</c:v>
                </c:pt>
                <c:pt idx="198" formatCode="0">
                  <c:v>36.15505377202963</c:v>
                </c:pt>
                <c:pt idx="199" formatCode="0">
                  <c:v>36.15505377202963</c:v>
                </c:pt>
                <c:pt idx="200" formatCode="0">
                  <c:v>36.15505377202963</c:v>
                </c:pt>
                <c:pt idx="201" formatCode="0">
                  <c:v>36.15505377202963</c:v>
                </c:pt>
                <c:pt idx="202" formatCode="0">
                  <c:v>36.15505377202963</c:v>
                </c:pt>
                <c:pt idx="203" formatCode="0">
                  <c:v>36.15505377202963</c:v>
                </c:pt>
                <c:pt idx="204" formatCode="0">
                  <c:v>36.15505377202963</c:v>
                </c:pt>
                <c:pt idx="205" formatCode="0">
                  <c:v>36.15505377202963</c:v>
                </c:pt>
                <c:pt idx="206" formatCode="0">
                  <c:v>36.15505377202963</c:v>
                </c:pt>
                <c:pt idx="207" formatCode="0">
                  <c:v>36.15505377202963</c:v>
                </c:pt>
                <c:pt idx="208" formatCode="0">
                  <c:v>36.15505377202963</c:v>
                </c:pt>
                <c:pt idx="209" formatCode="0">
                  <c:v>36.15505377202963</c:v>
                </c:pt>
                <c:pt idx="210" formatCode="0">
                  <c:v>36.15505377202963</c:v>
                </c:pt>
                <c:pt idx="211" formatCode="0">
                  <c:v>36.15505377202963</c:v>
                </c:pt>
                <c:pt idx="212" formatCode="0">
                  <c:v>36.15505377202963</c:v>
                </c:pt>
                <c:pt idx="213" formatCode="0">
                  <c:v>36.15505377202963</c:v>
                </c:pt>
                <c:pt idx="214" formatCode="0">
                  <c:v>36.15505377202963</c:v>
                </c:pt>
                <c:pt idx="215" formatCode="0">
                  <c:v>36.15505377202963</c:v>
                </c:pt>
                <c:pt idx="216" formatCode="0">
                  <c:v>36.15505377202963</c:v>
                </c:pt>
                <c:pt idx="217" formatCode="0">
                  <c:v>36.15505377202963</c:v>
                </c:pt>
                <c:pt idx="218" formatCode="0">
                  <c:v>36.15505377202963</c:v>
                </c:pt>
                <c:pt idx="219" formatCode="0">
                  <c:v>36.15505377202963</c:v>
                </c:pt>
                <c:pt idx="220" formatCode="0">
                  <c:v>36.15505377202963</c:v>
                </c:pt>
                <c:pt idx="221" formatCode="0">
                  <c:v>36.15505377202963</c:v>
                </c:pt>
                <c:pt idx="222" formatCode="0">
                  <c:v>36.15505377202963</c:v>
                </c:pt>
                <c:pt idx="223" formatCode="0">
                  <c:v>36.15505377202963</c:v>
                </c:pt>
                <c:pt idx="224" formatCode="0">
                  <c:v>36.15505377202963</c:v>
                </c:pt>
                <c:pt idx="225" formatCode="0">
                  <c:v>36.15505377202963</c:v>
                </c:pt>
                <c:pt idx="226" formatCode="0">
                  <c:v>36.15505377202963</c:v>
                </c:pt>
                <c:pt idx="227" formatCode="0">
                  <c:v>36.15505377202963</c:v>
                </c:pt>
                <c:pt idx="228" formatCode="0">
                  <c:v>36.15505377202963</c:v>
                </c:pt>
                <c:pt idx="229" formatCode="0">
                  <c:v>36.15505377202963</c:v>
                </c:pt>
                <c:pt idx="230" formatCode="0">
                  <c:v>36.15505377202963</c:v>
                </c:pt>
                <c:pt idx="231" formatCode="0">
                  <c:v>36.15505377202963</c:v>
                </c:pt>
                <c:pt idx="232" formatCode="0">
                  <c:v>36.15505377202963</c:v>
                </c:pt>
                <c:pt idx="233" formatCode="0">
                  <c:v>36.15505377202963</c:v>
                </c:pt>
                <c:pt idx="234" formatCode="0">
                  <c:v>36.15505377202963</c:v>
                </c:pt>
                <c:pt idx="235" formatCode="0">
                  <c:v>36.15505377202963</c:v>
                </c:pt>
                <c:pt idx="236" formatCode="0">
                  <c:v>36.15505377202963</c:v>
                </c:pt>
                <c:pt idx="237" formatCode="0">
                  <c:v>36.15505377202963</c:v>
                </c:pt>
                <c:pt idx="238" formatCode="0">
                  <c:v>36.15505377202963</c:v>
                </c:pt>
                <c:pt idx="239" formatCode="0">
                  <c:v>36.15505377202963</c:v>
                </c:pt>
                <c:pt idx="240" formatCode="0">
                  <c:v>36.15505377202963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084861528"/>
        <c:axId val="-2084856088"/>
      </c:barChart>
      <c:lineChart>
        <c:grouping val="standard"/>
        <c:varyColors val="0"/>
        <c:ser>
          <c:idx val="0"/>
          <c:order val="0"/>
          <c:tx>
            <c:strRef>
              <c:f>' MixCon Even T40H80U75'!$AJ$77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cat>
            <c:numRef>
              <c:f>' MixCon Even T40H80U75'!$AE$78:$AE$318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 MixCon Even T40H80U75'!$AJ$78:$AJ$318</c:f>
              <c:numCache>
                <c:formatCode>0</c:formatCode>
                <c:ptCount val="24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18.2171957703053</c:v>
                </c:pt>
                <c:pt idx="42">
                  <c:v>19.94036919288419</c:v>
                </c:pt>
                <c:pt idx="43">
                  <c:v>21.66354261546308</c:v>
                </c:pt>
                <c:pt idx="44">
                  <c:v>23.38671603804196</c:v>
                </c:pt>
                <c:pt idx="45">
                  <c:v>25.10988946062085</c:v>
                </c:pt>
                <c:pt idx="46">
                  <c:v>26.83306288319974</c:v>
                </c:pt>
                <c:pt idx="47">
                  <c:v>28.55623630577863</c:v>
                </c:pt>
                <c:pt idx="48">
                  <c:v>30.27940972835752</c:v>
                </c:pt>
                <c:pt idx="49">
                  <c:v>32.00258315093641</c:v>
                </c:pt>
                <c:pt idx="50">
                  <c:v>33.7257565735153</c:v>
                </c:pt>
                <c:pt idx="51">
                  <c:v>35.44892999609419</c:v>
                </c:pt>
                <c:pt idx="52">
                  <c:v>37.17210341867307</c:v>
                </c:pt>
                <c:pt idx="53">
                  <c:v>38.89527684125196</c:v>
                </c:pt>
                <c:pt idx="54">
                  <c:v>40.61845026383085</c:v>
                </c:pt>
                <c:pt idx="55">
                  <c:v>42.34162368640974</c:v>
                </c:pt>
                <c:pt idx="56">
                  <c:v>44.06479710898863</c:v>
                </c:pt>
                <c:pt idx="57">
                  <c:v>45.78797053156752</c:v>
                </c:pt>
                <c:pt idx="58">
                  <c:v>47.51114395414641</c:v>
                </c:pt>
                <c:pt idx="59">
                  <c:v>49.2343173767253</c:v>
                </c:pt>
                <c:pt idx="60">
                  <c:v>50.95749079930418</c:v>
                </c:pt>
                <c:pt idx="61">
                  <c:v>52.68066422188307</c:v>
                </c:pt>
                <c:pt idx="62">
                  <c:v>54.40383764446196</c:v>
                </c:pt>
                <c:pt idx="63">
                  <c:v>56.12701106704085</c:v>
                </c:pt>
                <c:pt idx="64">
                  <c:v>57.85018448961974</c:v>
                </c:pt>
                <c:pt idx="65">
                  <c:v>59.57335791219862</c:v>
                </c:pt>
                <c:pt idx="66">
                  <c:v>61.2965313347775</c:v>
                </c:pt>
                <c:pt idx="67">
                  <c:v>63.0197047573564</c:v>
                </c:pt>
                <c:pt idx="68">
                  <c:v>64.74287817993529</c:v>
                </c:pt>
                <c:pt idx="69">
                  <c:v>66.46605160251418</c:v>
                </c:pt>
                <c:pt idx="70">
                  <c:v>68.18922502509308</c:v>
                </c:pt>
                <c:pt idx="71">
                  <c:v>69.91239844767198</c:v>
                </c:pt>
                <c:pt idx="72">
                  <c:v>71.63557187025087</c:v>
                </c:pt>
                <c:pt idx="73">
                  <c:v>73.35874529282977</c:v>
                </c:pt>
                <c:pt idx="74">
                  <c:v>75.08191871540866</c:v>
                </c:pt>
                <c:pt idx="75">
                  <c:v>76.80509213798756</c:v>
                </c:pt>
                <c:pt idx="76">
                  <c:v>78.52826556056645</c:v>
                </c:pt>
                <c:pt idx="77">
                  <c:v>80.25143898314534</c:v>
                </c:pt>
                <c:pt idx="78">
                  <c:v>81.97461240572424</c:v>
                </c:pt>
                <c:pt idx="79">
                  <c:v>83.69778582830314</c:v>
                </c:pt>
                <c:pt idx="80">
                  <c:v>85.42095925088196</c:v>
                </c:pt>
                <c:pt idx="81">
                  <c:v>86.71105885116137</c:v>
                </c:pt>
                <c:pt idx="82">
                  <c:v>87.98815549932785</c:v>
                </c:pt>
                <c:pt idx="83">
                  <c:v>89.25207374798569</c:v>
                </c:pt>
                <c:pt idx="84">
                  <c:v>90.50265516982493</c:v>
                </c:pt>
                <c:pt idx="85">
                  <c:v>91.73975768915416</c:v>
                </c:pt>
                <c:pt idx="86">
                  <c:v>92.96325492803624</c:v>
                </c:pt>
                <c:pt idx="87">
                  <c:v>94.17303556736168</c:v>
                </c:pt>
                <c:pt idx="88">
                  <c:v>95.3690027231239</c:v>
                </c:pt>
                <c:pt idx="89">
                  <c:v>96.55107333809586</c:v>
                </c:pt>
                <c:pt idx="90">
                  <c:v>97.71917758904893</c:v>
                </c:pt>
                <c:pt idx="91">
                  <c:v>98.87325830960242</c:v>
                </c:pt>
                <c:pt idx="92">
                  <c:v>100.0132704287426</c:v>
                </c:pt>
                <c:pt idx="93">
                  <c:v>101.139180425008</c:v>
                </c:pt>
                <c:pt idx="94">
                  <c:v>102.2509657962968</c:v>
                </c:pt>
                <c:pt idx="95">
                  <c:v>103.3486145452175</c:v>
                </c:pt>
                <c:pt idx="96">
                  <c:v>104.4321246798715</c:v>
                </c:pt>
                <c:pt idx="97">
                  <c:v>105.5015037299297</c:v>
                </c:pt>
                <c:pt idx="98">
                  <c:v>106.5567682778356</c:v>
                </c:pt>
                <c:pt idx="99">
                  <c:v>107.5979435049508</c:v>
                </c:pt>
                <c:pt idx="100">
                  <c:v>108.6250627524327</c:v>
                </c:pt>
                <c:pt idx="101">
                  <c:v>109.6381670966215</c:v>
                </c:pt>
                <c:pt idx="102">
                  <c:v>110.6373049386964</c:v>
                </c:pt>
                <c:pt idx="103">
                  <c:v>111.6225316083471</c:v>
                </c:pt>
                <c:pt idx="104">
                  <c:v>112.5939089811971</c:v>
                </c:pt>
                <c:pt idx="105">
                  <c:v>113.5515051097048</c:v>
                </c:pt>
                <c:pt idx="106">
                  <c:v>114.495393867261</c:v>
                </c:pt>
                <c:pt idx="107">
                  <c:v>115.4256546051933</c:v>
                </c:pt>
                <c:pt idx="108">
                  <c:v>116.3423718223867</c:v>
                </c:pt>
                <c:pt idx="109">
                  <c:v>117.2456348472197</c:v>
                </c:pt>
                <c:pt idx="110">
                  <c:v>118.1355375315197</c:v>
                </c:pt>
                <c:pt idx="111">
                  <c:v>119.0121779562328</c:v>
                </c:pt>
                <c:pt idx="112">
                  <c:v>119.8756581485074</c:v>
                </c:pt>
                <c:pt idx="113">
                  <c:v>120.7260838098875</c:v>
                </c:pt>
                <c:pt idx="114">
                  <c:v>121.5635640553153</c:v>
                </c:pt>
                <c:pt idx="115">
                  <c:v>122.3882111626412</c:v>
                </c:pt>
                <c:pt idx="116">
                  <c:v>123.2001403323428</c:v>
                </c:pt>
                <c:pt idx="117">
                  <c:v>123.9994694571578</c:v>
                </c:pt>
                <c:pt idx="118">
                  <c:v>124.7863189013368</c:v>
                </c:pt>
                <c:pt idx="119">
                  <c:v>125.5608112892266</c:v>
                </c:pt>
                <c:pt idx="120">
                  <c:v>126.323071302899</c:v>
                </c:pt>
                <c:pt idx="121">
                  <c:v>127.0732254885427</c:v>
                </c:pt>
                <c:pt idx="122">
                  <c:v>127.8114020713414</c:v>
                </c:pt>
                <c:pt idx="123">
                  <c:v>128.5377307785662</c:v>
                </c:pt>
                <c:pt idx="124">
                  <c:v>129.2523426706143</c:v>
                </c:pt>
                <c:pt idx="125">
                  <c:v>129.9553699797319</c:v>
                </c:pt>
                <c:pt idx="126">
                  <c:v>130.6469459561647</c:v>
                </c:pt>
                <c:pt idx="127">
                  <c:v>131.3272047214833</c:v>
                </c:pt>
                <c:pt idx="128">
                  <c:v>131.9962811288383</c:v>
                </c:pt>
                <c:pt idx="129">
                  <c:v>132.6543106299048</c:v>
                </c:pt>
                <c:pt idx="130">
                  <c:v>133.3014291482797</c:v>
                </c:pt>
                <c:pt idx="131">
                  <c:v>133.9377729591053</c:v>
                </c:pt>
                <c:pt idx="132">
                  <c:v>134.5634785746921</c:v>
                </c:pt>
                <c:pt idx="133">
                  <c:v>135.1786826359275</c:v>
                </c:pt>
                <c:pt idx="134">
                  <c:v>135.7835218092532</c:v>
                </c:pt>
                <c:pt idx="135">
                  <c:v>136.3781326890098</c:v>
                </c:pt>
                <c:pt idx="136">
                  <c:v>136.9626517049435</c:v>
                </c:pt>
                <c:pt idx="137">
                  <c:v>137.5372150346831</c:v>
                </c:pt>
                <c:pt idx="138">
                  <c:v>138.1019585209953</c:v>
                </c:pt>
                <c:pt idx="139">
                  <c:v>138.6570175936353</c:v>
                </c:pt>
                <c:pt idx="140">
                  <c:v>139.202527195614</c:v>
                </c:pt>
                <c:pt idx="141">
                  <c:v>139.7386217137076</c:v>
                </c:pt>
                <c:pt idx="142">
                  <c:v>140.265434913042</c:v>
                </c:pt>
                <c:pt idx="143">
                  <c:v>140.7830998755894</c:v>
                </c:pt>
                <c:pt idx="144">
                  <c:v>141.2917489424176</c:v>
                </c:pt>
                <c:pt idx="145">
                  <c:v>141.7915136595419</c:v>
                </c:pt>
                <c:pt idx="146">
                  <c:v>142.2825247272286</c:v>
                </c:pt>
                <c:pt idx="147">
                  <c:v>142.7649119526085</c:v>
                </c:pt>
                <c:pt idx="148">
                  <c:v>143.238804205462</c:v>
                </c:pt>
                <c:pt idx="149">
                  <c:v>143.7043293770408</c:v>
                </c:pt>
                <c:pt idx="150">
                  <c:v>144.1616143417985</c:v>
                </c:pt>
                <c:pt idx="151">
                  <c:v>144.6107849219023</c:v>
                </c:pt>
                <c:pt idx="152">
                  <c:v>145.0519658544084</c:v>
                </c:pt>
                <c:pt idx="153">
                  <c:v>145.485280760981</c:v>
                </c:pt>
                <c:pt idx="154">
                  <c:v>145.9108521200458</c:v>
                </c:pt>
                <c:pt idx="155">
                  <c:v>146.3288012412665</c:v>
                </c:pt>
                <c:pt idx="156">
                  <c:v>146.7392482422407</c:v>
                </c:pt>
                <c:pt idx="157">
                  <c:v>147.1423120273151</c:v>
                </c:pt>
                <c:pt idx="158">
                  <c:v>147.5381102684207</c:v>
                </c:pt>
                <c:pt idx="159">
                  <c:v>147.926759387836</c:v>
                </c:pt>
                <c:pt idx="160">
                  <c:v>148.3083745427871</c:v>
                </c:pt>
                <c:pt idx="161">
                  <c:v>148.6830696117966</c:v>
                </c:pt>
                <c:pt idx="162">
                  <c:v>149.0509571827004</c:v>
                </c:pt>
                <c:pt idx="163">
                  <c:v>149.412148542248</c:v>
                </c:pt>
                <c:pt idx="164">
                  <c:v>149.766753667212</c:v>
                </c:pt>
                <c:pt idx="165">
                  <c:v>150.1148812169305</c:v>
                </c:pt>
                <c:pt idx="166">
                  <c:v>150.4566385272107</c:v>
                </c:pt>
                <c:pt idx="167">
                  <c:v>150.792131605525</c:v>
                </c:pt>
                <c:pt idx="168">
                  <c:v>151.1214651274338</c:v>
                </c:pt>
                <c:pt idx="169">
                  <c:v>151.4447424341706</c:v>
                </c:pt>
                <c:pt idx="170">
                  <c:v>151.7620655313278</c:v>
                </c:pt>
                <c:pt idx="171">
                  <c:v>152.0735350885863</c:v>
                </c:pt>
                <c:pt idx="172">
                  <c:v>152.3792504404302</c:v>
                </c:pt>
                <c:pt idx="173">
                  <c:v>152.6793095877948</c:v>
                </c:pt>
                <c:pt idx="174">
                  <c:v>152.9738092005933</c:v>
                </c:pt>
                <c:pt idx="175">
                  <c:v>153.2628446210756</c:v>
                </c:pt>
                <c:pt idx="176">
                  <c:v>153.546509867969</c:v>
                </c:pt>
                <c:pt idx="177">
                  <c:v>153.8248976413555</c:v>
                </c:pt>
                <c:pt idx="178">
                  <c:v>154.0980993282435</c:v>
                </c:pt>
                <c:pt idx="179">
                  <c:v>154.3662050087893</c:v>
                </c:pt>
                <c:pt idx="180">
                  <c:v>154.6293034631307</c:v>
                </c:pt>
                <c:pt idx="181">
                  <c:v>154.8874821787927</c:v>
                </c:pt>
                <c:pt idx="182">
                  <c:v>155.1408273586285</c:v>
                </c:pt>
                <c:pt idx="183">
                  <c:v>155.3894239292618</c:v>
                </c:pt>
                <c:pt idx="184">
                  <c:v>155.6333555499951</c:v>
                </c:pt>
                <c:pt idx="185">
                  <c:v>155.872704622153</c:v>
                </c:pt>
                <c:pt idx="186">
                  <c:v>156.1075522988293</c:v>
                </c:pt>
                <c:pt idx="187">
                  <c:v>156.3379784950081</c:v>
                </c:pt>
                <c:pt idx="188">
                  <c:v>156.5640618980319</c:v>
                </c:pt>
                <c:pt idx="189">
                  <c:v>156.785879978388</c:v>
                </c:pt>
                <c:pt idx="190">
                  <c:v>157.0035090007905</c:v>
                </c:pt>
                <c:pt idx="191">
                  <c:v>157.2170240355302</c:v>
                </c:pt>
                <c:pt idx="192">
                  <c:v>157.426498970072</c:v>
                </c:pt>
                <c:pt idx="193">
                  <c:v>157.6320065208753</c:v>
                </c:pt>
                <c:pt idx="194">
                  <c:v>157.8336182454183</c:v>
                </c:pt>
                <c:pt idx="195">
                  <c:v>158.0314045544048</c:v>
                </c:pt>
                <c:pt idx="196">
                  <c:v>158.2254347241343</c:v>
                </c:pt>
                <c:pt idx="197">
                  <c:v>158.4157769090179</c:v>
                </c:pt>
                <c:pt idx="198">
                  <c:v>158.6024981542229</c:v>
                </c:pt>
                <c:pt idx="199">
                  <c:v>158.7856644084281</c:v>
                </c:pt>
                <c:pt idx="200">
                  <c:v>158.9653405366756</c:v>
                </c:pt>
                <c:pt idx="201">
                  <c:v>159.1415903333042</c:v>
                </c:pt>
                <c:pt idx="202">
                  <c:v>159.3144765349492</c:v>
                </c:pt>
                <c:pt idx="203">
                  <c:v>159.4840608335961</c:v>
                </c:pt>
                <c:pt idx="204">
                  <c:v>159.6504038896766</c:v>
                </c:pt>
                <c:pt idx="205">
                  <c:v>159.8135653451913</c:v>
                </c:pt>
                <c:pt idx="206">
                  <c:v>159.9736038368528</c:v>
                </c:pt>
                <c:pt idx="207">
                  <c:v>160.1305770092337</c:v>
                </c:pt>
                <c:pt idx="208">
                  <c:v>160.2845415279132</c:v>
                </c:pt>
                <c:pt idx="209">
                  <c:v>160.4355530926093</c:v>
                </c:pt>
                <c:pt idx="210">
                  <c:v>160.583666450291</c:v>
                </c:pt>
                <c:pt idx="211">
                  <c:v>160.7289354082586</c:v>
                </c:pt>
                <c:pt idx="212">
                  <c:v>160.8714128471875</c:v>
                </c:pt>
                <c:pt idx="213">
                  <c:v>161.0111507341245</c:v>
                </c:pt>
                <c:pt idx="214">
                  <c:v>161.1482001354321</c:v>
                </c:pt>
                <c:pt idx="215">
                  <c:v>161.2826112296733</c:v>
                </c:pt>
                <c:pt idx="216">
                  <c:v>161.4144333204302</c:v>
                </c:pt>
                <c:pt idx="217">
                  <c:v>161.5437148490511</c:v>
                </c:pt>
                <c:pt idx="218">
                  <c:v>161.6705034073209</c:v>
                </c:pt>
                <c:pt idx="219">
                  <c:v>161.7948457500485</c:v>
                </c:pt>
                <c:pt idx="220">
                  <c:v>161.9167878075679</c:v>
                </c:pt>
                <c:pt idx="221">
                  <c:v>162.0363746981476</c:v>
                </c:pt>
                <c:pt idx="222">
                  <c:v>162.1536507403046</c:v>
                </c:pt>
                <c:pt idx="223">
                  <c:v>162.2686594650193</c:v>
                </c:pt>
                <c:pt idx="224">
                  <c:v>162.3814436278471</c:v>
                </c:pt>
                <c:pt idx="225">
                  <c:v>162.4920452209242</c:v>
                </c:pt>
                <c:pt idx="226">
                  <c:v>162.6005054848648</c:v>
                </c:pt>
                <c:pt idx="227">
                  <c:v>162.7068649205455</c:v>
                </c:pt>
                <c:pt idx="228">
                  <c:v>162.8111633007765</c:v>
                </c:pt>
                <c:pt idx="229">
                  <c:v>162.9134396818556</c:v>
                </c:pt>
                <c:pt idx="230">
                  <c:v>163.0137324150037</c:v>
                </c:pt>
                <c:pt idx="231">
                  <c:v>163.1120791576799</c:v>
                </c:pt>
                <c:pt idx="232">
                  <c:v>163.2085168847747</c:v>
                </c:pt>
                <c:pt idx="233">
                  <c:v>163.3030818996792</c:v>
                </c:pt>
                <c:pt idx="234">
                  <c:v>163.3958098452297</c:v>
                </c:pt>
                <c:pt idx="235">
                  <c:v>163.4867357145264</c:v>
                </c:pt>
                <c:pt idx="236">
                  <c:v>163.5758938616243</c:v>
                </c:pt>
                <c:pt idx="237">
                  <c:v>163.6633180120978</c:v>
                </c:pt>
                <c:pt idx="238">
                  <c:v>163.749041273475</c:v>
                </c:pt>
                <c:pt idx="239">
                  <c:v>163.833096145545</c:v>
                </c:pt>
                <c:pt idx="240">
                  <c:v>163.9155145305334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4861528"/>
        <c:axId val="-2084856088"/>
      </c:lineChart>
      <c:catAx>
        <c:axId val="-2084861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overlay val="0"/>
        </c:title>
        <c:majorTickMark val="out"/>
        <c:minorTickMark val="none"/>
        <c:tickLblPos val="nextTo"/>
        <c:crossAx val="-2084856088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-20848560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 Benefits in Tonnes of Carbon per Hectare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84861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7342479755953"/>
          <c:y val="0.0871046462703612"/>
          <c:w val="0.302327350438223"/>
          <c:h val="0.853028532723732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chart" Target="../charts/chart11.xml"/><Relationship Id="rId3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330200</xdr:colOff>
      <xdr:row>14</xdr:row>
      <xdr:rowOff>139700</xdr:rowOff>
    </xdr:from>
    <xdr:to>
      <xdr:col>19</xdr:col>
      <xdr:colOff>482600</xdr:colOff>
      <xdr:row>47</xdr:row>
      <xdr:rowOff>127000</xdr:rowOff>
    </xdr:to>
    <xdr:graphicFrame macro="">
      <xdr:nvGraphicFramePr>
        <xdr:cNvPr id="663150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215900</xdr:colOff>
      <xdr:row>1</xdr:row>
      <xdr:rowOff>152400</xdr:rowOff>
    </xdr:from>
    <xdr:to>
      <xdr:col>18</xdr:col>
      <xdr:colOff>723900</xdr:colOff>
      <xdr:row>13</xdr:row>
      <xdr:rowOff>139700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431800</xdr:colOff>
      <xdr:row>16</xdr:row>
      <xdr:rowOff>50800</xdr:rowOff>
    </xdr:from>
    <xdr:to>
      <xdr:col>9</xdr:col>
      <xdr:colOff>571500</xdr:colOff>
      <xdr:row>47</xdr:row>
      <xdr:rowOff>50800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43</xdr:row>
      <xdr:rowOff>25400</xdr:rowOff>
    </xdr:from>
    <xdr:to>
      <xdr:col>12</xdr:col>
      <xdr:colOff>0</xdr:colOff>
      <xdr:row>73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43</xdr:row>
      <xdr:rowOff>25400</xdr:rowOff>
    </xdr:from>
    <xdr:to>
      <xdr:col>5</xdr:col>
      <xdr:colOff>838200</xdr:colOff>
      <xdr:row>73</xdr:row>
      <xdr:rowOff>88900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42</xdr:row>
      <xdr:rowOff>152400</xdr:rowOff>
    </xdr:from>
    <xdr:to>
      <xdr:col>5</xdr:col>
      <xdr:colOff>800100</xdr:colOff>
      <xdr:row>74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43</xdr:row>
      <xdr:rowOff>0</xdr:rowOff>
    </xdr:from>
    <xdr:to>
      <xdr:col>5</xdr:col>
      <xdr:colOff>838200</xdr:colOff>
      <xdr:row>74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152400</xdr:rowOff>
    </xdr:from>
    <xdr:to>
      <xdr:col>5</xdr:col>
      <xdr:colOff>800100</xdr:colOff>
      <xdr:row>69</xdr:row>
      <xdr:rowOff>165100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42</xdr:row>
      <xdr:rowOff>0</xdr:rowOff>
    </xdr:from>
    <xdr:to>
      <xdr:col>14</xdr:col>
      <xdr:colOff>635000</xdr:colOff>
      <xdr:row>70</xdr:row>
      <xdr:rowOff>12700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96</xdr:col>
      <xdr:colOff>482600</xdr:colOff>
      <xdr:row>299</xdr:row>
      <xdr:rowOff>6350</xdr:rowOff>
    </xdr:from>
    <xdr:to>
      <xdr:col>106</xdr:col>
      <xdr:colOff>241300</xdr:colOff>
      <xdr:row>341</xdr:row>
      <xdr:rowOff>25400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90</xdr:col>
      <xdr:colOff>387350</xdr:colOff>
      <xdr:row>327</xdr:row>
      <xdr:rowOff>0</xdr:rowOff>
    </xdr:from>
    <xdr:to>
      <xdr:col>95</xdr:col>
      <xdr:colOff>577850</xdr:colOff>
      <xdr:row>345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42</xdr:row>
      <xdr:rowOff>139700</xdr:rowOff>
    </xdr:from>
    <xdr:to>
      <xdr:col>9</xdr:col>
      <xdr:colOff>508000</xdr:colOff>
      <xdr:row>75</xdr:row>
      <xdr:rowOff>50800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y1605%20b%20Copy%20of%20Tables_4through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le 6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4" Type="http://schemas.openxmlformats.org/officeDocument/2006/relationships/comments" Target="../comments7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4" Type="http://schemas.openxmlformats.org/officeDocument/2006/relationships/comments" Target="../comments8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4" Type="http://schemas.openxmlformats.org/officeDocument/2006/relationships/comments" Target="../comments9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Relationship Id="rId5" Type="http://schemas.openxmlformats.org/officeDocument/2006/relationships/comments" Target="../comments1.xml"/><Relationship Id="rId1" Type="http://schemas.openxmlformats.org/officeDocument/2006/relationships/hyperlink" Target="http://www.ncasi2.org/COLE/" TargetMode="External"/><Relationship Id="rId2" Type="http://schemas.openxmlformats.org/officeDocument/2006/relationships/hyperlink" Target="http://www.ncasi2.org/GCOLE3/gcole.s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4" Type="http://schemas.openxmlformats.org/officeDocument/2006/relationships/comments" Target="../comments3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4" Type="http://schemas.openxmlformats.org/officeDocument/2006/relationships/comments" Target="../comments5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4" Type="http://schemas.openxmlformats.org/officeDocument/2006/relationships/comments" Target="../comments6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Q1444"/>
  <sheetViews>
    <sheetView zoomScale="144" zoomScaleNormal="144" zoomScalePageLayoutView="144" workbookViewId="0">
      <selection activeCell="K13" sqref="K13"/>
    </sheetView>
  </sheetViews>
  <sheetFormatPr baseColWidth="10" defaultColWidth="8.83203125" defaultRowHeight="12" x14ac:dyDescent="0"/>
  <cols>
    <col min="1" max="1" width="15.5" customWidth="1"/>
    <col min="2" max="2" width="16.83203125" customWidth="1"/>
    <col min="3" max="3" width="12.5" customWidth="1"/>
    <col min="4" max="4" width="13" customWidth="1"/>
    <col min="5" max="5" width="7.5" customWidth="1"/>
    <col min="6" max="6" width="10.5" style="201" customWidth="1"/>
    <col min="7" max="7" width="11.6640625" style="197" customWidth="1"/>
    <col min="8" max="8" width="11.6640625" style="198" customWidth="1"/>
    <col min="9" max="9" width="11.6640625" style="199" customWidth="1"/>
    <col min="10" max="10" width="11.6640625" style="197" customWidth="1"/>
    <col min="11" max="11" width="11.6640625" style="198" customWidth="1"/>
    <col min="12" max="12" width="11.6640625" style="199" customWidth="1"/>
    <col min="13" max="13" width="11.6640625" style="197" customWidth="1"/>
    <col min="14" max="14" width="11.6640625" style="198" customWidth="1"/>
    <col min="15" max="15" width="11.6640625" style="199" customWidth="1"/>
    <col min="16" max="17" width="13.5" customWidth="1"/>
  </cols>
  <sheetData>
    <row r="1" spans="1:17" ht="13" thickBot="1">
      <c r="F1" s="202"/>
      <c r="G1" s="195"/>
      <c r="H1" s="195"/>
      <c r="I1" s="195"/>
      <c r="J1" s="195"/>
      <c r="K1" s="195"/>
      <c r="L1" s="195"/>
      <c r="M1" s="195"/>
      <c r="N1" s="195"/>
      <c r="O1" s="195"/>
    </row>
    <row r="2" spans="1:17" ht="13" thickBot="1">
      <c r="A2" s="191" t="s">
        <v>297</v>
      </c>
      <c r="B2" s="192">
        <v>2.4700000000000002</v>
      </c>
      <c r="F2" s="202"/>
      <c r="G2" s="195"/>
      <c r="H2" s="195"/>
      <c r="I2" s="195"/>
      <c r="J2" s="195"/>
      <c r="K2" s="195"/>
      <c r="L2" s="195"/>
      <c r="M2" s="195"/>
      <c r="N2" s="195"/>
      <c r="O2" s="195"/>
    </row>
    <row r="3" spans="1:17" ht="24">
      <c r="A3" s="193" t="s">
        <v>298</v>
      </c>
      <c r="B3" s="194">
        <f>B2/2.47</f>
        <v>1</v>
      </c>
      <c r="F3" s="202"/>
      <c r="G3" s="196"/>
      <c r="H3" s="196"/>
      <c r="I3" s="196"/>
      <c r="J3" s="196"/>
      <c r="K3" s="196"/>
      <c r="L3" s="196"/>
      <c r="M3" s="196"/>
      <c r="N3" s="196"/>
      <c r="O3" s="196"/>
    </row>
    <row r="4" spans="1:17" ht="42" customHeight="1">
      <c r="A4" s="283" t="s">
        <v>318</v>
      </c>
      <c r="B4" s="283"/>
      <c r="C4" s="283"/>
      <c r="D4" s="283"/>
      <c r="E4" s="283"/>
      <c r="F4" s="284"/>
      <c r="G4" s="285" t="s">
        <v>305</v>
      </c>
      <c r="H4" s="286"/>
      <c r="I4" s="287"/>
      <c r="J4" s="288" t="s">
        <v>308</v>
      </c>
      <c r="K4" s="289"/>
      <c r="L4" s="290"/>
      <c r="M4" s="291" t="s">
        <v>309</v>
      </c>
      <c r="N4" s="292"/>
      <c r="O4" s="293"/>
      <c r="P4" s="189"/>
      <c r="Q4" s="189"/>
    </row>
    <row r="5" spans="1:17" s="1" customFormat="1" ht="33" customHeight="1">
      <c r="A5" s="190" t="s">
        <v>293</v>
      </c>
      <c r="B5" s="190" t="s">
        <v>312</v>
      </c>
      <c r="C5" s="190" t="s">
        <v>304</v>
      </c>
      <c r="D5" s="190" t="s">
        <v>296</v>
      </c>
      <c r="E5" s="190" t="s">
        <v>294</v>
      </c>
      <c r="F5" s="203" t="s">
        <v>295</v>
      </c>
      <c r="G5" s="205" t="s">
        <v>306</v>
      </c>
      <c r="H5" s="206" t="s">
        <v>307</v>
      </c>
      <c r="I5" s="204" t="s">
        <v>300</v>
      </c>
      <c r="J5" s="205" t="s">
        <v>306</v>
      </c>
      <c r="K5" s="206" t="s">
        <v>307</v>
      </c>
      <c r="L5" s="204" t="s">
        <v>300</v>
      </c>
      <c r="M5" s="205" t="s">
        <v>306</v>
      </c>
      <c r="N5" s="206" t="s">
        <v>307</v>
      </c>
      <c r="O5" s="204" t="s">
        <v>300</v>
      </c>
    </row>
    <row r="6" spans="1:17" ht="13">
      <c r="A6" t="s">
        <v>301</v>
      </c>
      <c r="B6" s="34" t="s">
        <v>313</v>
      </c>
      <c r="C6" t="s">
        <v>302</v>
      </c>
      <c r="D6">
        <v>80</v>
      </c>
      <c r="E6" t="s">
        <v>299</v>
      </c>
      <c r="F6" s="201">
        <v>0.75</v>
      </c>
      <c r="G6" s="197">
        <f>'Mixed conifer Even '!$B$19*$B$3</f>
        <v>7008.9526996531886</v>
      </c>
      <c r="H6" s="198">
        <f>'Mixed conifer Even '!$B$24*$B$3</f>
        <v>7694.3796956584574</v>
      </c>
      <c r="I6" s="200">
        <f>H6/G6</f>
        <v>1.0977930691470046</v>
      </c>
      <c r="J6" s="197">
        <f>'Mixed conifer Even '!$B$20*$B$3</f>
        <v>12562.876994020155</v>
      </c>
      <c r="K6" s="198">
        <f>'Mixed conifer Even '!$B$25*$B$3</f>
        <v>14841.643436769153</v>
      </c>
      <c r="L6" s="200">
        <f>K6/J6</f>
        <v>1.1813889003158811</v>
      </c>
      <c r="M6" s="197">
        <f>'Mixed conifer Even '!$B$21*$B$3</f>
        <v>25212.989255306493</v>
      </c>
      <c r="N6" s="198">
        <f>'Mixed conifer Even '!$B$26*$B$3</f>
        <v>34766.733835652158</v>
      </c>
      <c r="O6" s="200">
        <f>N6/M6</f>
        <v>1.3789215345949082</v>
      </c>
      <c r="P6" s="15" t="s">
        <v>303</v>
      </c>
    </row>
    <row r="7" spans="1:17" ht="13">
      <c r="A7" t="s">
        <v>301</v>
      </c>
      <c r="B7" s="34" t="s">
        <v>314</v>
      </c>
      <c r="C7" s="34" t="s">
        <v>302</v>
      </c>
      <c r="D7">
        <v>80</v>
      </c>
      <c r="E7">
        <v>40</v>
      </c>
      <c r="F7" s="201">
        <v>0</v>
      </c>
      <c r="G7" s="197">
        <f>'Fuels-Health Tmt at Yr40'!$B$19*$B$3</f>
        <v>7008.9526996531886</v>
      </c>
      <c r="H7" s="198">
        <f>'Fuels-Health Tmt at Yr40'!$B$24*$B$3</f>
        <v>7371.691262210481</v>
      </c>
      <c r="I7" s="200">
        <f>H7/G7</f>
        <v>1.0517536040120861</v>
      </c>
      <c r="J7" s="197">
        <f>'Fuels-Health Tmt at Yr40'!$B$20*$B$3</f>
        <v>12562.876994020155</v>
      </c>
      <c r="K7" s="198">
        <f>'Fuels-Health Tmt at Yr40'!$B$25*$B$3</f>
        <v>13193.928308227636</v>
      </c>
      <c r="L7" s="200">
        <f>K7/J7</f>
        <v>1.0502314330155311</v>
      </c>
      <c r="M7" s="197">
        <f>'Fuels-Health Tmt at Yr40'!$B$21*$B$3</f>
        <v>25212.989255306493</v>
      </c>
      <c r="N7" s="198">
        <f>'Fuels-Health Tmt at Yr40'!$B$26*$B$3</f>
        <v>26302.46733952063</v>
      </c>
      <c r="O7" s="200">
        <f>N7/M7</f>
        <v>1.0432109843534256</v>
      </c>
      <c r="P7" s="15" t="s">
        <v>303</v>
      </c>
    </row>
    <row r="8" spans="1:17" ht="13">
      <c r="A8" s="34" t="s">
        <v>301</v>
      </c>
      <c r="C8" s="34" t="s">
        <v>302</v>
      </c>
      <c r="D8">
        <v>80</v>
      </c>
      <c r="E8">
        <v>40</v>
      </c>
      <c r="F8" s="201">
        <v>0</v>
      </c>
      <c r="G8" s="197">
        <f>'Even MixConT@40H@80U00'!$B$19*$B$3</f>
        <v>6768.605372308004</v>
      </c>
      <c r="H8" s="198">
        <f>'Even MixConT@40H@80U00'!$B$24*$B$3</f>
        <v>7537.5066988761191</v>
      </c>
      <c r="I8" s="200">
        <f>H8/G8</f>
        <v>1.1135981911006181</v>
      </c>
      <c r="J8" s="197">
        <f>'Even MixConT@40H@80U00'!$B$20*$B$3</f>
        <v>12322.529666674971</v>
      </c>
      <c r="K8" s="198">
        <f>'Even MixConT@40H@80U00'!$B$25*$B$3</f>
        <v>13966.454680113438</v>
      </c>
      <c r="L8" s="200">
        <f>K8/J8</f>
        <v>1.1334080791774677</v>
      </c>
      <c r="M8" s="197">
        <f>'Even MixConT@40H@80U00'!$B$21*$B$3</f>
        <v>24972.641927961311</v>
      </c>
      <c r="N8" s="198">
        <f>'Even MixConT@40H@80U00'!$B$26*$B$3</f>
        <v>30342.442486492229</v>
      </c>
      <c r="O8" s="200">
        <f>N8/M8</f>
        <v>1.2150273316704419</v>
      </c>
      <c r="P8" s="15" t="s">
        <v>303</v>
      </c>
    </row>
    <row r="9" spans="1:17" ht="13">
      <c r="A9" s="34" t="s">
        <v>301</v>
      </c>
      <c r="C9" s="34" t="s">
        <v>302</v>
      </c>
      <c r="D9">
        <v>80</v>
      </c>
      <c r="E9">
        <v>40</v>
      </c>
      <c r="F9" s="201">
        <v>0.25</v>
      </c>
      <c r="G9" s="197">
        <f>'MixCon Even T40H80U25'!$B$19*$B$3</f>
        <v>6768.605372308004</v>
      </c>
      <c r="H9" s="198">
        <f>'MixCon Even T40H80U25'!$B$24*$B$3</f>
        <v>7805.4311543601007</v>
      </c>
      <c r="I9" s="200">
        <f>H9/G9</f>
        <v>1.1531815972451283</v>
      </c>
      <c r="J9" s="197">
        <f>'MixCon Even T40H80U25'!$B$20*$B$3</f>
        <v>12322.529666674971</v>
      </c>
      <c r="K9" s="198">
        <f>'MixCon Even T40H80U25'!$B$25*$B$3</f>
        <v>14608.768519809684</v>
      </c>
      <c r="L9" s="200">
        <f t="shared" ref="L9:L11" si="0">K9/J9</f>
        <v>1.1855332399253713</v>
      </c>
      <c r="M9" s="197">
        <f>'MixCon Even T40H80U25'!$B$21*$B$3</f>
        <v>24972.641927961311</v>
      </c>
      <c r="N9" s="198">
        <f>'MixCon Even T40H80U25'!$B$26*$B$3</f>
        <v>32167.790523689811</v>
      </c>
      <c r="O9" s="200">
        <f t="shared" ref="O9:O11" si="1">N9/M9</f>
        <v>1.2881212414963694</v>
      </c>
      <c r="P9" s="15" t="s">
        <v>303</v>
      </c>
    </row>
    <row r="10" spans="1:17" ht="13">
      <c r="A10" s="34" t="s">
        <v>301</v>
      </c>
      <c r="C10" s="34" t="s">
        <v>302</v>
      </c>
      <c r="D10">
        <v>80</v>
      </c>
      <c r="E10">
        <v>40</v>
      </c>
      <c r="F10" s="201">
        <v>0.75</v>
      </c>
      <c r="G10" s="197">
        <f>' MixCon Even T40H80U75'!$B$19*$B$3</f>
        <v>6768.605372308004</v>
      </c>
      <c r="H10" s="198">
        <f>' MixCon Even T40H80U75'!$B$24*$B$3</f>
        <v>8341.2800653280865</v>
      </c>
      <c r="I10" s="200">
        <f t="shared" ref="I10:I11" si="2">H10/G10</f>
        <v>1.2323484095341521</v>
      </c>
      <c r="J10" s="197">
        <f>' MixCon Even T40H80U75'!$B$20*$B$3</f>
        <v>12322.529666674971</v>
      </c>
      <c r="K10" s="198">
        <f>' MixCon Even T40H80U75'!$B$25*$B$3</f>
        <v>15893.396199202194</v>
      </c>
      <c r="L10" s="200">
        <f t="shared" si="0"/>
        <v>1.2897835614211803</v>
      </c>
      <c r="M10" s="197">
        <f>' MixCon Even T40H80U75'!$B$21*$B$3</f>
        <v>24972.641927961311</v>
      </c>
      <c r="N10" s="198">
        <f>' MixCon Even T40H80U75'!$B$26*$B$3</f>
        <v>35818.486598085183</v>
      </c>
      <c r="O10" s="200">
        <f t="shared" si="1"/>
        <v>1.4343090611482328</v>
      </c>
      <c r="P10" s="15" t="s">
        <v>303</v>
      </c>
    </row>
    <row r="11" spans="1:17" ht="13">
      <c r="A11" s="207" t="s">
        <v>301</v>
      </c>
      <c r="B11" s="208"/>
      <c r="C11" s="207" t="s">
        <v>310</v>
      </c>
      <c r="D11" s="215" t="s">
        <v>159</v>
      </c>
      <c r="E11" s="208">
        <v>40</v>
      </c>
      <c r="F11" s="209"/>
      <c r="G11" s="210">
        <f>'Uneven Mixed Conifer'!$B$19*$B$3</f>
        <v>6768.605372308004</v>
      </c>
      <c r="H11" s="211">
        <f>'Uneven Mixed Conifer'!$B$24*$B$3</f>
        <v>8423.1828728135515</v>
      </c>
      <c r="I11" s="212">
        <f t="shared" si="2"/>
        <v>1.2444488058463008</v>
      </c>
      <c r="J11" s="210">
        <f>'Uneven Mixed Conifer'!$B$20*$B$3</f>
        <v>12322.529666674971</v>
      </c>
      <c r="K11" s="211">
        <f>'Uneven Mixed Conifer'!$B$25*$B$3</f>
        <v>16481.486097014309</v>
      </c>
      <c r="L11" s="212">
        <f t="shared" si="0"/>
        <v>1.337508331717538</v>
      </c>
      <c r="M11" s="210">
        <f>'Uneven Mixed Conifer'!$B$21*$B$3</f>
        <v>24972.641927961311</v>
      </c>
      <c r="N11" s="211">
        <f>'Uneven Mixed Conifer'!$B$26*$B$3</f>
        <v>39778.45946846818</v>
      </c>
      <c r="O11" s="212">
        <f t="shared" si="1"/>
        <v>1.5928815054176997</v>
      </c>
      <c r="P11" s="15" t="s">
        <v>303</v>
      </c>
    </row>
    <row r="12" spans="1:17">
      <c r="F12"/>
      <c r="G12"/>
      <c r="H12"/>
      <c r="I12"/>
      <c r="J12"/>
      <c r="K12"/>
      <c r="L12"/>
      <c r="M12"/>
      <c r="N12"/>
      <c r="O12"/>
    </row>
    <row r="13" spans="1:17">
      <c r="F13"/>
      <c r="G13"/>
      <c r="H13"/>
      <c r="I13"/>
      <c r="J13"/>
      <c r="K13"/>
      <c r="L13"/>
      <c r="M13"/>
      <c r="N13"/>
      <c r="O13"/>
    </row>
    <row r="14" spans="1:17">
      <c r="F14"/>
      <c r="G14"/>
      <c r="H14"/>
      <c r="I14"/>
      <c r="J14"/>
      <c r="K14"/>
      <c r="L14"/>
      <c r="M14"/>
      <c r="N14"/>
      <c r="O14"/>
    </row>
    <row r="15" spans="1:17" ht="37" customHeight="1">
      <c r="A15" s="283" t="s">
        <v>317</v>
      </c>
      <c r="B15" s="283"/>
      <c r="C15" s="283"/>
      <c r="D15" s="283"/>
      <c r="E15" s="283"/>
      <c r="F15" s="284"/>
      <c r="G15" s="294" t="s">
        <v>305</v>
      </c>
      <c r="H15" s="295"/>
      <c r="I15" s="296"/>
      <c r="J15" s="297" t="s">
        <v>308</v>
      </c>
      <c r="K15" s="298"/>
      <c r="L15" s="299"/>
      <c r="M15" s="300" t="s">
        <v>309</v>
      </c>
      <c r="N15" s="301"/>
      <c r="O15" s="302"/>
      <c r="P15" s="189"/>
    </row>
    <row r="16" spans="1:17" ht="24">
      <c r="A16" s="190" t="s">
        <v>293</v>
      </c>
      <c r="B16" s="190" t="s">
        <v>312</v>
      </c>
      <c r="C16" s="190" t="s">
        <v>304</v>
      </c>
      <c r="D16" s="190" t="s">
        <v>296</v>
      </c>
      <c r="E16" s="190" t="s">
        <v>294</v>
      </c>
      <c r="F16" s="203" t="s">
        <v>295</v>
      </c>
      <c r="G16" s="213" t="s">
        <v>315</v>
      </c>
      <c r="H16" s="214" t="s">
        <v>316</v>
      </c>
      <c r="I16" s="204" t="s">
        <v>300</v>
      </c>
      <c r="J16" s="213" t="s">
        <v>315</v>
      </c>
      <c r="K16" s="214" t="s">
        <v>316</v>
      </c>
      <c r="L16" s="204" t="s">
        <v>300</v>
      </c>
      <c r="M16" s="213" t="s">
        <v>315</v>
      </c>
      <c r="N16" s="214" t="s">
        <v>316</v>
      </c>
      <c r="O16" s="204" t="s">
        <v>300</v>
      </c>
      <c r="P16" s="1"/>
    </row>
    <row r="17" spans="1:16" ht="13">
      <c r="A17" t="s">
        <v>301</v>
      </c>
      <c r="B17" s="34" t="s">
        <v>313</v>
      </c>
      <c r="C17" t="s">
        <v>302</v>
      </c>
      <c r="D17">
        <v>80</v>
      </c>
      <c r="E17" t="s">
        <v>299</v>
      </c>
      <c r="F17" s="201">
        <v>0.75</v>
      </c>
      <c r="G17" s="197">
        <f>'Mixed conifer Even '!$C$19*$B$3</f>
        <v>58.407939163776568</v>
      </c>
      <c r="H17" s="198">
        <f>'Mixed conifer Even '!$C$24*$B$3</f>
        <v>64.11983079715381</v>
      </c>
      <c r="I17" s="200">
        <f>H17/G17</f>
        <v>1.0977930691470046</v>
      </c>
      <c r="J17" s="197">
        <f>'Mixed conifer Even '!$C$20*$B$3</f>
        <v>78.517981212625969</v>
      </c>
      <c r="K17" s="198">
        <f>'Mixed conifer Even '!$C$25*$B$3</f>
        <v>92.760271479807201</v>
      </c>
      <c r="L17" s="200">
        <f>K17/J17</f>
        <v>1.1813889003158811</v>
      </c>
      <c r="M17" s="197">
        <f>'Mixed conifer Even '!$C$21*$B$3</f>
        <v>105.05412189711039</v>
      </c>
      <c r="N17" s="198">
        <f>'Mixed conifer Even '!$C$26*$B$3</f>
        <v>144.861390981884</v>
      </c>
      <c r="O17" s="200">
        <f>N17/M17</f>
        <v>1.3789215345949082</v>
      </c>
      <c r="P17" s="15" t="s">
        <v>303</v>
      </c>
    </row>
    <row r="18" spans="1:16" ht="13">
      <c r="A18" t="s">
        <v>301</v>
      </c>
      <c r="B18" s="34" t="s">
        <v>314</v>
      </c>
      <c r="C18" s="34" t="s">
        <v>302</v>
      </c>
      <c r="D18">
        <v>80</v>
      </c>
      <c r="E18">
        <v>40</v>
      </c>
      <c r="F18" s="201">
        <v>0</v>
      </c>
      <c r="G18" s="197">
        <f>'Fuels-Health Tmt at Yr40'!$C$19*$B$3</f>
        <v>58.407939163776568</v>
      </c>
      <c r="H18" s="198">
        <f>'Fuels-Health Tmt at Yr40'!$C$24*$B$3</f>
        <v>61.430760518420676</v>
      </c>
      <c r="I18" s="200">
        <f>H18/G18</f>
        <v>1.0517536040120861</v>
      </c>
      <c r="J18" s="197">
        <f>'Fuels-Health Tmt at Yr40'!$C$20*$B$3</f>
        <v>78.517981212625969</v>
      </c>
      <c r="K18" s="198">
        <f>'Fuels-Health Tmt at Yr40'!$C$25*$B$3</f>
        <v>82.462051926422731</v>
      </c>
      <c r="L18" s="200">
        <f>K18/J18</f>
        <v>1.0502314330155313</v>
      </c>
      <c r="M18" s="197">
        <f>'Fuels-Health Tmt at Yr40'!$C$21*$B$3</f>
        <v>105.05412189711039</v>
      </c>
      <c r="N18" s="198">
        <f>'Fuels-Health Tmt at Yr40'!$C$26*$B$3</f>
        <v>109.59361391466929</v>
      </c>
      <c r="O18" s="200">
        <f>N18/M18</f>
        <v>1.0432109843534256</v>
      </c>
      <c r="P18" s="15" t="s">
        <v>303</v>
      </c>
    </row>
    <row r="19" spans="1:16" ht="13">
      <c r="A19" s="34" t="s">
        <v>301</v>
      </c>
      <c r="C19" s="34" t="s">
        <v>302</v>
      </c>
      <c r="D19">
        <v>80</v>
      </c>
      <c r="E19">
        <v>40</v>
      </c>
      <c r="F19" s="201">
        <v>0</v>
      </c>
      <c r="G19" s="197">
        <f>'Even MixConT@40H@80U00'!$C$19*$B$3</f>
        <v>56.405044769233363</v>
      </c>
      <c r="H19" s="198">
        <f>'Even MixConT@40H@80U00'!$C$24*$B$3</f>
        <v>62.812555823967656</v>
      </c>
      <c r="I19" s="200">
        <f>H19/G19</f>
        <v>1.1135981911006181</v>
      </c>
      <c r="J19" s="197">
        <f>'Even MixConT@40H@80U00'!$C$20*$B$3</f>
        <v>77.015810416718566</v>
      </c>
      <c r="K19" s="198">
        <f>'Even MixConT@40H@80U00'!$C$25*$B$3</f>
        <v>87.29034175070899</v>
      </c>
      <c r="L19" s="200">
        <f>K19/J19</f>
        <v>1.1334080791774677</v>
      </c>
      <c r="M19" s="197">
        <f>'Even MixConT@40H@80U00'!$C$21*$B$3</f>
        <v>104.05267469983879</v>
      </c>
      <c r="N19" s="198">
        <f>'Even MixConT@40H@80U00'!$C$26*$B$3</f>
        <v>126.42684369371763</v>
      </c>
      <c r="O19" s="200">
        <f>N19/M19</f>
        <v>1.2150273316704419</v>
      </c>
      <c r="P19" s="15" t="s">
        <v>303</v>
      </c>
    </row>
    <row r="20" spans="1:16" ht="13">
      <c r="A20" s="34" t="s">
        <v>301</v>
      </c>
      <c r="C20" s="34" t="s">
        <v>302</v>
      </c>
      <c r="D20">
        <v>80</v>
      </c>
      <c r="E20">
        <v>40</v>
      </c>
      <c r="F20" s="201">
        <v>0.25</v>
      </c>
      <c r="G20" s="197">
        <f>'MixCon Even T40H80U25'!$C$19*$B$3</f>
        <v>56.405044769233363</v>
      </c>
      <c r="H20" s="198">
        <f>'MixCon Even T40H80U25'!$C$24*$B$3</f>
        <v>65.045259619667505</v>
      </c>
      <c r="I20" s="200">
        <f>H20/G20</f>
        <v>1.1531815972451285</v>
      </c>
      <c r="J20" s="197">
        <f>'MixCon Even T40H80U25'!$C$20*$B$3</f>
        <v>77.015810416718566</v>
      </c>
      <c r="K20" s="198">
        <f>'MixCon Even T40H80U25'!$C$25*$B$3</f>
        <v>91.304803248810529</v>
      </c>
      <c r="L20" s="200">
        <f t="shared" ref="L20:L22" si="3">K20/J20</f>
        <v>1.1855332399253713</v>
      </c>
      <c r="M20" s="197">
        <f>'MixCon Even T40H80U25'!$C$21*$B$3</f>
        <v>104.05267469983879</v>
      </c>
      <c r="N20" s="198">
        <f>'MixCon Even T40H80U25'!$C$26*$B$3</f>
        <v>134.03246051537423</v>
      </c>
      <c r="O20" s="200">
        <f t="shared" ref="O20:O22" si="4">N20/M20</f>
        <v>1.2881212414963696</v>
      </c>
      <c r="P20" s="15" t="s">
        <v>303</v>
      </c>
    </row>
    <row r="21" spans="1:16" ht="13">
      <c r="A21" s="34" t="s">
        <v>301</v>
      </c>
      <c r="C21" s="34" t="s">
        <v>302</v>
      </c>
      <c r="D21">
        <v>80</v>
      </c>
      <c r="E21">
        <v>40</v>
      </c>
      <c r="F21" s="201">
        <v>0.75</v>
      </c>
      <c r="G21" s="197">
        <f>' MixCon Even T40H80U75'!$C$19*$B$3</f>
        <v>56.405044769233363</v>
      </c>
      <c r="H21" s="198">
        <f>' MixCon Even T40H80U75'!$C$24*$B$3</f>
        <v>69.510667211067386</v>
      </c>
      <c r="I21" s="200">
        <f t="shared" ref="I21:I22" si="5">H21/G21</f>
        <v>1.2323484095341521</v>
      </c>
      <c r="J21" s="197">
        <f>' MixCon Even T40H80U75'!$C$20*$B$3</f>
        <v>77.015810416718566</v>
      </c>
      <c r="K21" s="198">
        <f>' MixCon Even T40H80U75'!$C$25*$B$3</f>
        <v>99.333726245013708</v>
      </c>
      <c r="L21" s="200">
        <f t="shared" si="3"/>
        <v>1.2897835614211803</v>
      </c>
      <c r="M21" s="197">
        <f>' MixCon Even T40H80U75'!$C$21*$B$3</f>
        <v>104.05267469983879</v>
      </c>
      <c r="N21" s="198">
        <f>' MixCon Even T40H80U75'!$C$26*$B$3</f>
        <v>149.24369415868827</v>
      </c>
      <c r="O21" s="200">
        <f t="shared" si="4"/>
        <v>1.434309061148233</v>
      </c>
      <c r="P21" s="15" t="s">
        <v>303</v>
      </c>
    </row>
    <row r="22" spans="1:16" ht="13">
      <c r="A22" s="207" t="s">
        <v>301</v>
      </c>
      <c r="B22" s="208"/>
      <c r="C22" s="207" t="s">
        <v>310</v>
      </c>
      <c r="D22" s="207" t="s">
        <v>311</v>
      </c>
      <c r="E22" s="208">
        <v>40</v>
      </c>
      <c r="F22" s="209"/>
      <c r="G22" s="210">
        <f>'Uneven Mixed Conifer'!$C$19*$B$3</f>
        <v>56.405044769233363</v>
      </c>
      <c r="H22" s="211">
        <f>'Uneven Mixed Conifer'!$C$24*$B$3</f>
        <v>70.193190606779595</v>
      </c>
      <c r="I22" s="212">
        <f t="shared" si="5"/>
        <v>1.2444488058463008</v>
      </c>
      <c r="J22" s="210">
        <f>'Uneven Mixed Conifer'!$C$20*$B$3</f>
        <v>77.015810416718566</v>
      </c>
      <c r="K22" s="211">
        <f>'Uneven Mixed Conifer'!$C$25*$B$3</f>
        <v>103.00928810633943</v>
      </c>
      <c r="L22" s="212">
        <f t="shared" si="3"/>
        <v>1.3375083317175378</v>
      </c>
      <c r="M22" s="210">
        <f>'Uneven Mixed Conifer'!$C$21*$B$3</f>
        <v>104.05267469983879</v>
      </c>
      <c r="N22" s="211">
        <f>'Uneven Mixed Conifer'!$C$26*$B$3</f>
        <v>165.74358111861741</v>
      </c>
      <c r="O22" s="212">
        <f t="shared" si="4"/>
        <v>1.5928815054176997</v>
      </c>
      <c r="P22" s="15" t="s">
        <v>303</v>
      </c>
    </row>
    <row r="23" spans="1:16">
      <c r="F23"/>
      <c r="G23"/>
      <c r="H23"/>
      <c r="I23"/>
      <c r="J23"/>
      <c r="K23"/>
      <c r="L23"/>
      <c r="M23"/>
      <c r="N23"/>
      <c r="O23"/>
    </row>
    <row r="24" spans="1:16">
      <c r="F24"/>
      <c r="G24"/>
      <c r="H24"/>
      <c r="I24"/>
      <c r="J24"/>
      <c r="K24"/>
      <c r="L24"/>
      <c r="M24"/>
      <c r="N24"/>
      <c r="O24"/>
    </row>
    <row r="25" spans="1:16">
      <c r="F25"/>
      <c r="G25"/>
      <c r="H25"/>
      <c r="I25"/>
      <c r="J25"/>
      <c r="K25"/>
      <c r="L25"/>
      <c r="M25"/>
      <c r="N25"/>
      <c r="O25"/>
    </row>
    <row r="26" spans="1:16">
      <c r="F26"/>
      <c r="G26"/>
      <c r="H26"/>
      <c r="I26"/>
      <c r="J26"/>
      <c r="K26"/>
      <c r="L26"/>
      <c r="M26"/>
      <c r="N26"/>
      <c r="O26"/>
    </row>
    <row r="27" spans="1:16">
      <c r="F27"/>
      <c r="G27"/>
      <c r="H27"/>
      <c r="I27"/>
      <c r="J27"/>
      <c r="K27"/>
      <c r="L27"/>
      <c r="M27"/>
      <c r="N27"/>
      <c r="O27"/>
    </row>
    <row r="28" spans="1:16">
      <c r="F28"/>
      <c r="G28"/>
      <c r="H28"/>
      <c r="I28"/>
      <c r="J28"/>
      <c r="K28"/>
      <c r="L28"/>
      <c r="M28"/>
      <c r="N28"/>
      <c r="O28"/>
    </row>
    <row r="29" spans="1:16">
      <c r="F29"/>
      <c r="G29"/>
      <c r="H29"/>
      <c r="I29"/>
      <c r="J29"/>
      <c r="K29"/>
      <c r="L29"/>
      <c r="M29"/>
      <c r="N29"/>
      <c r="O29"/>
    </row>
    <row r="30" spans="1:16">
      <c r="F30"/>
      <c r="G30"/>
      <c r="H30"/>
      <c r="I30"/>
      <c r="J30"/>
      <c r="K30"/>
      <c r="L30"/>
      <c r="M30"/>
      <c r="N30"/>
      <c r="O30"/>
    </row>
    <row r="31" spans="1:16">
      <c r="F31"/>
      <c r="G31"/>
      <c r="H31"/>
      <c r="I31"/>
      <c r="J31"/>
      <c r="K31"/>
      <c r="L31"/>
      <c r="M31"/>
      <c r="N31"/>
      <c r="O31"/>
    </row>
    <row r="32" spans="1:16">
      <c r="F32"/>
      <c r="G32"/>
      <c r="H32"/>
      <c r="I32"/>
      <c r="J32"/>
      <c r="K32"/>
      <c r="L32"/>
      <c r="M32"/>
      <c r="N32"/>
      <c r="O32"/>
    </row>
    <row r="33" spans="6:15">
      <c r="F33"/>
      <c r="G33"/>
      <c r="H33"/>
      <c r="I33"/>
      <c r="J33"/>
      <c r="K33"/>
      <c r="L33"/>
      <c r="M33"/>
      <c r="N33"/>
      <c r="O33"/>
    </row>
    <row r="34" spans="6:15">
      <c r="F34"/>
      <c r="G34"/>
      <c r="H34"/>
      <c r="I34"/>
      <c r="J34"/>
      <c r="K34"/>
      <c r="L34"/>
      <c r="M34"/>
      <c r="N34"/>
      <c r="O34"/>
    </row>
    <row r="35" spans="6:15">
      <c r="F35"/>
      <c r="G35"/>
      <c r="H35"/>
      <c r="I35"/>
      <c r="J35"/>
      <c r="K35"/>
      <c r="L35"/>
      <c r="M35"/>
      <c r="N35"/>
      <c r="O35"/>
    </row>
    <row r="36" spans="6:15">
      <c r="F36"/>
      <c r="G36"/>
      <c r="H36"/>
      <c r="I36"/>
      <c r="J36"/>
      <c r="K36"/>
      <c r="L36"/>
      <c r="M36"/>
      <c r="N36"/>
      <c r="O36"/>
    </row>
    <row r="37" spans="6:15">
      <c r="F37"/>
      <c r="G37"/>
      <c r="H37"/>
      <c r="I37"/>
      <c r="J37"/>
      <c r="K37"/>
      <c r="L37"/>
      <c r="M37"/>
      <c r="N37"/>
      <c r="O37"/>
    </row>
    <row r="38" spans="6:15">
      <c r="F38"/>
      <c r="G38"/>
      <c r="H38"/>
      <c r="I38"/>
      <c r="J38"/>
      <c r="K38"/>
      <c r="L38"/>
      <c r="M38"/>
      <c r="N38"/>
      <c r="O38"/>
    </row>
    <row r="39" spans="6:15">
      <c r="F39"/>
      <c r="G39"/>
      <c r="H39"/>
      <c r="I39"/>
      <c r="J39"/>
      <c r="K39"/>
      <c r="L39"/>
      <c r="M39"/>
      <c r="N39"/>
      <c r="O39"/>
    </row>
    <row r="40" spans="6:15">
      <c r="F40"/>
      <c r="G40"/>
      <c r="H40"/>
      <c r="I40"/>
      <c r="J40"/>
      <c r="K40"/>
      <c r="L40"/>
      <c r="M40"/>
      <c r="N40"/>
      <c r="O40"/>
    </row>
    <row r="41" spans="6:15">
      <c r="F41"/>
      <c r="G41"/>
      <c r="H41"/>
      <c r="I41"/>
      <c r="J41"/>
      <c r="K41"/>
      <c r="L41"/>
      <c r="M41"/>
      <c r="N41"/>
      <c r="O41"/>
    </row>
    <row r="42" spans="6:15">
      <c r="F42"/>
      <c r="G42"/>
      <c r="H42"/>
      <c r="I42"/>
      <c r="J42"/>
      <c r="K42"/>
      <c r="L42"/>
      <c r="M42"/>
      <c r="N42"/>
      <c r="O42"/>
    </row>
    <row r="43" spans="6:15">
      <c r="F43"/>
      <c r="G43"/>
      <c r="H43"/>
      <c r="I43"/>
      <c r="J43"/>
      <c r="K43"/>
      <c r="L43"/>
      <c r="M43"/>
      <c r="N43"/>
      <c r="O43"/>
    </row>
    <row r="44" spans="6:15">
      <c r="F44"/>
      <c r="G44"/>
      <c r="H44"/>
      <c r="I44"/>
      <c r="J44"/>
      <c r="K44"/>
      <c r="L44"/>
      <c r="M44"/>
      <c r="N44"/>
      <c r="O44"/>
    </row>
    <row r="45" spans="6:15">
      <c r="F45"/>
      <c r="G45"/>
      <c r="H45"/>
      <c r="I45"/>
      <c r="J45"/>
      <c r="K45"/>
      <c r="L45"/>
      <c r="M45"/>
      <c r="N45"/>
      <c r="O45"/>
    </row>
    <row r="46" spans="6:15">
      <c r="F46"/>
      <c r="G46"/>
      <c r="H46"/>
      <c r="I46"/>
      <c r="J46"/>
      <c r="K46"/>
      <c r="L46"/>
      <c r="M46"/>
      <c r="N46"/>
      <c r="O46"/>
    </row>
    <row r="47" spans="6:15">
      <c r="F47"/>
      <c r="G47"/>
      <c r="H47"/>
      <c r="I47"/>
      <c r="J47"/>
      <c r="K47"/>
      <c r="L47"/>
      <c r="M47"/>
      <c r="N47"/>
      <c r="O47"/>
    </row>
    <row r="48" spans="6:15">
      <c r="F48"/>
      <c r="G48"/>
      <c r="H48"/>
      <c r="I48"/>
      <c r="J48"/>
      <c r="K48"/>
      <c r="L48"/>
      <c r="M48"/>
      <c r="N48"/>
      <c r="O48"/>
    </row>
    <row r="49" spans="6:15">
      <c r="F49"/>
      <c r="G49"/>
      <c r="H49"/>
      <c r="I49"/>
      <c r="J49"/>
      <c r="K49"/>
      <c r="L49"/>
      <c r="M49"/>
      <c r="N49"/>
      <c r="O49"/>
    </row>
    <row r="50" spans="6:15">
      <c r="F50"/>
      <c r="G50"/>
      <c r="H50"/>
      <c r="I50"/>
      <c r="J50"/>
      <c r="K50"/>
      <c r="L50"/>
      <c r="M50"/>
      <c r="N50"/>
      <c r="O50"/>
    </row>
    <row r="51" spans="6:15">
      <c r="F51"/>
      <c r="G51"/>
      <c r="H51"/>
      <c r="I51"/>
      <c r="J51"/>
      <c r="K51"/>
      <c r="L51"/>
      <c r="M51"/>
      <c r="N51"/>
      <c r="O51"/>
    </row>
    <row r="52" spans="6:15">
      <c r="F52"/>
      <c r="G52"/>
      <c r="H52"/>
      <c r="I52"/>
      <c r="J52"/>
      <c r="K52"/>
      <c r="L52"/>
      <c r="M52"/>
      <c r="N52"/>
      <c r="O52"/>
    </row>
    <row r="53" spans="6:15">
      <c r="F53"/>
      <c r="G53"/>
      <c r="H53"/>
      <c r="I53"/>
      <c r="J53"/>
      <c r="K53"/>
      <c r="L53"/>
      <c r="M53"/>
      <c r="N53"/>
      <c r="O53"/>
    </row>
    <row r="54" spans="6:15">
      <c r="F54"/>
      <c r="G54"/>
      <c r="H54"/>
      <c r="I54"/>
      <c r="J54"/>
      <c r="K54"/>
      <c r="L54"/>
      <c r="M54"/>
      <c r="N54"/>
      <c r="O54"/>
    </row>
    <row r="55" spans="6:15">
      <c r="F55"/>
      <c r="G55"/>
      <c r="H55"/>
      <c r="I55"/>
      <c r="J55"/>
      <c r="K55"/>
      <c r="L55"/>
      <c r="M55"/>
      <c r="N55"/>
      <c r="O55"/>
    </row>
    <row r="56" spans="6:15">
      <c r="F56"/>
      <c r="G56"/>
      <c r="H56"/>
      <c r="I56"/>
      <c r="J56"/>
      <c r="K56"/>
      <c r="L56"/>
      <c r="M56"/>
      <c r="N56"/>
      <c r="O56"/>
    </row>
    <row r="57" spans="6:15">
      <c r="F57"/>
      <c r="G57"/>
      <c r="H57"/>
      <c r="I57"/>
      <c r="J57"/>
      <c r="K57"/>
      <c r="L57"/>
      <c r="M57"/>
      <c r="N57"/>
      <c r="O57"/>
    </row>
    <row r="58" spans="6:15">
      <c r="F58"/>
      <c r="G58"/>
      <c r="H58"/>
      <c r="I58"/>
      <c r="J58"/>
      <c r="K58"/>
      <c r="L58"/>
      <c r="M58"/>
      <c r="N58"/>
      <c r="O58"/>
    </row>
    <row r="59" spans="6:15">
      <c r="F59"/>
      <c r="G59"/>
      <c r="H59"/>
      <c r="I59"/>
      <c r="J59"/>
      <c r="K59"/>
      <c r="L59"/>
      <c r="M59"/>
      <c r="N59"/>
      <c r="O59"/>
    </row>
    <row r="60" spans="6:15">
      <c r="F60"/>
      <c r="G60"/>
      <c r="H60"/>
      <c r="I60"/>
      <c r="J60"/>
      <c r="K60"/>
      <c r="L60"/>
      <c r="M60"/>
      <c r="N60"/>
      <c r="O60"/>
    </row>
    <row r="61" spans="6:15">
      <c r="F61"/>
      <c r="G61"/>
      <c r="H61"/>
      <c r="I61"/>
      <c r="J61"/>
      <c r="K61"/>
      <c r="L61"/>
      <c r="M61"/>
      <c r="N61"/>
      <c r="O61"/>
    </row>
    <row r="62" spans="6:15">
      <c r="F62"/>
      <c r="G62"/>
      <c r="H62"/>
      <c r="I62"/>
      <c r="J62"/>
      <c r="K62"/>
      <c r="L62"/>
      <c r="M62"/>
      <c r="N62"/>
      <c r="O62"/>
    </row>
    <row r="63" spans="6:15">
      <c r="F63"/>
      <c r="G63"/>
      <c r="H63"/>
      <c r="I63"/>
      <c r="J63"/>
      <c r="K63"/>
      <c r="L63"/>
      <c r="M63"/>
      <c r="N63"/>
      <c r="O63"/>
    </row>
    <row r="64" spans="6:15">
      <c r="F64"/>
      <c r="G64"/>
      <c r="H64"/>
      <c r="I64"/>
      <c r="J64"/>
      <c r="K64"/>
      <c r="L64"/>
      <c r="M64"/>
      <c r="N64"/>
      <c r="O64"/>
    </row>
    <row r="65" spans="6:15">
      <c r="F65"/>
      <c r="G65"/>
      <c r="H65"/>
      <c r="I65"/>
      <c r="J65"/>
      <c r="K65"/>
      <c r="L65"/>
      <c r="M65"/>
      <c r="N65"/>
      <c r="O65"/>
    </row>
    <row r="66" spans="6:15">
      <c r="F66"/>
      <c r="G66"/>
      <c r="H66"/>
      <c r="I66"/>
      <c r="J66"/>
      <c r="K66"/>
      <c r="L66"/>
      <c r="M66"/>
      <c r="N66"/>
      <c r="O66"/>
    </row>
    <row r="67" spans="6:15">
      <c r="F67"/>
      <c r="G67"/>
      <c r="H67"/>
      <c r="I67"/>
      <c r="J67"/>
      <c r="K67"/>
      <c r="L67"/>
      <c r="M67"/>
      <c r="N67"/>
      <c r="O67"/>
    </row>
    <row r="68" spans="6:15">
      <c r="F68"/>
      <c r="G68"/>
      <c r="H68"/>
      <c r="I68"/>
      <c r="J68"/>
      <c r="K68"/>
      <c r="L68"/>
      <c r="M68"/>
      <c r="N68"/>
      <c r="O68"/>
    </row>
    <row r="69" spans="6:15">
      <c r="F69"/>
      <c r="G69"/>
      <c r="H69"/>
      <c r="I69"/>
      <c r="J69"/>
      <c r="K69"/>
      <c r="L69"/>
      <c r="M69"/>
      <c r="N69"/>
      <c r="O69"/>
    </row>
    <row r="70" spans="6:15">
      <c r="F70"/>
      <c r="G70"/>
      <c r="H70"/>
      <c r="I70"/>
      <c r="J70"/>
      <c r="K70"/>
      <c r="L70"/>
      <c r="M70"/>
      <c r="N70"/>
      <c r="O70"/>
    </row>
    <row r="71" spans="6:15">
      <c r="F71"/>
      <c r="G71"/>
      <c r="H71"/>
      <c r="I71"/>
      <c r="J71"/>
      <c r="K71"/>
      <c r="L71"/>
      <c r="M71"/>
      <c r="N71"/>
      <c r="O71"/>
    </row>
    <row r="72" spans="6:15">
      <c r="F72"/>
      <c r="G72"/>
      <c r="H72"/>
      <c r="I72"/>
      <c r="J72"/>
      <c r="K72"/>
      <c r="L72"/>
      <c r="M72"/>
      <c r="N72"/>
      <c r="O72"/>
    </row>
    <row r="73" spans="6:15">
      <c r="F73"/>
      <c r="G73"/>
      <c r="H73"/>
      <c r="I73"/>
      <c r="J73"/>
      <c r="K73"/>
      <c r="L73"/>
      <c r="M73"/>
      <c r="N73"/>
      <c r="O73"/>
    </row>
    <row r="74" spans="6:15">
      <c r="F74"/>
      <c r="G74"/>
      <c r="H74"/>
      <c r="I74"/>
      <c r="J74"/>
      <c r="K74"/>
      <c r="L74"/>
      <c r="M74"/>
      <c r="N74"/>
      <c r="O74"/>
    </row>
    <row r="75" spans="6:15">
      <c r="F75"/>
      <c r="G75"/>
      <c r="H75"/>
      <c r="I75"/>
      <c r="J75"/>
      <c r="K75"/>
      <c r="L75"/>
      <c r="M75"/>
      <c r="N75"/>
      <c r="O75"/>
    </row>
    <row r="76" spans="6:15">
      <c r="F76"/>
      <c r="G76"/>
      <c r="H76"/>
      <c r="I76"/>
      <c r="J76"/>
      <c r="K76"/>
      <c r="L76"/>
      <c r="M76"/>
      <c r="N76"/>
      <c r="O76"/>
    </row>
    <row r="77" spans="6:15">
      <c r="F77"/>
      <c r="G77"/>
      <c r="H77"/>
      <c r="I77"/>
      <c r="J77"/>
      <c r="K77"/>
      <c r="L77"/>
      <c r="M77"/>
      <c r="N77"/>
      <c r="O77"/>
    </row>
    <row r="78" spans="6:15">
      <c r="F78"/>
      <c r="G78"/>
      <c r="H78"/>
      <c r="I78"/>
      <c r="J78"/>
      <c r="K78"/>
      <c r="L78"/>
      <c r="M78"/>
      <c r="N78"/>
      <c r="O78"/>
    </row>
    <row r="79" spans="6:15">
      <c r="F79"/>
      <c r="G79"/>
      <c r="H79"/>
      <c r="I79"/>
      <c r="J79"/>
      <c r="K79"/>
      <c r="L79"/>
      <c r="M79"/>
      <c r="N79"/>
      <c r="O79"/>
    </row>
    <row r="80" spans="6:15">
      <c r="F80"/>
      <c r="G80"/>
      <c r="H80"/>
      <c r="I80"/>
      <c r="J80"/>
      <c r="K80"/>
      <c r="L80"/>
      <c r="M80"/>
      <c r="N80"/>
      <c r="O80"/>
    </row>
    <row r="81" spans="6:15">
      <c r="F81"/>
      <c r="G81"/>
      <c r="H81"/>
      <c r="I81"/>
      <c r="J81"/>
      <c r="K81"/>
      <c r="L81"/>
      <c r="M81"/>
      <c r="N81"/>
      <c r="O81"/>
    </row>
    <row r="82" spans="6:15">
      <c r="F82"/>
      <c r="G82"/>
      <c r="H82"/>
      <c r="I82"/>
      <c r="J82"/>
      <c r="K82"/>
      <c r="L82"/>
      <c r="M82"/>
      <c r="N82"/>
      <c r="O82"/>
    </row>
    <row r="83" spans="6:15">
      <c r="F83"/>
      <c r="G83"/>
      <c r="H83"/>
      <c r="I83"/>
      <c r="J83"/>
      <c r="K83"/>
      <c r="L83"/>
      <c r="M83"/>
      <c r="N83"/>
      <c r="O83"/>
    </row>
    <row r="84" spans="6:15">
      <c r="F84"/>
      <c r="G84"/>
      <c r="H84"/>
      <c r="I84"/>
      <c r="J84"/>
      <c r="K84"/>
      <c r="L84"/>
      <c r="M84"/>
      <c r="N84"/>
      <c r="O84"/>
    </row>
    <row r="85" spans="6:15">
      <c r="F85"/>
      <c r="G85"/>
      <c r="H85"/>
      <c r="I85"/>
      <c r="J85"/>
      <c r="K85"/>
      <c r="L85"/>
      <c r="M85"/>
      <c r="N85"/>
      <c r="O85"/>
    </row>
    <row r="86" spans="6:15">
      <c r="F86"/>
      <c r="G86"/>
      <c r="H86"/>
      <c r="I86"/>
      <c r="J86"/>
      <c r="K86"/>
      <c r="L86"/>
      <c r="M86"/>
      <c r="N86"/>
      <c r="O86"/>
    </row>
    <row r="87" spans="6:15">
      <c r="F87"/>
      <c r="G87"/>
      <c r="H87"/>
      <c r="I87"/>
      <c r="J87"/>
      <c r="K87"/>
      <c r="L87"/>
      <c r="M87"/>
      <c r="N87"/>
      <c r="O87"/>
    </row>
    <row r="88" spans="6:15">
      <c r="F88"/>
      <c r="G88"/>
      <c r="H88"/>
      <c r="I88"/>
      <c r="J88"/>
      <c r="K88"/>
      <c r="L88"/>
      <c r="M88"/>
      <c r="N88"/>
      <c r="O88"/>
    </row>
    <row r="89" spans="6:15">
      <c r="F89"/>
      <c r="G89"/>
      <c r="H89"/>
      <c r="I89"/>
      <c r="J89"/>
      <c r="K89"/>
      <c r="L89"/>
      <c r="M89"/>
      <c r="N89"/>
      <c r="O89"/>
    </row>
    <row r="90" spans="6:15">
      <c r="F90"/>
      <c r="G90"/>
      <c r="H90"/>
      <c r="I90"/>
      <c r="J90"/>
      <c r="K90"/>
      <c r="L90"/>
      <c r="M90"/>
      <c r="N90"/>
      <c r="O90"/>
    </row>
    <row r="91" spans="6:15">
      <c r="F91"/>
      <c r="G91"/>
      <c r="H91"/>
      <c r="I91"/>
      <c r="J91"/>
      <c r="K91"/>
      <c r="L91"/>
      <c r="M91"/>
      <c r="N91"/>
      <c r="O91"/>
    </row>
    <row r="92" spans="6:15">
      <c r="F92"/>
      <c r="G92"/>
      <c r="H92"/>
      <c r="I92"/>
      <c r="J92"/>
      <c r="K92"/>
      <c r="L92"/>
      <c r="M92"/>
      <c r="N92"/>
      <c r="O92"/>
    </row>
    <row r="93" spans="6:15">
      <c r="F93"/>
      <c r="G93"/>
      <c r="H93"/>
      <c r="I93"/>
      <c r="J93"/>
      <c r="K93"/>
      <c r="L93"/>
      <c r="M93"/>
      <c r="N93"/>
      <c r="O93"/>
    </row>
    <row r="94" spans="6:15">
      <c r="F94"/>
      <c r="G94"/>
      <c r="H94"/>
      <c r="I94"/>
      <c r="J94"/>
      <c r="K94"/>
      <c r="L94"/>
      <c r="M94"/>
      <c r="N94"/>
      <c r="O94"/>
    </row>
    <row r="95" spans="6:15">
      <c r="F95"/>
      <c r="G95"/>
      <c r="H95"/>
      <c r="I95"/>
      <c r="J95"/>
      <c r="K95"/>
      <c r="L95"/>
      <c r="M95"/>
      <c r="N95"/>
      <c r="O95"/>
    </row>
    <row r="96" spans="6:15">
      <c r="F96"/>
      <c r="G96"/>
      <c r="H96"/>
      <c r="I96"/>
      <c r="J96"/>
      <c r="K96"/>
      <c r="L96"/>
      <c r="M96"/>
      <c r="N96"/>
      <c r="O96"/>
    </row>
    <row r="97" spans="6:15">
      <c r="F97"/>
      <c r="G97"/>
      <c r="H97"/>
      <c r="I97"/>
      <c r="J97"/>
      <c r="K97"/>
      <c r="L97"/>
      <c r="M97"/>
      <c r="N97"/>
      <c r="O97"/>
    </row>
    <row r="98" spans="6:15">
      <c r="F98"/>
      <c r="G98"/>
      <c r="H98"/>
      <c r="I98"/>
      <c r="J98"/>
      <c r="K98"/>
      <c r="L98"/>
      <c r="M98"/>
      <c r="N98"/>
      <c r="O98"/>
    </row>
    <row r="99" spans="6:15">
      <c r="F99"/>
      <c r="G99"/>
      <c r="H99"/>
      <c r="I99"/>
      <c r="J99"/>
      <c r="K99"/>
      <c r="L99"/>
      <c r="M99"/>
      <c r="N99"/>
      <c r="O99"/>
    </row>
    <row r="100" spans="6:15">
      <c r="F100"/>
      <c r="G100"/>
      <c r="H100"/>
      <c r="I100"/>
      <c r="J100"/>
      <c r="K100"/>
      <c r="L100"/>
      <c r="M100"/>
      <c r="N100"/>
      <c r="O100"/>
    </row>
    <row r="101" spans="6:15">
      <c r="F101"/>
      <c r="G101"/>
      <c r="H101"/>
      <c r="I101"/>
      <c r="J101"/>
      <c r="K101"/>
      <c r="L101"/>
      <c r="M101"/>
      <c r="N101"/>
      <c r="O101"/>
    </row>
    <row r="102" spans="6:15">
      <c r="F102"/>
      <c r="G102"/>
      <c r="H102"/>
      <c r="I102"/>
      <c r="J102"/>
      <c r="K102"/>
      <c r="L102"/>
      <c r="M102"/>
      <c r="N102"/>
      <c r="O102"/>
    </row>
    <row r="103" spans="6:15">
      <c r="F103"/>
      <c r="G103"/>
      <c r="H103"/>
      <c r="I103"/>
      <c r="J103"/>
      <c r="K103"/>
      <c r="L103"/>
      <c r="M103"/>
      <c r="N103"/>
      <c r="O103"/>
    </row>
    <row r="104" spans="6:15">
      <c r="F104"/>
      <c r="G104"/>
      <c r="H104"/>
      <c r="I104"/>
      <c r="J104"/>
      <c r="K104"/>
      <c r="L104"/>
      <c r="M104"/>
      <c r="N104"/>
      <c r="O104"/>
    </row>
    <row r="105" spans="6:15">
      <c r="F105"/>
      <c r="G105"/>
      <c r="H105"/>
      <c r="I105"/>
      <c r="J105"/>
      <c r="K105"/>
      <c r="L105"/>
      <c r="M105"/>
      <c r="N105"/>
      <c r="O105"/>
    </row>
    <row r="106" spans="6:15">
      <c r="F106"/>
      <c r="G106"/>
      <c r="H106"/>
      <c r="I106"/>
      <c r="J106"/>
      <c r="K106"/>
      <c r="L106"/>
      <c r="M106"/>
      <c r="N106"/>
      <c r="O106"/>
    </row>
    <row r="107" spans="6:15">
      <c r="F107"/>
      <c r="G107"/>
      <c r="H107"/>
      <c r="I107"/>
      <c r="J107"/>
      <c r="K107"/>
      <c r="L107"/>
      <c r="M107"/>
      <c r="N107"/>
      <c r="O107"/>
    </row>
    <row r="108" spans="6:15">
      <c r="F108"/>
      <c r="G108"/>
      <c r="H108"/>
      <c r="I108"/>
      <c r="J108"/>
      <c r="K108"/>
      <c r="L108"/>
      <c r="M108"/>
      <c r="N108"/>
      <c r="O108"/>
    </row>
    <row r="109" spans="6:15">
      <c r="F109"/>
      <c r="G109"/>
      <c r="H109"/>
      <c r="I109"/>
      <c r="J109"/>
      <c r="K109"/>
      <c r="L109"/>
      <c r="M109"/>
      <c r="N109"/>
      <c r="O109"/>
    </row>
    <row r="110" spans="6:15">
      <c r="F110"/>
      <c r="G110"/>
      <c r="H110"/>
      <c r="I110"/>
      <c r="J110"/>
      <c r="K110"/>
      <c r="L110"/>
      <c r="M110"/>
      <c r="N110"/>
      <c r="O110"/>
    </row>
    <row r="111" spans="6:15">
      <c r="F111"/>
      <c r="G111"/>
      <c r="H111"/>
      <c r="I111"/>
      <c r="J111"/>
      <c r="K111"/>
      <c r="L111"/>
      <c r="M111"/>
      <c r="N111"/>
      <c r="O111"/>
    </row>
    <row r="112" spans="6:15">
      <c r="F112"/>
      <c r="G112"/>
      <c r="H112"/>
      <c r="I112"/>
      <c r="J112"/>
      <c r="K112"/>
      <c r="L112"/>
      <c r="M112"/>
      <c r="N112"/>
      <c r="O112"/>
    </row>
    <row r="113" spans="6:15">
      <c r="F113"/>
      <c r="G113"/>
      <c r="H113"/>
      <c r="I113"/>
      <c r="J113"/>
      <c r="K113"/>
      <c r="L113"/>
      <c r="M113"/>
      <c r="N113"/>
      <c r="O113"/>
    </row>
    <row r="114" spans="6:15">
      <c r="F114"/>
      <c r="G114"/>
      <c r="H114"/>
      <c r="I114"/>
      <c r="J114"/>
      <c r="K114"/>
      <c r="L114"/>
      <c r="M114"/>
      <c r="N114"/>
      <c r="O114"/>
    </row>
    <row r="115" spans="6:15">
      <c r="F115"/>
      <c r="G115"/>
      <c r="H115"/>
      <c r="I115"/>
      <c r="J115"/>
      <c r="K115"/>
      <c r="L115"/>
      <c r="M115"/>
      <c r="N115"/>
      <c r="O115"/>
    </row>
    <row r="116" spans="6:15">
      <c r="F116"/>
      <c r="G116"/>
      <c r="H116"/>
      <c r="I116"/>
      <c r="J116"/>
      <c r="K116"/>
      <c r="L116"/>
      <c r="M116"/>
      <c r="N116"/>
      <c r="O116"/>
    </row>
    <row r="117" spans="6:15">
      <c r="F117"/>
      <c r="G117"/>
      <c r="H117"/>
      <c r="I117"/>
      <c r="J117"/>
      <c r="K117"/>
      <c r="L117"/>
      <c r="M117"/>
      <c r="N117"/>
      <c r="O117"/>
    </row>
    <row r="118" spans="6:15">
      <c r="F118"/>
      <c r="G118"/>
      <c r="H118"/>
      <c r="I118"/>
      <c r="J118"/>
      <c r="K118"/>
      <c r="L118"/>
      <c r="M118"/>
      <c r="N118"/>
      <c r="O118"/>
    </row>
    <row r="119" spans="6:15">
      <c r="F119"/>
      <c r="G119"/>
      <c r="H119"/>
      <c r="I119"/>
      <c r="J119"/>
      <c r="K119"/>
      <c r="L119"/>
      <c r="M119"/>
      <c r="N119"/>
      <c r="O119"/>
    </row>
    <row r="120" spans="6:15">
      <c r="F120"/>
      <c r="G120"/>
      <c r="H120"/>
      <c r="I120"/>
      <c r="J120"/>
      <c r="K120"/>
      <c r="L120"/>
      <c r="M120"/>
      <c r="N120"/>
      <c r="O120"/>
    </row>
    <row r="121" spans="6:15">
      <c r="F121"/>
      <c r="G121"/>
      <c r="H121"/>
      <c r="I121"/>
      <c r="J121"/>
      <c r="K121"/>
      <c r="L121"/>
      <c r="M121"/>
      <c r="N121"/>
      <c r="O121"/>
    </row>
    <row r="122" spans="6:15">
      <c r="F122"/>
      <c r="G122"/>
      <c r="H122"/>
      <c r="I122"/>
      <c r="J122"/>
      <c r="K122"/>
      <c r="L122"/>
      <c r="M122"/>
      <c r="N122"/>
      <c r="O122"/>
    </row>
    <row r="123" spans="6:15">
      <c r="F123"/>
      <c r="G123"/>
      <c r="H123"/>
      <c r="I123"/>
      <c r="J123"/>
      <c r="K123"/>
      <c r="L123"/>
      <c r="M123"/>
      <c r="N123"/>
      <c r="O123"/>
    </row>
    <row r="124" spans="6:15">
      <c r="F124"/>
      <c r="G124"/>
      <c r="H124"/>
      <c r="I124"/>
      <c r="J124"/>
      <c r="K124"/>
      <c r="L124"/>
      <c r="M124"/>
      <c r="N124"/>
      <c r="O124"/>
    </row>
    <row r="125" spans="6:15">
      <c r="F125"/>
      <c r="G125"/>
      <c r="H125"/>
      <c r="I125"/>
      <c r="J125"/>
      <c r="K125"/>
      <c r="L125"/>
      <c r="M125"/>
      <c r="N125"/>
      <c r="O125"/>
    </row>
    <row r="126" spans="6:15">
      <c r="F126"/>
      <c r="G126"/>
      <c r="H126"/>
      <c r="I126"/>
      <c r="J126"/>
      <c r="K126"/>
      <c r="L126"/>
      <c r="M126"/>
      <c r="N126"/>
      <c r="O126"/>
    </row>
    <row r="127" spans="6:15">
      <c r="F127"/>
      <c r="G127"/>
      <c r="H127"/>
      <c r="I127"/>
      <c r="J127"/>
      <c r="K127"/>
      <c r="L127"/>
      <c r="M127"/>
      <c r="N127"/>
      <c r="O127"/>
    </row>
    <row r="128" spans="6:15">
      <c r="F128"/>
      <c r="G128"/>
      <c r="H128"/>
      <c r="I128"/>
      <c r="J128"/>
      <c r="K128"/>
      <c r="L128"/>
      <c r="M128"/>
      <c r="N128"/>
      <c r="O128"/>
    </row>
    <row r="129" spans="6:15">
      <c r="F129"/>
      <c r="G129"/>
      <c r="H129"/>
      <c r="I129"/>
      <c r="J129"/>
      <c r="K129"/>
      <c r="L129"/>
      <c r="M129"/>
      <c r="N129"/>
      <c r="O129"/>
    </row>
    <row r="130" spans="6:15">
      <c r="F130"/>
      <c r="G130"/>
      <c r="H130"/>
      <c r="I130"/>
      <c r="J130"/>
      <c r="K130"/>
      <c r="L130"/>
      <c r="M130"/>
      <c r="N130"/>
      <c r="O130"/>
    </row>
    <row r="131" spans="6:15">
      <c r="F131"/>
      <c r="G131"/>
      <c r="H131"/>
      <c r="I131"/>
      <c r="J131"/>
      <c r="K131"/>
      <c r="L131"/>
      <c r="M131"/>
      <c r="N131"/>
      <c r="O131"/>
    </row>
    <row r="132" spans="6:15">
      <c r="F132"/>
      <c r="G132"/>
      <c r="H132"/>
      <c r="I132"/>
      <c r="J132"/>
      <c r="K132"/>
      <c r="L132"/>
      <c r="M132"/>
      <c r="N132"/>
      <c r="O132"/>
    </row>
    <row r="133" spans="6:15">
      <c r="F133"/>
      <c r="G133"/>
      <c r="H133"/>
      <c r="I133"/>
      <c r="J133"/>
      <c r="K133"/>
      <c r="L133"/>
      <c r="M133"/>
      <c r="N133"/>
      <c r="O133"/>
    </row>
    <row r="134" spans="6:15">
      <c r="F134"/>
      <c r="G134"/>
      <c r="H134"/>
      <c r="I134"/>
      <c r="J134"/>
      <c r="K134"/>
      <c r="L134"/>
      <c r="M134"/>
      <c r="N134"/>
      <c r="O134"/>
    </row>
    <row r="135" spans="6:15">
      <c r="F135"/>
      <c r="G135"/>
      <c r="H135"/>
      <c r="I135"/>
      <c r="J135"/>
      <c r="K135"/>
      <c r="L135"/>
      <c r="M135"/>
      <c r="N135"/>
      <c r="O135"/>
    </row>
    <row r="136" spans="6:15">
      <c r="F136"/>
      <c r="G136"/>
      <c r="H136"/>
      <c r="I136"/>
      <c r="J136"/>
      <c r="K136"/>
      <c r="L136"/>
      <c r="M136"/>
      <c r="N136"/>
      <c r="O136"/>
    </row>
    <row r="137" spans="6:15">
      <c r="F137"/>
      <c r="G137"/>
      <c r="H137"/>
      <c r="I137"/>
      <c r="J137"/>
      <c r="K137"/>
      <c r="L137"/>
      <c r="M137"/>
      <c r="N137"/>
      <c r="O137"/>
    </row>
    <row r="138" spans="6:15">
      <c r="F138"/>
      <c r="G138"/>
      <c r="H138"/>
      <c r="I138"/>
      <c r="J138"/>
      <c r="K138"/>
      <c r="L138"/>
      <c r="M138"/>
      <c r="N138"/>
      <c r="O138"/>
    </row>
    <row r="139" spans="6:15">
      <c r="F139"/>
      <c r="G139"/>
      <c r="H139"/>
      <c r="I139"/>
      <c r="J139"/>
      <c r="K139"/>
      <c r="L139"/>
      <c r="M139"/>
      <c r="N139"/>
      <c r="O139"/>
    </row>
    <row r="140" spans="6:15">
      <c r="F140"/>
      <c r="G140"/>
      <c r="H140"/>
      <c r="I140"/>
      <c r="J140"/>
      <c r="K140"/>
      <c r="L140"/>
      <c r="M140"/>
      <c r="N140"/>
      <c r="O140"/>
    </row>
    <row r="141" spans="6:15">
      <c r="F141"/>
      <c r="G141"/>
      <c r="H141"/>
      <c r="I141"/>
      <c r="J141"/>
      <c r="K141"/>
      <c r="L141"/>
      <c r="M141"/>
      <c r="N141"/>
      <c r="O141"/>
    </row>
    <row r="142" spans="6:15">
      <c r="F142"/>
      <c r="G142"/>
      <c r="H142"/>
      <c r="I142"/>
      <c r="J142"/>
      <c r="K142"/>
      <c r="L142"/>
      <c r="M142"/>
      <c r="N142"/>
      <c r="O142"/>
    </row>
    <row r="143" spans="6:15">
      <c r="F143"/>
      <c r="G143"/>
      <c r="H143"/>
      <c r="I143"/>
      <c r="J143"/>
      <c r="K143"/>
      <c r="L143"/>
      <c r="M143"/>
      <c r="N143"/>
      <c r="O143"/>
    </row>
    <row r="144" spans="6:15">
      <c r="F144"/>
      <c r="G144"/>
      <c r="H144"/>
      <c r="I144"/>
      <c r="J144"/>
      <c r="K144"/>
      <c r="L144"/>
      <c r="M144"/>
      <c r="N144"/>
      <c r="O144"/>
    </row>
    <row r="145" spans="6:15">
      <c r="F145"/>
      <c r="G145"/>
      <c r="H145"/>
      <c r="I145"/>
      <c r="J145"/>
      <c r="K145"/>
      <c r="L145"/>
      <c r="M145"/>
      <c r="N145"/>
      <c r="O145"/>
    </row>
    <row r="146" spans="6:15">
      <c r="F146"/>
      <c r="G146"/>
      <c r="H146"/>
      <c r="I146"/>
      <c r="J146"/>
      <c r="K146"/>
      <c r="L146"/>
      <c r="M146"/>
      <c r="N146"/>
      <c r="O146"/>
    </row>
    <row r="147" spans="6:15">
      <c r="F147"/>
      <c r="G147"/>
      <c r="H147"/>
      <c r="I147"/>
      <c r="J147"/>
      <c r="K147"/>
      <c r="L147"/>
      <c r="M147"/>
      <c r="N147"/>
      <c r="O147"/>
    </row>
    <row r="148" spans="6:15">
      <c r="F148"/>
      <c r="G148"/>
      <c r="H148"/>
      <c r="I148"/>
      <c r="J148"/>
      <c r="K148"/>
      <c r="L148"/>
      <c r="M148"/>
      <c r="N148"/>
      <c r="O148"/>
    </row>
    <row r="149" spans="6:15">
      <c r="F149"/>
      <c r="G149"/>
      <c r="H149"/>
      <c r="I149"/>
      <c r="J149"/>
      <c r="K149"/>
      <c r="L149"/>
      <c r="M149"/>
      <c r="N149"/>
      <c r="O149"/>
    </row>
    <row r="150" spans="6:15">
      <c r="F150"/>
      <c r="G150"/>
      <c r="H150"/>
      <c r="I150"/>
      <c r="J150"/>
      <c r="K150"/>
      <c r="L150"/>
      <c r="M150"/>
      <c r="N150"/>
      <c r="O150"/>
    </row>
    <row r="151" spans="6:15">
      <c r="F151"/>
      <c r="G151"/>
      <c r="H151"/>
      <c r="I151"/>
      <c r="J151"/>
      <c r="K151"/>
      <c r="L151"/>
      <c r="M151"/>
      <c r="N151"/>
      <c r="O151"/>
    </row>
    <row r="152" spans="6:15">
      <c r="F152"/>
      <c r="G152"/>
      <c r="H152"/>
      <c r="I152"/>
      <c r="J152"/>
      <c r="K152"/>
      <c r="L152"/>
      <c r="M152"/>
      <c r="N152"/>
      <c r="O152"/>
    </row>
    <row r="153" spans="6:15">
      <c r="F153"/>
      <c r="G153"/>
      <c r="H153"/>
      <c r="I153"/>
      <c r="J153"/>
      <c r="K153"/>
      <c r="L153"/>
      <c r="M153"/>
      <c r="N153"/>
      <c r="O153"/>
    </row>
    <row r="154" spans="6:15">
      <c r="F154"/>
      <c r="G154"/>
      <c r="H154"/>
      <c r="I154"/>
      <c r="J154"/>
      <c r="K154"/>
      <c r="L154"/>
      <c r="M154"/>
      <c r="N154"/>
      <c r="O154"/>
    </row>
    <row r="155" spans="6:15">
      <c r="F155"/>
      <c r="G155"/>
      <c r="H155"/>
      <c r="I155"/>
      <c r="J155"/>
      <c r="K155"/>
      <c r="L155"/>
      <c r="M155"/>
      <c r="N155"/>
      <c r="O155"/>
    </row>
    <row r="156" spans="6:15">
      <c r="F156"/>
      <c r="G156"/>
      <c r="H156"/>
      <c r="I156"/>
      <c r="J156"/>
      <c r="K156"/>
      <c r="L156"/>
      <c r="M156"/>
      <c r="N156"/>
      <c r="O156"/>
    </row>
    <row r="157" spans="6:15">
      <c r="F157"/>
      <c r="G157"/>
      <c r="H157"/>
      <c r="I157"/>
      <c r="J157"/>
      <c r="K157"/>
      <c r="L157"/>
      <c r="M157"/>
      <c r="N157"/>
      <c r="O157"/>
    </row>
    <row r="158" spans="6:15">
      <c r="F158"/>
      <c r="G158"/>
      <c r="H158"/>
      <c r="I158"/>
      <c r="J158"/>
      <c r="K158"/>
      <c r="L158"/>
      <c r="M158"/>
      <c r="N158"/>
      <c r="O158"/>
    </row>
    <row r="159" spans="6:15">
      <c r="F159"/>
      <c r="G159"/>
      <c r="H159"/>
      <c r="I159"/>
      <c r="J159"/>
      <c r="K159"/>
      <c r="L159"/>
      <c r="M159"/>
      <c r="N159"/>
      <c r="O159"/>
    </row>
    <row r="160" spans="6:15">
      <c r="F160"/>
      <c r="G160"/>
      <c r="H160"/>
      <c r="I160"/>
      <c r="J160"/>
      <c r="K160"/>
      <c r="L160"/>
      <c r="M160"/>
      <c r="N160"/>
      <c r="O160"/>
    </row>
    <row r="161" spans="6:15">
      <c r="F161"/>
      <c r="G161"/>
      <c r="H161"/>
      <c r="I161"/>
      <c r="J161"/>
      <c r="K161"/>
      <c r="L161"/>
      <c r="M161"/>
      <c r="N161"/>
      <c r="O161"/>
    </row>
    <row r="162" spans="6:15">
      <c r="F162"/>
      <c r="G162"/>
      <c r="H162"/>
      <c r="I162"/>
      <c r="J162"/>
      <c r="K162"/>
      <c r="L162"/>
      <c r="M162"/>
      <c r="N162"/>
      <c r="O162"/>
    </row>
    <row r="163" spans="6:15">
      <c r="F163"/>
      <c r="G163"/>
      <c r="H163"/>
      <c r="I163"/>
      <c r="J163"/>
      <c r="K163"/>
      <c r="L163"/>
      <c r="M163"/>
      <c r="N163"/>
      <c r="O163"/>
    </row>
    <row r="164" spans="6:15">
      <c r="F164"/>
      <c r="G164"/>
      <c r="H164"/>
      <c r="I164"/>
      <c r="J164"/>
      <c r="K164"/>
      <c r="L164"/>
      <c r="M164"/>
      <c r="N164"/>
      <c r="O164"/>
    </row>
    <row r="165" spans="6:15">
      <c r="F165"/>
      <c r="G165"/>
      <c r="H165"/>
      <c r="I165"/>
      <c r="J165"/>
      <c r="K165"/>
      <c r="L165"/>
      <c r="M165"/>
      <c r="N165"/>
      <c r="O165"/>
    </row>
    <row r="166" spans="6:15">
      <c r="F166"/>
      <c r="G166"/>
      <c r="H166"/>
      <c r="I166"/>
      <c r="J166"/>
      <c r="K166"/>
      <c r="L166"/>
      <c r="M166"/>
      <c r="N166"/>
      <c r="O166"/>
    </row>
    <row r="167" spans="6:15">
      <c r="F167"/>
      <c r="G167"/>
      <c r="H167"/>
      <c r="I167"/>
      <c r="J167"/>
      <c r="K167"/>
      <c r="L167"/>
      <c r="M167"/>
      <c r="N167"/>
      <c r="O167"/>
    </row>
    <row r="168" spans="6:15">
      <c r="F168"/>
      <c r="G168"/>
      <c r="H168"/>
      <c r="I168"/>
      <c r="J168"/>
      <c r="K168"/>
      <c r="L168"/>
      <c r="M168"/>
      <c r="N168"/>
      <c r="O168"/>
    </row>
    <row r="169" spans="6:15">
      <c r="F169"/>
      <c r="G169"/>
      <c r="H169"/>
      <c r="I169"/>
      <c r="J169"/>
      <c r="K169"/>
      <c r="L169"/>
      <c r="M169"/>
      <c r="N169"/>
      <c r="O169"/>
    </row>
    <row r="170" spans="6:15">
      <c r="F170"/>
      <c r="G170"/>
      <c r="H170"/>
      <c r="I170"/>
      <c r="J170"/>
      <c r="K170"/>
      <c r="L170"/>
      <c r="M170"/>
      <c r="N170"/>
      <c r="O170"/>
    </row>
    <row r="171" spans="6:15">
      <c r="F171"/>
      <c r="G171"/>
      <c r="H171"/>
      <c r="I171"/>
      <c r="J171"/>
      <c r="K171"/>
      <c r="L171"/>
      <c r="M171"/>
      <c r="N171"/>
      <c r="O171"/>
    </row>
    <row r="172" spans="6:15">
      <c r="F172"/>
      <c r="G172"/>
      <c r="H172"/>
      <c r="I172"/>
      <c r="J172"/>
      <c r="K172"/>
      <c r="L172"/>
      <c r="M172"/>
      <c r="N172"/>
      <c r="O172"/>
    </row>
    <row r="173" spans="6:15">
      <c r="F173"/>
      <c r="G173"/>
      <c r="H173"/>
      <c r="I173"/>
      <c r="J173"/>
      <c r="K173"/>
      <c r="L173"/>
      <c r="M173"/>
      <c r="N173"/>
      <c r="O173"/>
    </row>
    <row r="174" spans="6:15">
      <c r="F174"/>
      <c r="G174"/>
      <c r="H174"/>
      <c r="I174"/>
      <c r="J174"/>
      <c r="K174"/>
      <c r="L174"/>
      <c r="M174"/>
      <c r="N174"/>
      <c r="O174"/>
    </row>
    <row r="175" spans="6:15">
      <c r="F175"/>
      <c r="G175"/>
      <c r="H175"/>
      <c r="I175"/>
      <c r="J175"/>
      <c r="K175"/>
      <c r="L175"/>
      <c r="M175"/>
      <c r="N175"/>
      <c r="O175"/>
    </row>
    <row r="176" spans="6:15">
      <c r="F176"/>
      <c r="G176"/>
      <c r="H176"/>
      <c r="I176"/>
      <c r="J176"/>
      <c r="K176"/>
      <c r="L176"/>
      <c r="M176"/>
      <c r="N176"/>
      <c r="O176"/>
    </row>
    <row r="177" spans="6:15">
      <c r="F177"/>
      <c r="G177"/>
      <c r="H177"/>
      <c r="I177"/>
      <c r="J177"/>
      <c r="K177"/>
      <c r="L177"/>
      <c r="M177"/>
      <c r="N177"/>
      <c r="O177"/>
    </row>
    <row r="178" spans="6:15">
      <c r="F178"/>
      <c r="G178"/>
      <c r="H178"/>
      <c r="I178"/>
      <c r="J178"/>
      <c r="K178"/>
      <c r="L178"/>
      <c r="M178"/>
      <c r="N178"/>
      <c r="O178"/>
    </row>
    <row r="179" spans="6:15">
      <c r="F179"/>
      <c r="G179"/>
      <c r="H179"/>
      <c r="I179"/>
      <c r="J179"/>
      <c r="K179"/>
      <c r="L179"/>
      <c r="M179"/>
      <c r="N179"/>
      <c r="O179"/>
    </row>
    <row r="180" spans="6:15">
      <c r="F180"/>
      <c r="G180"/>
      <c r="H180"/>
      <c r="I180"/>
      <c r="J180"/>
      <c r="K180"/>
      <c r="L180"/>
      <c r="M180"/>
      <c r="N180"/>
      <c r="O180"/>
    </row>
    <row r="181" spans="6:15">
      <c r="F181"/>
      <c r="G181"/>
      <c r="H181"/>
      <c r="I181"/>
      <c r="J181"/>
      <c r="K181"/>
      <c r="L181"/>
      <c r="M181"/>
      <c r="N181"/>
      <c r="O181"/>
    </row>
    <row r="182" spans="6:15">
      <c r="F182"/>
      <c r="G182"/>
      <c r="H182"/>
      <c r="I182"/>
      <c r="J182"/>
      <c r="K182"/>
      <c r="L182"/>
      <c r="M182"/>
      <c r="N182"/>
      <c r="O182"/>
    </row>
    <row r="183" spans="6:15">
      <c r="F183"/>
      <c r="G183"/>
      <c r="H183"/>
      <c r="I183"/>
      <c r="J183"/>
      <c r="K183"/>
      <c r="L183"/>
      <c r="M183"/>
      <c r="N183"/>
      <c r="O183"/>
    </row>
    <row r="184" spans="6:15">
      <c r="F184"/>
      <c r="G184"/>
      <c r="H184"/>
      <c r="I184"/>
      <c r="J184"/>
      <c r="K184"/>
      <c r="L184"/>
      <c r="M184"/>
      <c r="N184"/>
      <c r="O184"/>
    </row>
    <row r="185" spans="6:15">
      <c r="F185"/>
      <c r="G185"/>
      <c r="H185"/>
      <c r="I185"/>
      <c r="J185"/>
      <c r="K185"/>
      <c r="L185"/>
      <c r="M185"/>
      <c r="N185"/>
      <c r="O185"/>
    </row>
    <row r="186" spans="6:15">
      <c r="F186"/>
      <c r="G186"/>
      <c r="H186"/>
      <c r="I186"/>
      <c r="J186"/>
      <c r="K186"/>
      <c r="L186"/>
      <c r="M186"/>
      <c r="N186"/>
      <c r="O186"/>
    </row>
    <row r="187" spans="6:15">
      <c r="F187"/>
      <c r="G187"/>
      <c r="H187"/>
      <c r="I187"/>
      <c r="J187"/>
      <c r="K187"/>
      <c r="L187"/>
      <c r="M187"/>
      <c r="N187"/>
      <c r="O187"/>
    </row>
    <row r="188" spans="6:15">
      <c r="F188"/>
      <c r="G188"/>
      <c r="H188"/>
      <c r="I188"/>
      <c r="J188"/>
      <c r="K188"/>
      <c r="L188"/>
      <c r="M188"/>
      <c r="N188"/>
      <c r="O188"/>
    </row>
    <row r="189" spans="6:15">
      <c r="F189"/>
      <c r="G189"/>
      <c r="H189"/>
      <c r="I189"/>
      <c r="J189"/>
      <c r="K189"/>
      <c r="L189"/>
      <c r="M189"/>
      <c r="N189"/>
      <c r="O189"/>
    </row>
    <row r="190" spans="6:15">
      <c r="F190"/>
      <c r="G190"/>
      <c r="H190"/>
      <c r="I190"/>
      <c r="J190"/>
      <c r="K190"/>
      <c r="L190"/>
      <c r="M190"/>
      <c r="N190"/>
      <c r="O190"/>
    </row>
    <row r="191" spans="6:15">
      <c r="F191"/>
      <c r="G191"/>
      <c r="H191"/>
      <c r="I191"/>
      <c r="J191"/>
      <c r="K191"/>
      <c r="L191"/>
      <c r="M191"/>
      <c r="N191"/>
      <c r="O191"/>
    </row>
    <row r="192" spans="6:15">
      <c r="F192"/>
      <c r="G192"/>
      <c r="H192"/>
      <c r="I192"/>
      <c r="J192"/>
      <c r="K192"/>
      <c r="L192"/>
      <c r="M192"/>
      <c r="N192"/>
      <c r="O192"/>
    </row>
    <row r="193" spans="6:15">
      <c r="F193"/>
      <c r="G193"/>
      <c r="H193"/>
      <c r="I193"/>
      <c r="J193"/>
      <c r="K193"/>
      <c r="L193"/>
      <c r="M193"/>
      <c r="N193"/>
      <c r="O193"/>
    </row>
    <row r="194" spans="6:15">
      <c r="F194"/>
      <c r="G194"/>
      <c r="H194"/>
      <c r="I194"/>
      <c r="J194"/>
      <c r="K194"/>
      <c r="L194"/>
      <c r="M194"/>
      <c r="N194"/>
      <c r="O194"/>
    </row>
    <row r="195" spans="6:15">
      <c r="F195"/>
      <c r="G195"/>
      <c r="H195"/>
      <c r="I195"/>
      <c r="J195"/>
      <c r="K195"/>
      <c r="L195"/>
      <c r="M195"/>
      <c r="N195"/>
      <c r="O195"/>
    </row>
    <row r="196" spans="6:15">
      <c r="F196"/>
      <c r="G196"/>
      <c r="H196"/>
      <c r="I196"/>
      <c r="J196"/>
      <c r="K196"/>
      <c r="L196"/>
      <c r="M196"/>
      <c r="N196"/>
      <c r="O196"/>
    </row>
    <row r="197" spans="6:15">
      <c r="F197"/>
      <c r="G197"/>
      <c r="H197"/>
      <c r="I197"/>
      <c r="J197"/>
      <c r="K197"/>
      <c r="L197"/>
      <c r="M197"/>
      <c r="N197"/>
      <c r="O197"/>
    </row>
    <row r="198" spans="6:15">
      <c r="F198"/>
      <c r="G198"/>
      <c r="H198"/>
      <c r="I198"/>
      <c r="J198"/>
      <c r="K198"/>
      <c r="L198"/>
      <c r="M198"/>
      <c r="N198"/>
      <c r="O198"/>
    </row>
    <row r="199" spans="6:15">
      <c r="F199"/>
      <c r="G199"/>
      <c r="H199"/>
      <c r="I199"/>
      <c r="J199"/>
      <c r="K199"/>
      <c r="L199"/>
      <c r="M199"/>
      <c r="N199"/>
      <c r="O199"/>
    </row>
    <row r="200" spans="6:15">
      <c r="F200"/>
      <c r="G200"/>
      <c r="H200"/>
      <c r="I200"/>
      <c r="J200"/>
      <c r="K200"/>
      <c r="L200"/>
      <c r="M200"/>
      <c r="N200"/>
      <c r="O200"/>
    </row>
    <row r="201" spans="6:15">
      <c r="F201"/>
      <c r="G201"/>
      <c r="H201"/>
      <c r="I201"/>
      <c r="J201"/>
      <c r="K201"/>
      <c r="L201"/>
      <c r="M201"/>
      <c r="N201"/>
      <c r="O201"/>
    </row>
    <row r="202" spans="6:15">
      <c r="F202"/>
      <c r="G202"/>
      <c r="H202"/>
      <c r="I202"/>
      <c r="J202"/>
      <c r="K202"/>
      <c r="L202"/>
      <c r="M202"/>
      <c r="N202"/>
      <c r="O202"/>
    </row>
    <row r="203" spans="6:15">
      <c r="F203"/>
      <c r="G203"/>
      <c r="H203"/>
      <c r="I203"/>
      <c r="J203"/>
      <c r="K203"/>
      <c r="L203"/>
      <c r="M203"/>
      <c r="N203"/>
      <c r="O203"/>
    </row>
    <row r="204" spans="6:15">
      <c r="F204"/>
      <c r="G204"/>
      <c r="H204"/>
      <c r="I204"/>
      <c r="J204"/>
      <c r="K204"/>
      <c r="L204"/>
      <c r="M204"/>
      <c r="N204"/>
      <c r="O204"/>
    </row>
    <row r="205" spans="6:15">
      <c r="F205"/>
      <c r="G205"/>
      <c r="H205"/>
      <c r="I205"/>
      <c r="J205"/>
      <c r="K205"/>
      <c r="L205"/>
      <c r="M205"/>
      <c r="N205"/>
      <c r="O205"/>
    </row>
    <row r="206" spans="6:15">
      <c r="F206"/>
      <c r="G206"/>
      <c r="H206"/>
      <c r="I206"/>
      <c r="J206"/>
      <c r="K206"/>
      <c r="L206"/>
      <c r="M206"/>
      <c r="N206"/>
      <c r="O206"/>
    </row>
    <row r="207" spans="6:15">
      <c r="F207"/>
      <c r="G207"/>
      <c r="H207"/>
      <c r="I207"/>
      <c r="J207"/>
      <c r="K207"/>
      <c r="L207"/>
      <c r="M207"/>
      <c r="N207"/>
      <c r="O207"/>
    </row>
    <row r="208" spans="6:15">
      <c r="F208"/>
      <c r="G208"/>
      <c r="H208"/>
      <c r="I208"/>
      <c r="J208"/>
      <c r="K208"/>
      <c r="L208"/>
      <c r="M208"/>
      <c r="N208"/>
      <c r="O208"/>
    </row>
    <row r="209" spans="6:15">
      <c r="F209"/>
      <c r="G209"/>
      <c r="H209"/>
      <c r="I209"/>
      <c r="J209"/>
      <c r="K209"/>
      <c r="L209"/>
      <c r="M209"/>
      <c r="N209"/>
      <c r="O209"/>
    </row>
    <row r="210" spans="6:15">
      <c r="F210"/>
      <c r="G210"/>
      <c r="H210"/>
      <c r="I210"/>
      <c r="J210"/>
      <c r="K210"/>
      <c r="L210"/>
      <c r="M210"/>
      <c r="N210"/>
      <c r="O210"/>
    </row>
    <row r="211" spans="6:15">
      <c r="F211"/>
      <c r="G211"/>
      <c r="H211"/>
      <c r="I211"/>
      <c r="J211"/>
      <c r="K211"/>
      <c r="L211"/>
      <c r="M211"/>
      <c r="N211"/>
      <c r="O211"/>
    </row>
    <row r="212" spans="6:15">
      <c r="F212"/>
      <c r="G212"/>
      <c r="H212"/>
      <c r="I212"/>
      <c r="J212"/>
      <c r="K212"/>
      <c r="L212"/>
      <c r="M212"/>
      <c r="N212"/>
      <c r="O212"/>
    </row>
    <row r="213" spans="6:15">
      <c r="F213"/>
      <c r="G213"/>
      <c r="H213"/>
      <c r="I213"/>
      <c r="J213"/>
      <c r="K213"/>
      <c r="L213"/>
      <c r="M213"/>
      <c r="N213"/>
      <c r="O213"/>
    </row>
    <row r="214" spans="6:15">
      <c r="F214"/>
      <c r="G214"/>
      <c r="H214"/>
      <c r="I214"/>
      <c r="J214"/>
      <c r="K214"/>
      <c r="L214"/>
      <c r="M214"/>
      <c r="N214"/>
      <c r="O214"/>
    </row>
    <row r="215" spans="6:15">
      <c r="F215"/>
      <c r="G215"/>
      <c r="H215"/>
      <c r="I215"/>
      <c r="J215"/>
      <c r="K215"/>
      <c r="L215"/>
      <c r="M215"/>
      <c r="N215"/>
      <c r="O215"/>
    </row>
    <row r="216" spans="6:15">
      <c r="F216"/>
      <c r="G216"/>
      <c r="H216"/>
      <c r="I216"/>
      <c r="J216"/>
      <c r="K216"/>
      <c r="L216"/>
      <c r="M216"/>
      <c r="N216"/>
      <c r="O216"/>
    </row>
    <row r="217" spans="6:15">
      <c r="F217"/>
      <c r="G217"/>
      <c r="H217"/>
      <c r="I217"/>
      <c r="J217"/>
      <c r="K217"/>
      <c r="L217"/>
      <c r="M217"/>
      <c r="N217"/>
      <c r="O217"/>
    </row>
    <row r="218" spans="6:15">
      <c r="F218"/>
      <c r="G218"/>
      <c r="H218"/>
      <c r="I218"/>
      <c r="J218"/>
      <c r="K218"/>
      <c r="L218"/>
      <c r="M218"/>
      <c r="N218"/>
      <c r="O218"/>
    </row>
    <row r="219" spans="6:15">
      <c r="F219"/>
      <c r="G219"/>
      <c r="H219"/>
      <c r="I219"/>
      <c r="J219"/>
      <c r="K219"/>
      <c r="L219"/>
      <c r="M219"/>
      <c r="N219"/>
      <c r="O219"/>
    </row>
    <row r="220" spans="6:15">
      <c r="F220"/>
      <c r="G220"/>
      <c r="H220"/>
      <c r="I220"/>
      <c r="J220"/>
      <c r="K220"/>
      <c r="L220"/>
      <c r="M220"/>
      <c r="N220"/>
      <c r="O220"/>
    </row>
    <row r="221" spans="6:15">
      <c r="F221"/>
      <c r="G221"/>
      <c r="H221"/>
      <c r="I221"/>
      <c r="J221"/>
      <c r="K221"/>
      <c r="L221"/>
      <c r="M221"/>
      <c r="N221"/>
      <c r="O221"/>
    </row>
    <row r="222" spans="6:15">
      <c r="F222"/>
      <c r="G222"/>
      <c r="H222"/>
      <c r="I222"/>
      <c r="J222"/>
      <c r="K222"/>
      <c r="L222"/>
      <c r="M222"/>
      <c r="N222"/>
      <c r="O222"/>
    </row>
    <row r="223" spans="6:15">
      <c r="F223"/>
      <c r="G223"/>
      <c r="H223"/>
      <c r="I223"/>
      <c r="J223"/>
      <c r="K223"/>
      <c r="L223"/>
      <c r="M223"/>
      <c r="N223"/>
      <c r="O223"/>
    </row>
    <row r="224" spans="6:15">
      <c r="F224"/>
      <c r="G224"/>
      <c r="H224"/>
      <c r="I224"/>
      <c r="J224"/>
      <c r="K224"/>
      <c r="L224"/>
      <c r="M224"/>
      <c r="N224"/>
      <c r="O224"/>
    </row>
    <row r="225" spans="6:15">
      <c r="F225"/>
      <c r="G225"/>
      <c r="H225"/>
      <c r="I225"/>
      <c r="J225"/>
      <c r="K225"/>
      <c r="L225"/>
      <c r="M225"/>
      <c r="N225"/>
      <c r="O225"/>
    </row>
    <row r="226" spans="6:15">
      <c r="F226"/>
      <c r="G226"/>
      <c r="H226"/>
      <c r="I226"/>
      <c r="J226"/>
      <c r="K226"/>
      <c r="L226"/>
      <c r="M226"/>
      <c r="N226"/>
      <c r="O226"/>
    </row>
    <row r="227" spans="6:15">
      <c r="F227"/>
      <c r="G227"/>
      <c r="H227"/>
      <c r="I227"/>
      <c r="J227"/>
      <c r="K227"/>
      <c r="L227"/>
      <c r="M227"/>
      <c r="N227"/>
      <c r="O227"/>
    </row>
    <row r="228" spans="6:15">
      <c r="F228"/>
      <c r="G228"/>
      <c r="H228"/>
      <c r="I228"/>
      <c r="J228"/>
      <c r="K228"/>
      <c r="L228"/>
      <c r="M228"/>
      <c r="N228"/>
      <c r="O228"/>
    </row>
    <row r="229" spans="6:15">
      <c r="F229"/>
      <c r="G229"/>
      <c r="H229"/>
      <c r="I229"/>
      <c r="J229"/>
      <c r="K229"/>
      <c r="L229"/>
      <c r="M229"/>
      <c r="N229"/>
      <c r="O229"/>
    </row>
    <row r="230" spans="6:15">
      <c r="F230"/>
      <c r="G230"/>
      <c r="H230"/>
      <c r="I230"/>
      <c r="J230"/>
      <c r="K230"/>
      <c r="L230"/>
      <c r="M230"/>
      <c r="N230"/>
      <c r="O230"/>
    </row>
    <row r="231" spans="6:15">
      <c r="F231"/>
      <c r="G231"/>
      <c r="H231"/>
      <c r="I231"/>
      <c r="J231"/>
      <c r="K231"/>
      <c r="L231"/>
      <c r="M231"/>
      <c r="N231"/>
      <c r="O231"/>
    </row>
    <row r="232" spans="6:15">
      <c r="F232"/>
      <c r="G232"/>
      <c r="H232"/>
      <c r="I232"/>
      <c r="J232"/>
      <c r="K232"/>
      <c r="L232"/>
      <c r="M232"/>
      <c r="N232"/>
      <c r="O232"/>
    </row>
    <row r="233" spans="6:15">
      <c r="F233"/>
      <c r="G233"/>
      <c r="H233"/>
      <c r="I233"/>
      <c r="J233"/>
      <c r="K233"/>
      <c r="L233"/>
      <c r="M233"/>
      <c r="N233"/>
      <c r="O233"/>
    </row>
    <row r="234" spans="6:15">
      <c r="F234"/>
      <c r="G234"/>
      <c r="H234"/>
      <c r="I234"/>
      <c r="J234"/>
      <c r="K234"/>
      <c r="L234"/>
      <c r="M234"/>
      <c r="N234"/>
      <c r="O234"/>
    </row>
    <row r="235" spans="6:15">
      <c r="F235"/>
      <c r="G235"/>
      <c r="H235"/>
      <c r="I235"/>
      <c r="J235"/>
      <c r="K235"/>
      <c r="L235"/>
      <c r="M235"/>
      <c r="N235"/>
      <c r="O235"/>
    </row>
    <row r="236" spans="6:15">
      <c r="F236"/>
      <c r="G236"/>
      <c r="H236"/>
      <c r="I236"/>
      <c r="J236"/>
      <c r="K236"/>
      <c r="L236"/>
      <c r="M236"/>
      <c r="N236"/>
      <c r="O236"/>
    </row>
    <row r="237" spans="6:15">
      <c r="F237"/>
      <c r="G237"/>
      <c r="H237"/>
      <c r="I237"/>
      <c r="J237"/>
      <c r="K237"/>
      <c r="L237"/>
      <c r="M237"/>
      <c r="N237"/>
      <c r="O237"/>
    </row>
    <row r="238" spans="6:15">
      <c r="F238"/>
      <c r="G238"/>
      <c r="H238"/>
      <c r="I238"/>
      <c r="J238"/>
      <c r="K238"/>
      <c r="L238"/>
      <c r="M238"/>
      <c r="N238"/>
      <c r="O238"/>
    </row>
    <row r="239" spans="6:15">
      <c r="F239"/>
      <c r="G239"/>
      <c r="H239"/>
      <c r="I239"/>
      <c r="J239"/>
      <c r="K239"/>
      <c r="L239"/>
      <c r="M239"/>
      <c r="N239"/>
      <c r="O239"/>
    </row>
    <row r="240" spans="6:15">
      <c r="F240"/>
      <c r="G240"/>
      <c r="H240"/>
      <c r="I240"/>
      <c r="J240"/>
      <c r="K240"/>
      <c r="L240"/>
      <c r="M240"/>
      <c r="N240"/>
      <c r="O240"/>
    </row>
    <row r="241" spans="6:15">
      <c r="F241"/>
      <c r="G241"/>
      <c r="H241"/>
      <c r="I241"/>
      <c r="J241"/>
      <c r="K241"/>
      <c r="L241"/>
      <c r="M241"/>
      <c r="N241"/>
      <c r="O241"/>
    </row>
    <row r="242" spans="6:15">
      <c r="F242"/>
      <c r="G242"/>
      <c r="H242"/>
      <c r="I242"/>
      <c r="J242"/>
      <c r="K242"/>
      <c r="L242"/>
      <c r="M242"/>
      <c r="N242"/>
      <c r="O242"/>
    </row>
    <row r="243" spans="6:15">
      <c r="F243"/>
      <c r="G243"/>
      <c r="H243"/>
      <c r="I243"/>
      <c r="J243"/>
      <c r="K243"/>
      <c r="L243"/>
      <c r="M243"/>
      <c r="N243"/>
      <c r="O243"/>
    </row>
    <row r="244" spans="6:15">
      <c r="F244"/>
      <c r="G244"/>
      <c r="H244"/>
      <c r="I244"/>
      <c r="J244"/>
      <c r="K244"/>
      <c r="L244"/>
      <c r="M244"/>
      <c r="N244"/>
      <c r="O244"/>
    </row>
    <row r="245" spans="6:15">
      <c r="F245"/>
      <c r="G245"/>
      <c r="H245"/>
      <c r="I245"/>
      <c r="J245"/>
      <c r="K245"/>
      <c r="L245"/>
      <c r="M245"/>
      <c r="N245"/>
      <c r="O245"/>
    </row>
    <row r="246" spans="6:15">
      <c r="F246"/>
      <c r="G246"/>
      <c r="H246"/>
      <c r="I246"/>
      <c r="J246"/>
      <c r="K246"/>
      <c r="L246"/>
      <c r="M246"/>
      <c r="N246"/>
      <c r="O246"/>
    </row>
    <row r="247" spans="6:15">
      <c r="F247"/>
      <c r="G247"/>
      <c r="H247"/>
      <c r="I247"/>
      <c r="J247"/>
      <c r="K247"/>
      <c r="L247"/>
      <c r="M247"/>
      <c r="N247"/>
      <c r="O247"/>
    </row>
    <row r="248" spans="6:15">
      <c r="F248"/>
      <c r="G248"/>
      <c r="H248"/>
      <c r="I248"/>
      <c r="J248"/>
      <c r="K248"/>
      <c r="L248"/>
      <c r="M248"/>
      <c r="N248"/>
      <c r="O248"/>
    </row>
    <row r="249" spans="6:15">
      <c r="F249"/>
      <c r="G249"/>
      <c r="H249"/>
      <c r="I249"/>
      <c r="J249"/>
      <c r="K249"/>
      <c r="L249"/>
      <c r="M249"/>
      <c r="N249"/>
      <c r="O249"/>
    </row>
    <row r="250" spans="6:15">
      <c r="F250"/>
      <c r="G250"/>
      <c r="H250"/>
      <c r="I250"/>
      <c r="J250"/>
      <c r="K250"/>
      <c r="L250"/>
      <c r="M250"/>
      <c r="N250"/>
      <c r="O250"/>
    </row>
    <row r="251" spans="6:15">
      <c r="F251"/>
      <c r="G251"/>
      <c r="H251"/>
      <c r="I251"/>
      <c r="J251"/>
      <c r="K251"/>
      <c r="L251"/>
      <c r="M251"/>
      <c r="N251"/>
      <c r="O251"/>
    </row>
    <row r="252" spans="6:15">
      <c r="F252"/>
      <c r="G252"/>
      <c r="H252"/>
      <c r="I252"/>
      <c r="J252"/>
      <c r="K252"/>
      <c r="L252"/>
      <c r="M252"/>
      <c r="N252"/>
      <c r="O252"/>
    </row>
    <row r="253" spans="6:15">
      <c r="F253"/>
      <c r="G253"/>
      <c r="H253"/>
      <c r="I253"/>
      <c r="J253"/>
      <c r="K253"/>
      <c r="L253"/>
      <c r="M253"/>
      <c r="N253"/>
      <c r="O253"/>
    </row>
    <row r="254" spans="6:15">
      <c r="F254"/>
      <c r="G254"/>
      <c r="H254"/>
      <c r="I254"/>
      <c r="J254"/>
      <c r="K254"/>
      <c r="L254"/>
      <c r="M254"/>
      <c r="N254"/>
      <c r="O254"/>
    </row>
    <row r="255" spans="6:15">
      <c r="F255"/>
      <c r="G255"/>
      <c r="H255"/>
      <c r="I255"/>
      <c r="J255"/>
      <c r="K255"/>
      <c r="L255"/>
      <c r="M255"/>
      <c r="N255"/>
      <c r="O255"/>
    </row>
    <row r="256" spans="6:15">
      <c r="F256"/>
      <c r="G256"/>
      <c r="H256"/>
      <c r="I256"/>
      <c r="J256"/>
      <c r="K256"/>
      <c r="L256"/>
      <c r="M256"/>
      <c r="N256"/>
      <c r="O256"/>
    </row>
    <row r="257" spans="6:15">
      <c r="F257"/>
      <c r="G257"/>
      <c r="H257"/>
      <c r="I257"/>
      <c r="J257"/>
      <c r="K257"/>
      <c r="L257"/>
      <c r="M257"/>
      <c r="N257"/>
      <c r="O257"/>
    </row>
    <row r="258" spans="6:15">
      <c r="F258"/>
      <c r="G258"/>
      <c r="H258"/>
      <c r="I258"/>
      <c r="J258"/>
      <c r="K258"/>
      <c r="L258"/>
      <c r="M258"/>
      <c r="N258"/>
      <c r="O258"/>
    </row>
    <row r="259" spans="6:15">
      <c r="F259"/>
      <c r="G259"/>
      <c r="H259"/>
      <c r="I259"/>
      <c r="J259"/>
      <c r="K259"/>
      <c r="L259"/>
      <c r="M259"/>
      <c r="N259"/>
      <c r="O259"/>
    </row>
    <row r="260" spans="6:15">
      <c r="F260"/>
      <c r="G260"/>
      <c r="H260"/>
      <c r="I260"/>
      <c r="J260"/>
      <c r="K260"/>
      <c r="L260"/>
      <c r="M260"/>
      <c r="N260"/>
      <c r="O260"/>
    </row>
    <row r="261" spans="6:15">
      <c r="F261"/>
      <c r="G261"/>
      <c r="H261"/>
      <c r="I261"/>
      <c r="J261"/>
      <c r="K261"/>
      <c r="L261"/>
      <c r="M261"/>
      <c r="N261"/>
      <c r="O261"/>
    </row>
    <row r="262" spans="6:15">
      <c r="F262"/>
      <c r="G262"/>
      <c r="H262"/>
      <c r="I262"/>
      <c r="J262"/>
      <c r="K262"/>
      <c r="L262"/>
      <c r="M262"/>
      <c r="N262"/>
      <c r="O262"/>
    </row>
    <row r="263" spans="6:15">
      <c r="F263"/>
      <c r="G263"/>
      <c r="H263"/>
      <c r="I263"/>
      <c r="J263"/>
      <c r="K263"/>
      <c r="L263"/>
      <c r="M263"/>
      <c r="N263"/>
      <c r="O263"/>
    </row>
    <row r="264" spans="6:15">
      <c r="F264"/>
      <c r="G264"/>
      <c r="H264"/>
      <c r="I264"/>
      <c r="J264"/>
      <c r="K264"/>
      <c r="L264"/>
      <c r="M264"/>
      <c r="N264"/>
      <c r="O264"/>
    </row>
    <row r="265" spans="6:15">
      <c r="F265"/>
      <c r="G265"/>
      <c r="H265"/>
      <c r="I265"/>
      <c r="J265"/>
      <c r="K265"/>
      <c r="L265"/>
      <c r="M265"/>
      <c r="N265"/>
      <c r="O265"/>
    </row>
    <row r="266" spans="6:15">
      <c r="F266"/>
      <c r="G266"/>
      <c r="H266"/>
      <c r="I266"/>
      <c r="J266"/>
      <c r="K266"/>
      <c r="L266"/>
      <c r="M266"/>
      <c r="N266"/>
      <c r="O266"/>
    </row>
    <row r="267" spans="6:15">
      <c r="F267"/>
      <c r="G267"/>
      <c r="H267"/>
      <c r="I267"/>
      <c r="J267"/>
      <c r="K267"/>
      <c r="L267"/>
      <c r="M267"/>
      <c r="N267"/>
      <c r="O267"/>
    </row>
    <row r="268" spans="6:15">
      <c r="F268"/>
      <c r="G268"/>
      <c r="H268"/>
      <c r="I268"/>
      <c r="J268"/>
      <c r="K268"/>
      <c r="L268"/>
      <c r="M268"/>
      <c r="N268"/>
      <c r="O268"/>
    </row>
    <row r="269" spans="6:15">
      <c r="F269"/>
      <c r="G269"/>
      <c r="H269"/>
      <c r="I269"/>
      <c r="J269"/>
      <c r="K269"/>
      <c r="L269"/>
      <c r="M269"/>
      <c r="N269"/>
      <c r="O269"/>
    </row>
    <row r="270" spans="6:15">
      <c r="F270"/>
      <c r="G270"/>
      <c r="H270"/>
      <c r="I270"/>
      <c r="J270"/>
      <c r="K270"/>
      <c r="L270"/>
      <c r="M270"/>
      <c r="N270"/>
      <c r="O270"/>
    </row>
    <row r="271" spans="6:15">
      <c r="F271"/>
      <c r="G271"/>
      <c r="H271"/>
      <c r="I271"/>
      <c r="J271"/>
      <c r="K271"/>
      <c r="L271"/>
      <c r="M271"/>
      <c r="N271"/>
      <c r="O271"/>
    </row>
    <row r="272" spans="6:15">
      <c r="F272"/>
      <c r="G272"/>
      <c r="H272"/>
      <c r="I272"/>
      <c r="J272"/>
      <c r="K272"/>
      <c r="L272"/>
      <c r="M272"/>
      <c r="N272"/>
      <c r="O272"/>
    </row>
    <row r="273" spans="6:15">
      <c r="F273"/>
      <c r="G273"/>
      <c r="H273"/>
      <c r="I273"/>
      <c r="J273"/>
      <c r="K273"/>
      <c r="L273"/>
      <c r="M273"/>
      <c r="N273"/>
      <c r="O273"/>
    </row>
    <row r="274" spans="6:15">
      <c r="F274"/>
      <c r="G274"/>
      <c r="H274"/>
      <c r="I274"/>
      <c r="J274"/>
      <c r="K274"/>
      <c r="L274"/>
      <c r="M274"/>
      <c r="N274"/>
      <c r="O274"/>
    </row>
    <row r="275" spans="6:15">
      <c r="F275"/>
      <c r="G275"/>
      <c r="H275"/>
      <c r="I275"/>
      <c r="J275"/>
      <c r="K275"/>
      <c r="L275"/>
      <c r="M275"/>
      <c r="N275"/>
      <c r="O275"/>
    </row>
    <row r="276" spans="6:15">
      <c r="F276"/>
      <c r="G276"/>
      <c r="H276"/>
      <c r="I276"/>
      <c r="J276"/>
      <c r="K276"/>
      <c r="L276"/>
      <c r="M276"/>
      <c r="N276"/>
      <c r="O276"/>
    </row>
    <row r="277" spans="6:15">
      <c r="F277"/>
      <c r="G277"/>
      <c r="H277"/>
      <c r="I277"/>
      <c r="J277"/>
      <c r="K277"/>
      <c r="L277"/>
      <c r="M277"/>
      <c r="N277"/>
      <c r="O277"/>
    </row>
    <row r="278" spans="6:15">
      <c r="F278"/>
      <c r="G278"/>
      <c r="H278"/>
      <c r="I278"/>
      <c r="J278"/>
      <c r="K278"/>
      <c r="L278"/>
      <c r="M278"/>
      <c r="N278"/>
      <c r="O278"/>
    </row>
    <row r="279" spans="6:15">
      <c r="F279"/>
      <c r="G279"/>
      <c r="H279"/>
      <c r="I279"/>
      <c r="J279"/>
      <c r="K279"/>
      <c r="L279"/>
      <c r="M279"/>
      <c r="N279"/>
      <c r="O279"/>
    </row>
    <row r="280" spans="6:15">
      <c r="F280"/>
      <c r="G280"/>
      <c r="H280"/>
      <c r="I280"/>
      <c r="J280"/>
      <c r="K280"/>
      <c r="L280"/>
      <c r="M280"/>
      <c r="N280"/>
      <c r="O280"/>
    </row>
    <row r="281" spans="6:15">
      <c r="F281"/>
      <c r="G281"/>
      <c r="H281"/>
      <c r="I281"/>
      <c r="J281"/>
      <c r="K281"/>
      <c r="L281"/>
      <c r="M281"/>
      <c r="N281"/>
      <c r="O281"/>
    </row>
    <row r="282" spans="6:15">
      <c r="F282"/>
      <c r="G282"/>
      <c r="H282"/>
      <c r="I282"/>
      <c r="J282"/>
      <c r="K282"/>
      <c r="L282"/>
      <c r="M282"/>
      <c r="N282"/>
      <c r="O282"/>
    </row>
    <row r="283" spans="6:15">
      <c r="F283"/>
      <c r="G283"/>
      <c r="H283"/>
      <c r="I283"/>
      <c r="J283"/>
      <c r="K283"/>
      <c r="L283"/>
      <c r="M283"/>
      <c r="N283"/>
      <c r="O283"/>
    </row>
    <row r="284" spans="6:15">
      <c r="F284"/>
      <c r="G284"/>
      <c r="H284"/>
      <c r="I284"/>
      <c r="J284"/>
      <c r="K284"/>
      <c r="L284"/>
      <c r="M284"/>
      <c r="N284"/>
      <c r="O284"/>
    </row>
    <row r="285" spans="6:15">
      <c r="F285"/>
      <c r="G285"/>
      <c r="H285"/>
      <c r="I285"/>
      <c r="J285"/>
      <c r="K285"/>
      <c r="L285"/>
      <c r="M285"/>
      <c r="N285"/>
      <c r="O285"/>
    </row>
    <row r="286" spans="6:15">
      <c r="F286"/>
      <c r="G286"/>
      <c r="H286"/>
      <c r="I286"/>
      <c r="J286"/>
      <c r="K286"/>
      <c r="L286"/>
      <c r="M286"/>
      <c r="N286"/>
      <c r="O286"/>
    </row>
    <row r="287" spans="6:15">
      <c r="F287"/>
      <c r="G287"/>
      <c r="H287"/>
      <c r="I287"/>
      <c r="J287"/>
      <c r="K287"/>
      <c r="L287"/>
      <c r="M287"/>
      <c r="N287"/>
      <c r="O287"/>
    </row>
    <row r="288" spans="6:15">
      <c r="F288"/>
      <c r="G288"/>
      <c r="H288"/>
      <c r="I288"/>
      <c r="J288"/>
      <c r="K288"/>
      <c r="L288"/>
      <c r="M288"/>
      <c r="N288"/>
      <c r="O288"/>
    </row>
    <row r="289" spans="6:15">
      <c r="F289"/>
      <c r="G289"/>
      <c r="H289"/>
      <c r="I289"/>
      <c r="J289"/>
      <c r="K289"/>
      <c r="L289"/>
      <c r="M289"/>
      <c r="N289"/>
      <c r="O289"/>
    </row>
    <row r="290" spans="6:15">
      <c r="F290"/>
      <c r="G290"/>
      <c r="H290"/>
      <c r="I290"/>
      <c r="J290"/>
      <c r="K290"/>
      <c r="L290"/>
      <c r="M290"/>
      <c r="N290"/>
      <c r="O290"/>
    </row>
    <row r="291" spans="6:15">
      <c r="F291"/>
      <c r="G291"/>
      <c r="H291"/>
      <c r="I291"/>
      <c r="J291"/>
      <c r="K291"/>
      <c r="L291"/>
      <c r="M291"/>
      <c r="N291"/>
      <c r="O291"/>
    </row>
    <row r="292" spans="6:15">
      <c r="F292"/>
      <c r="G292"/>
      <c r="H292"/>
      <c r="I292"/>
      <c r="J292"/>
      <c r="K292"/>
      <c r="L292"/>
      <c r="M292"/>
      <c r="N292"/>
      <c r="O292"/>
    </row>
    <row r="293" spans="6:15">
      <c r="F293"/>
      <c r="G293"/>
      <c r="H293"/>
      <c r="I293"/>
      <c r="J293"/>
      <c r="K293"/>
      <c r="L293"/>
      <c r="M293"/>
      <c r="N293"/>
      <c r="O293"/>
    </row>
    <row r="294" spans="6:15">
      <c r="F294"/>
      <c r="G294"/>
      <c r="H294"/>
      <c r="I294"/>
      <c r="J294"/>
      <c r="K294"/>
      <c r="L294"/>
      <c r="M294"/>
      <c r="N294"/>
      <c r="O294"/>
    </row>
    <row r="295" spans="6:15">
      <c r="F295"/>
      <c r="G295"/>
      <c r="H295"/>
      <c r="I295"/>
      <c r="J295"/>
      <c r="K295"/>
      <c r="L295"/>
      <c r="M295"/>
      <c r="N295"/>
      <c r="O295"/>
    </row>
    <row r="296" spans="6:15">
      <c r="F296"/>
      <c r="G296"/>
      <c r="H296"/>
      <c r="I296"/>
      <c r="J296"/>
      <c r="K296"/>
      <c r="L296"/>
      <c r="M296"/>
      <c r="N296"/>
      <c r="O296"/>
    </row>
    <row r="297" spans="6:15">
      <c r="F297"/>
      <c r="G297"/>
      <c r="H297"/>
      <c r="I297"/>
      <c r="J297"/>
      <c r="K297"/>
      <c r="L297"/>
      <c r="M297"/>
      <c r="N297"/>
      <c r="O297"/>
    </row>
    <row r="298" spans="6:15">
      <c r="F298"/>
      <c r="G298"/>
      <c r="H298"/>
      <c r="I298"/>
      <c r="J298"/>
      <c r="K298"/>
      <c r="L298"/>
      <c r="M298"/>
      <c r="N298"/>
      <c r="O298"/>
    </row>
    <row r="299" spans="6:15">
      <c r="F299"/>
      <c r="G299"/>
      <c r="H299"/>
      <c r="I299"/>
      <c r="J299"/>
      <c r="K299"/>
      <c r="L299"/>
      <c r="M299"/>
      <c r="N299"/>
      <c r="O299"/>
    </row>
    <row r="300" spans="6:15">
      <c r="F300"/>
      <c r="G300"/>
      <c r="H300"/>
      <c r="I300"/>
      <c r="J300"/>
      <c r="K300"/>
      <c r="L300"/>
      <c r="M300"/>
      <c r="N300"/>
      <c r="O300"/>
    </row>
    <row r="301" spans="6:15">
      <c r="F301"/>
      <c r="G301"/>
      <c r="H301"/>
      <c r="I301"/>
      <c r="J301"/>
      <c r="K301"/>
      <c r="L301"/>
      <c r="M301"/>
      <c r="N301"/>
      <c r="O301"/>
    </row>
    <row r="302" spans="6:15">
      <c r="F302"/>
      <c r="G302"/>
      <c r="H302"/>
      <c r="I302"/>
      <c r="J302"/>
      <c r="K302"/>
      <c r="L302"/>
      <c r="M302"/>
      <c r="N302"/>
      <c r="O302"/>
    </row>
    <row r="303" spans="6:15">
      <c r="F303"/>
      <c r="G303"/>
      <c r="H303"/>
      <c r="I303"/>
      <c r="J303"/>
      <c r="K303"/>
      <c r="L303"/>
      <c r="M303"/>
      <c r="N303"/>
      <c r="O303"/>
    </row>
    <row r="304" spans="6:15">
      <c r="F304"/>
      <c r="G304"/>
      <c r="H304"/>
      <c r="I304"/>
      <c r="J304"/>
      <c r="K304"/>
      <c r="L304"/>
      <c r="M304"/>
      <c r="N304"/>
      <c r="O304"/>
    </row>
    <row r="305" spans="6:15">
      <c r="F305"/>
      <c r="G305"/>
      <c r="H305"/>
      <c r="I305"/>
      <c r="J305"/>
      <c r="K305"/>
      <c r="L305"/>
      <c r="M305"/>
      <c r="N305"/>
      <c r="O305"/>
    </row>
    <row r="306" spans="6:15">
      <c r="F306"/>
      <c r="G306"/>
      <c r="H306"/>
      <c r="I306"/>
      <c r="J306"/>
      <c r="K306"/>
      <c r="L306"/>
      <c r="M306"/>
      <c r="N306"/>
      <c r="O306"/>
    </row>
    <row r="307" spans="6:15">
      <c r="F307"/>
      <c r="G307"/>
      <c r="H307"/>
      <c r="I307"/>
      <c r="J307"/>
      <c r="K307"/>
      <c r="L307"/>
      <c r="M307"/>
      <c r="N307"/>
      <c r="O307"/>
    </row>
    <row r="308" spans="6:15">
      <c r="F308"/>
      <c r="G308"/>
      <c r="H308"/>
      <c r="I308"/>
      <c r="J308"/>
      <c r="K308"/>
      <c r="L308"/>
      <c r="M308"/>
      <c r="N308"/>
      <c r="O308"/>
    </row>
    <row r="309" spans="6:15">
      <c r="F309"/>
      <c r="G309"/>
      <c r="H309"/>
      <c r="I309"/>
      <c r="J309"/>
      <c r="K309"/>
      <c r="L309"/>
      <c r="M309"/>
      <c r="N309"/>
      <c r="O309"/>
    </row>
    <row r="310" spans="6:15">
      <c r="F310"/>
      <c r="G310"/>
      <c r="H310"/>
      <c r="I310"/>
      <c r="J310"/>
      <c r="K310"/>
      <c r="L310"/>
      <c r="M310"/>
      <c r="N310"/>
      <c r="O310"/>
    </row>
    <row r="311" spans="6:15">
      <c r="F311"/>
      <c r="G311"/>
      <c r="H311"/>
      <c r="I311"/>
      <c r="J311"/>
      <c r="K311"/>
      <c r="L311"/>
      <c r="M311"/>
      <c r="N311"/>
      <c r="O311"/>
    </row>
    <row r="312" spans="6:15">
      <c r="F312"/>
      <c r="G312"/>
      <c r="H312"/>
      <c r="I312"/>
      <c r="J312"/>
      <c r="K312"/>
      <c r="L312"/>
      <c r="M312"/>
      <c r="N312"/>
      <c r="O312"/>
    </row>
    <row r="313" spans="6:15">
      <c r="F313"/>
      <c r="G313"/>
      <c r="H313"/>
      <c r="I313"/>
      <c r="J313"/>
      <c r="K313"/>
      <c r="L313"/>
      <c r="M313"/>
      <c r="N313"/>
      <c r="O313"/>
    </row>
    <row r="314" spans="6:15">
      <c r="F314"/>
      <c r="G314"/>
      <c r="H314"/>
      <c r="I314"/>
      <c r="J314"/>
      <c r="K314"/>
      <c r="L314"/>
      <c r="M314"/>
      <c r="N314"/>
      <c r="O314"/>
    </row>
    <row r="315" spans="6:15">
      <c r="F315"/>
      <c r="G315"/>
      <c r="H315"/>
      <c r="I315"/>
      <c r="J315"/>
      <c r="K315"/>
      <c r="L315"/>
      <c r="M315"/>
      <c r="N315"/>
      <c r="O315"/>
    </row>
    <row r="316" spans="6:15">
      <c r="F316"/>
      <c r="G316"/>
      <c r="H316"/>
      <c r="I316"/>
      <c r="J316"/>
      <c r="K316"/>
      <c r="L316"/>
      <c r="M316"/>
      <c r="N316"/>
      <c r="O316"/>
    </row>
    <row r="317" spans="6:15">
      <c r="F317"/>
      <c r="G317"/>
      <c r="H317"/>
      <c r="I317"/>
      <c r="J317"/>
      <c r="K317"/>
      <c r="L317"/>
      <c r="M317"/>
      <c r="N317"/>
      <c r="O317"/>
    </row>
    <row r="318" spans="6:15">
      <c r="F318"/>
      <c r="G318"/>
      <c r="H318"/>
      <c r="I318"/>
      <c r="J318"/>
      <c r="K318"/>
      <c r="L318"/>
      <c r="M318"/>
      <c r="N318"/>
      <c r="O318"/>
    </row>
    <row r="319" spans="6:15">
      <c r="F319"/>
      <c r="G319"/>
      <c r="H319"/>
      <c r="I319"/>
      <c r="J319"/>
      <c r="K319"/>
      <c r="L319"/>
      <c r="M319"/>
      <c r="N319"/>
      <c r="O319"/>
    </row>
    <row r="320" spans="6:15">
      <c r="F320"/>
      <c r="G320"/>
      <c r="H320"/>
      <c r="I320"/>
      <c r="J320"/>
      <c r="K320"/>
      <c r="L320"/>
      <c r="M320"/>
      <c r="N320"/>
      <c r="O320"/>
    </row>
    <row r="321" spans="6:15">
      <c r="F321"/>
      <c r="G321"/>
      <c r="H321"/>
      <c r="I321"/>
      <c r="J321"/>
      <c r="K321"/>
      <c r="L321"/>
      <c r="M321"/>
      <c r="N321"/>
      <c r="O321"/>
    </row>
    <row r="322" spans="6:15">
      <c r="F322"/>
      <c r="G322"/>
      <c r="H322"/>
      <c r="I322"/>
      <c r="J322"/>
      <c r="K322"/>
      <c r="L322"/>
      <c r="M322"/>
      <c r="N322"/>
      <c r="O322"/>
    </row>
    <row r="323" spans="6:15">
      <c r="F323"/>
      <c r="G323"/>
      <c r="H323"/>
      <c r="I323"/>
      <c r="J323"/>
      <c r="K323"/>
      <c r="L323"/>
      <c r="M323"/>
      <c r="N323"/>
      <c r="O323"/>
    </row>
    <row r="324" spans="6:15">
      <c r="F324"/>
      <c r="G324"/>
      <c r="H324"/>
      <c r="I324"/>
      <c r="J324"/>
      <c r="K324"/>
      <c r="L324"/>
      <c r="M324"/>
      <c r="N324"/>
      <c r="O324"/>
    </row>
    <row r="325" spans="6:15">
      <c r="F325"/>
      <c r="G325"/>
      <c r="H325"/>
      <c r="I325"/>
      <c r="J325"/>
      <c r="K325"/>
      <c r="L325"/>
      <c r="M325"/>
      <c r="N325"/>
      <c r="O325"/>
    </row>
    <row r="326" spans="6:15">
      <c r="F326"/>
      <c r="G326"/>
      <c r="H326"/>
      <c r="I326"/>
      <c r="J326"/>
      <c r="K326"/>
      <c r="L326"/>
      <c r="M326"/>
      <c r="N326"/>
      <c r="O326"/>
    </row>
    <row r="327" spans="6:15">
      <c r="F327"/>
      <c r="G327"/>
      <c r="H327"/>
      <c r="I327"/>
      <c r="J327"/>
      <c r="K327"/>
      <c r="L327"/>
      <c r="M327"/>
      <c r="N327"/>
      <c r="O327"/>
    </row>
    <row r="328" spans="6:15">
      <c r="F328"/>
      <c r="G328"/>
      <c r="H328"/>
      <c r="I328"/>
      <c r="J328"/>
      <c r="K328"/>
      <c r="L328"/>
      <c r="M328"/>
      <c r="N328"/>
      <c r="O328"/>
    </row>
    <row r="329" spans="6:15">
      <c r="F329"/>
      <c r="G329"/>
      <c r="H329"/>
      <c r="I329"/>
      <c r="J329"/>
      <c r="K329"/>
      <c r="L329"/>
      <c r="M329"/>
      <c r="N329"/>
      <c r="O329"/>
    </row>
    <row r="330" spans="6:15">
      <c r="F330"/>
      <c r="G330"/>
      <c r="H330"/>
      <c r="I330"/>
      <c r="J330"/>
      <c r="K330"/>
      <c r="L330"/>
      <c r="M330"/>
      <c r="N330"/>
      <c r="O330"/>
    </row>
    <row r="331" spans="6:15">
      <c r="F331"/>
      <c r="G331"/>
      <c r="H331"/>
      <c r="I331"/>
      <c r="J331"/>
      <c r="K331"/>
      <c r="L331"/>
      <c r="M331"/>
      <c r="N331"/>
      <c r="O331"/>
    </row>
    <row r="332" spans="6:15">
      <c r="F332"/>
      <c r="G332"/>
      <c r="H332"/>
      <c r="I332"/>
      <c r="J332"/>
      <c r="K332"/>
      <c r="L332"/>
      <c r="M332"/>
      <c r="N332"/>
      <c r="O332"/>
    </row>
    <row r="333" spans="6:15">
      <c r="F333"/>
      <c r="G333"/>
      <c r="H333"/>
      <c r="I333"/>
      <c r="J333"/>
      <c r="K333"/>
      <c r="L333"/>
      <c r="M333"/>
      <c r="N333"/>
      <c r="O333"/>
    </row>
    <row r="334" spans="6:15">
      <c r="F334"/>
      <c r="G334"/>
      <c r="H334"/>
      <c r="I334"/>
      <c r="J334"/>
      <c r="K334"/>
      <c r="L334"/>
      <c r="M334"/>
      <c r="N334"/>
      <c r="O334"/>
    </row>
    <row r="335" spans="6:15">
      <c r="F335"/>
      <c r="G335"/>
      <c r="H335"/>
      <c r="I335"/>
      <c r="J335"/>
      <c r="K335"/>
      <c r="L335"/>
      <c r="M335"/>
      <c r="N335"/>
      <c r="O335"/>
    </row>
    <row r="336" spans="6:15">
      <c r="F336"/>
      <c r="G336"/>
      <c r="H336"/>
      <c r="I336"/>
      <c r="J336"/>
      <c r="K336"/>
      <c r="L336"/>
      <c r="M336"/>
      <c r="N336"/>
      <c r="O336"/>
    </row>
    <row r="337" spans="6:15">
      <c r="F337"/>
      <c r="G337"/>
      <c r="H337"/>
      <c r="I337"/>
      <c r="J337"/>
      <c r="K337"/>
      <c r="L337"/>
      <c r="M337"/>
      <c r="N337"/>
      <c r="O337"/>
    </row>
    <row r="338" spans="6:15">
      <c r="F338"/>
      <c r="G338"/>
      <c r="H338"/>
      <c r="I338"/>
      <c r="J338"/>
      <c r="K338"/>
      <c r="L338"/>
      <c r="M338"/>
      <c r="N338"/>
      <c r="O338"/>
    </row>
    <row r="339" spans="6:15">
      <c r="F339"/>
      <c r="G339"/>
      <c r="H339"/>
      <c r="I339"/>
      <c r="J339"/>
      <c r="K339"/>
      <c r="L339"/>
      <c r="M339"/>
      <c r="N339"/>
      <c r="O339"/>
    </row>
    <row r="340" spans="6:15">
      <c r="F340"/>
      <c r="G340"/>
      <c r="H340"/>
      <c r="I340"/>
      <c r="J340"/>
      <c r="K340"/>
      <c r="L340"/>
      <c r="M340"/>
      <c r="N340"/>
      <c r="O340"/>
    </row>
    <row r="341" spans="6:15">
      <c r="F341"/>
      <c r="G341"/>
      <c r="H341"/>
      <c r="I341"/>
      <c r="J341"/>
      <c r="K341"/>
      <c r="L341"/>
      <c r="M341"/>
      <c r="N341"/>
      <c r="O341"/>
    </row>
    <row r="342" spans="6:15">
      <c r="F342"/>
      <c r="G342"/>
      <c r="H342"/>
      <c r="I342"/>
      <c r="J342"/>
      <c r="K342"/>
      <c r="L342"/>
      <c r="M342"/>
      <c r="N342"/>
      <c r="O342"/>
    </row>
    <row r="343" spans="6:15">
      <c r="F343"/>
      <c r="G343"/>
      <c r="H343"/>
      <c r="I343"/>
      <c r="J343"/>
      <c r="K343"/>
      <c r="L343"/>
      <c r="M343"/>
      <c r="N343"/>
      <c r="O343"/>
    </row>
    <row r="344" spans="6:15">
      <c r="F344"/>
      <c r="G344"/>
      <c r="H344"/>
      <c r="I344"/>
      <c r="J344"/>
      <c r="K344"/>
      <c r="L344"/>
      <c r="M344"/>
      <c r="N344"/>
      <c r="O344"/>
    </row>
    <row r="345" spans="6:15">
      <c r="F345"/>
      <c r="G345"/>
      <c r="H345"/>
      <c r="I345"/>
      <c r="J345"/>
      <c r="K345"/>
      <c r="L345"/>
      <c r="M345"/>
      <c r="N345"/>
      <c r="O345"/>
    </row>
    <row r="346" spans="6:15">
      <c r="F346"/>
      <c r="G346"/>
      <c r="H346"/>
      <c r="I346"/>
      <c r="J346"/>
      <c r="K346"/>
      <c r="L346"/>
      <c r="M346"/>
      <c r="N346"/>
      <c r="O346"/>
    </row>
    <row r="347" spans="6:15">
      <c r="F347"/>
      <c r="G347"/>
      <c r="H347"/>
      <c r="I347"/>
      <c r="J347"/>
      <c r="K347"/>
      <c r="L347"/>
      <c r="M347"/>
      <c r="N347"/>
      <c r="O347"/>
    </row>
    <row r="348" spans="6:15">
      <c r="F348"/>
      <c r="G348"/>
      <c r="H348"/>
      <c r="I348"/>
      <c r="J348"/>
      <c r="K348"/>
      <c r="L348"/>
      <c r="M348"/>
      <c r="N348"/>
      <c r="O348"/>
    </row>
    <row r="349" spans="6:15">
      <c r="F349"/>
      <c r="G349"/>
      <c r="H349"/>
      <c r="I349"/>
      <c r="J349"/>
      <c r="K349"/>
      <c r="L349"/>
      <c r="M349"/>
      <c r="N349"/>
      <c r="O349"/>
    </row>
    <row r="350" spans="6:15">
      <c r="F350"/>
      <c r="G350"/>
      <c r="H350"/>
      <c r="I350"/>
      <c r="J350"/>
      <c r="K350"/>
      <c r="L350"/>
      <c r="M350"/>
      <c r="N350"/>
      <c r="O350"/>
    </row>
    <row r="351" spans="6:15">
      <c r="F351"/>
      <c r="G351"/>
      <c r="H351"/>
      <c r="I351"/>
      <c r="J351"/>
      <c r="K351"/>
      <c r="L351"/>
      <c r="M351"/>
      <c r="N351"/>
      <c r="O351"/>
    </row>
    <row r="352" spans="6:15">
      <c r="F352"/>
      <c r="G352"/>
      <c r="H352"/>
      <c r="I352"/>
      <c r="J352"/>
      <c r="K352"/>
      <c r="L352"/>
      <c r="M352"/>
      <c r="N352"/>
      <c r="O352"/>
    </row>
    <row r="353" spans="6:15">
      <c r="F353"/>
      <c r="G353"/>
      <c r="H353"/>
      <c r="I353"/>
      <c r="J353"/>
      <c r="K353"/>
      <c r="L353"/>
      <c r="M353"/>
      <c r="N353"/>
      <c r="O353"/>
    </row>
    <row r="354" spans="6:15">
      <c r="F354"/>
      <c r="G354"/>
      <c r="H354"/>
      <c r="I354"/>
      <c r="J354"/>
      <c r="K354"/>
      <c r="L354"/>
      <c r="M354"/>
      <c r="N354"/>
      <c r="O354"/>
    </row>
    <row r="355" spans="6:15">
      <c r="F355"/>
      <c r="G355"/>
      <c r="H355"/>
      <c r="I355"/>
      <c r="J355"/>
      <c r="K355"/>
      <c r="L355"/>
      <c r="M355"/>
      <c r="N355"/>
      <c r="O355"/>
    </row>
    <row r="356" spans="6:15">
      <c r="F356"/>
      <c r="G356"/>
      <c r="H356"/>
      <c r="I356"/>
      <c r="J356"/>
      <c r="K356"/>
      <c r="L356"/>
      <c r="M356"/>
      <c r="N356"/>
      <c r="O356"/>
    </row>
    <row r="357" spans="6:15">
      <c r="F357"/>
      <c r="G357"/>
      <c r="H357"/>
      <c r="I357"/>
      <c r="J357"/>
      <c r="K357"/>
      <c r="L357"/>
      <c r="M357"/>
      <c r="N357"/>
      <c r="O357"/>
    </row>
    <row r="358" spans="6:15">
      <c r="F358"/>
      <c r="G358"/>
      <c r="H358"/>
      <c r="I358"/>
      <c r="J358"/>
      <c r="K358"/>
      <c r="L358"/>
      <c r="M358"/>
      <c r="N358"/>
      <c r="O358"/>
    </row>
    <row r="359" spans="6:15">
      <c r="F359"/>
      <c r="G359"/>
      <c r="H359"/>
      <c r="I359"/>
      <c r="J359"/>
      <c r="K359"/>
      <c r="L359"/>
      <c r="M359"/>
      <c r="N359"/>
      <c r="O359"/>
    </row>
    <row r="360" spans="6:15">
      <c r="F360"/>
      <c r="G360"/>
      <c r="H360"/>
      <c r="I360"/>
      <c r="J360"/>
      <c r="K360"/>
      <c r="L360"/>
      <c r="M360"/>
      <c r="N360"/>
      <c r="O360"/>
    </row>
    <row r="361" spans="6:15">
      <c r="F361"/>
      <c r="G361"/>
      <c r="H361"/>
      <c r="I361"/>
      <c r="J361"/>
      <c r="K361"/>
      <c r="L361"/>
      <c r="M361"/>
      <c r="N361"/>
      <c r="O361"/>
    </row>
    <row r="362" spans="6:15">
      <c r="F362"/>
      <c r="G362"/>
      <c r="H362"/>
      <c r="I362"/>
      <c r="J362"/>
      <c r="K362"/>
      <c r="L362"/>
      <c r="M362"/>
      <c r="N362"/>
      <c r="O362"/>
    </row>
    <row r="363" spans="6:15">
      <c r="F363"/>
      <c r="G363"/>
      <c r="H363"/>
      <c r="I363"/>
      <c r="J363"/>
      <c r="K363"/>
      <c r="L363"/>
      <c r="M363"/>
      <c r="N363"/>
      <c r="O363"/>
    </row>
    <row r="364" spans="6:15">
      <c r="F364"/>
      <c r="G364"/>
      <c r="H364"/>
      <c r="I364"/>
      <c r="J364"/>
      <c r="K364"/>
      <c r="L364"/>
      <c r="M364"/>
      <c r="N364"/>
      <c r="O364"/>
    </row>
    <row r="365" spans="6:15">
      <c r="F365"/>
      <c r="G365"/>
      <c r="H365"/>
      <c r="I365"/>
      <c r="J365"/>
      <c r="K365"/>
      <c r="L365"/>
      <c r="M365"/>
      <c r="N365"/>
      <c r="O365"/>
    </row>
    <row r="366" spans="6:15">
      <c r="F366"/>
      <c r="G366"/>
      <c r="H366"/>
      <c r="I366"/>
      <c r="J366"/>
      <c r="K366"/>
      <c r="L366"/>
      <c r="M366"/>
      <c r="N366"/>
      <c r="O366"/>
    </row>
    <row r="367" spans="6:15">
      <c r="F367"/>
      <c r="G367"/>
      <c r="H367"/>
      <c r="I367"/>
      <c r="J367"/>
      <c r="K367"/>
      <c r="L367"/>
      <c r="M367"/>
      <c r="N367"/>
      <c r="O367"/>
    </row>
    <row r="368" spans="6:15">
      <c r="F368"/>
      <c r="G368"/>
      <c r="H368"/>
      <c r="I368"/>
      <c r="J368"/>
      <c r="K368"/>
      <c r="L368"/>
      <c r="M368"/>
      <c r="N368"/>
      <c r="O368"/>
    </row>
    <row r="369" spans="6:15">
      <c r="F369"/>
      <c r="G369"/>
      <c r="H369"/>
      <c r="I369"/>
      <c r="J369"/>
      <c r="K369"/>
      <c r="L369"/>
      <c r="M369"/>
      <c r="N369"/>
      <c r="O369"/>
    </row>
    <row r="370" spans="6:15">
      <c r="F370"/>
      <c r="G370"/>
      <c r="H370"/>
      <c r="I370"/>
      <c r="J370"/>
      <c r="K370"/>
      <c r="L370"/>
      <c r="M370"/>
      <c r="N370"/>
      <c r="O370"/>
    </row>
    <row r="371" spans="6:15">
      <c r="F371"/>
      <c r="G371"/>
      <c r="H371"/>
      <c r="I371"/>
      <c r="J371"/>
      <c r="K371"/>
      <c r="L371"/>
      <c r="M371"/>
      <c r="N371"/>
      <c r="O371"/>
    </row>
    <row r="372" spans="6:15">
      <c r="F372"/>
      <c r="G372"/>
      <c r="H372"/>
      <c r="I372"/>
      <c r="J372"/>
      <c r="K372"/>
      <c r="L372"/>
      <c r="M372"/>
      <c r="N372"/>
      <c r="O372"/>
    </row>
    <row r="373" spans="6:15">
      <c r="F373"/>
      <c r="G373"/>
      <c r="H373"/>
      <c r="I373"/>
      <c r="J373"/>
      <c r="K373"/>
      <c r="L373"/>
      <c r="M373"/>
      <c r="N373"/>
      <c r="O373"/>
    </row>
    <row r="374" spans="6:15">
      <c r="F374"/>
      <c r="G374"/>
      <c r="H374"/>
      <c r="I374"/>
      <c r="J374"/>
      <c r="K374"/>
      <c r="L374"/>
      <c r="M374"/>
      <c r="N374"/>
      <c r="O374"/>
    </row>
    <row r="375" spans="6:15">
      <c r="F375"/>
      <c r="G375"/>
      <c r="H375"/>
      <c r="I375"/>
      <c r="J375"/>
      <c r="K375"/>
      <c r="L375"/>
      <c r="M375"/>
      <c r="N375"/>
      <c r="O375"/>
    </row>
    <row r="376" spans="6:15">
      <c r="F376"/>
      <c r="G376"/>
      <c r="H376"/>
      <c r="I376"/>
      <c r="J376"/>
      <c r="K376"/>
      <c r="L376"/>
      <c r="M376"/>
      <c r="N376"/>
      <c r="O376"/>
    </row>
    <row r="377" spans="6:15">
      <c r="F377"/>
      <c r="G377"/>
      <c r="H377"/>
      <c r="I377"/>
      <c r="J377"/>
      <c r="K377"/>
      <c r="L377"/>
      <c r="M377"/>
      <c r="N377"/>
      <c r="O377"/>
    </row>
    <row r="378" spans="6:15">
      <c r="F378"/>
      <c r="G378"/>
      <c r="H378"/>
      <c r="I378"/>
      <c r="J378"/>
      <c r="K378"/>
      <c r="L378"/>
      <c r="M378"/>
      <c r="N378"/>
      <c r="O378"/>
    </row>
    <row r="379" spans="6:15">
      <c r="F379"/>
      <c r="G379"/>
      <c r="H379"/>
      <c r="I379"/>
      <c r="J379"/>
      <c r="K379"/>
      <c r="L379"/>
      <c r="M379"/>
      <c r="N379"/>
      <c r="O379"/>
    </row>
    <row r="380" spans="6:15">
      <c r="F380"/>
      <c r="G380"/>
      <c r="H380"/>
      <c r="I380"/>
      <c r="J380"/>
      <c r="K380"/>
      <c r="L380"/>
      <c r="M380"/>
      <c r="N380"/>
      <c r="O380"/>
    </row>
    <row r="381" spans="6:15">
      <c r="F381"/>
      <c r="G381"/>
      <c r="H381"/>
      <c r="I381"/>
      <c r="J381"/>
      <c r="K381"/>
      <c r="L381"/>
      <c r="M381"/>
      <c r="N381"/>
      <c r="O381"/>
    </row>
    <row r="382" spans="6:15">
      <c r="F382"/>
      <c r="G382"/>
      <c r="H382"/>
      <c r="I382"/>
      <c r="J382"/>
      <c r="K382"/>
      <c r="L382"/>
      <c r="M382"/>
      <c r="N382"/>
      <c r="O382"/>
    </row>
    <row r="383" spans="6:15">
      <c r="F383"/>
      <c r="G383"/>
      <c r="H383"/>
      <c r="I383"/>
      <c r="J383"/>
      <c r="K383"/>
      <c r="L383"/>
      <c r="M383"/>
      <c r="N383"/>
      <c r="O383"/>
    </row>
    <row r="384" spans="6:15">
      <c r="F384"/>
      <c r="G384"/>
      <c r="H384"/>
      <c r="I384"/>
      <c r="J384"/>
      <c r="K384"/>
      <c r="L384"/>
      <c r="M384"/>
      <c r="N384"/>
      <c r="O384"/>
    </row>
    <row r="385" spans="6:15">
      <c r="F385"/>
      <c r="G385"/>
      <c r="H385"/>
      <c r="I385"/>
      <c r="J385"/>
      <c r="K385"/>
      <c r="L385"/>
      <c r="M385"/>
      <c r="N385"/>
      <c r="O385"/>
    </row>
    <row r="386" spans="6:15">
      <c r="F386"/>
      <c r="G386"/>
      <c r="H386"/>
      <c r="I386"/>
      <c r="J386"/>
      <c r="K386"/>
      <c r="L386"/>
      <c r="M386"/>
      <c r="N386"/>
      <c r="O386"/>
    </row>
    <row r="387" spans="6:15">
      <c r="F387"/>
      <c r="G387"/>
      <c r="H387"/>
      <c r="I387"/>
      <c r="J387"/>
      <c r="K387"/>
      <c r="L387"/>
      <c r="M387"/>
      <c r="N387"/>
      <c r="O387"/>
    </row>
    <row r="388" spans="6:15">
      <c r="F388"/>
      <c r="G388"/>
      <c r="H388"/>
      <c r="I388"/>
      <c r="J388"/>
      <c r="K388"/>
      <c r="L388"/>
      <c r="M388"/>
      <c r="N388"/>
      <c r="O388"/>
    </row>
    <row r="389" spans="6:15">
      <c r="F389"/>
      <c r="G389"/>
      <c r="H389"/>
      <c r="I389"/>
      <c r="J389"/>
      <c r="K389"/>
      <c r="L389"/>
      <c r="M389"/>
      <c r="N389"/>
      <c r="O389"/>
    </row>
    <row r="390" spans="6:15">
      <c r="F390"/>
      <c r="G390"/>
      <c r="H390"/>
      <c r="I390"/>
      <c r="J390"/>
      <c r="K390"/>
      <c r="L390"/>
      <c r="M390"/>
      <c r="N390"/>
      <c r="O390"/>
    </row>
    <row r="391" spans="6:15">
      <c r="F391"/>
      <c r="G391"/>
      <c r="H391"/>
      <c r="I391"/>
      <c r="J391"/>
      <c r="K391"/>
      <c r="L391"/>
      <c r="M391"/>
      <c r="N391"/>
      <c r="O391"/>
    </row>
    <row r="392" spans="6:15">
      <c r="F392"/>
      <c r="G392"/>
      <c r="H392"/>
      <c r="I392"/>
      <c r="J392"/>
      <c r="K392"/>
      <c r="L392"/>
      <c r="M392"/>
      <c r="N392"/>
      <c r="O392"/>
    </row>
    <row r="393" spans="6:15">
      <c r="F393"/>
      <c r="G393"/>
      <c r="H393"/>
      <c r="I393"/>
      <c r="J393"/>
      <c r="K393"/>
      <c r="L393"/>
      <c r="M393"/>
      <c r="N393"/>
      <c r="O393"/>
    </row>
    <row r="394" spans="6:15">
      <c r="F394"/>
      <c r="G394"/>
      <c r="H394"/>
      <c r="I394"/>
      <c r="J394"/>
      <c r="K394"/>
      <c r="L394"/>
      <c r="M394"/>
      <c r="N394"/>
      <c r="O394"/>
    </row>
    <row r="395" spans="6:15">
      <c r="F395"/>
      <c r="G395"/>
      <c r="H395"/>
      <c r="I395"/>
      <c r="J395"/>
      <c r="K395"/>
      <c r="L395"/>
      <c r="M395"/>
      <c r="N395"/>
      <c r="O395"/>
    </row>
    <row r="396" spans="6:15">
      <c r="F396"/>
      <c r="G396"/>
      <c r="H396"/>
      <c r="I396"/>
      <c r="J396"/>
      <c r="K396"/>
      <c r="L396"/>
      <c r="M396"/>
      <c r="N396"/>
      <c r="O396"/>
    </row>
    <row r="397" spans="6:15">
      <c r="F397"/>
      <c r="G397"/>
      <c r="H397"/>
      <c r="I397"/>
      <c r="J397"/>
      <c r="K397"/>
      <c r="L397"/>
      <c r="M397"/>
      <c r="N397"/>
      <c r="O397"/>
    </row>
    <row r="398" spans="6:15">
      <c r="F398"/>
      <c r="G398"/>
      <c r="H398"/>
      <c r="I398"/>
      <c r="J398"/>
      <c r="K398"/>
      <c r="L398"/>
      <c r="M398"/>
      <c r="N398"/>
      <c r="O398"/>
    </row>
    <row r="399" spans="6:15">
      <c r="F399"/>
      <c r="G399"/>
      <c r="H399"/>
      <c r="I399"/>
      <c r="J399"/>
      <c r="K399"/>
      <c r="L399"/>
      <c r="M399"/>
      <c r="N399"/>
      <c r="O399"/>
    </row>
    <row r="400" spans="6:15">
      <c r="F400"/>
      <c r="G400"/>
      <c r="H400"/>
      <c r="I400"/>
      <c r="J400"/>
      <c r="K400"/>
      <c r="L400"/>
      <c r="M400"/>
      <c r="N400"/>
      <c r="O400"/>
    </row>
    <row r="401" spans="6:15">
      <c r="F401"/>
      <c r="G401"/>
      <c r="H401"/>
      <c r="I401"/>
      <c r="J401"/>
      <c r="K401"/>
      <c r="L401"/>
      <c r="M401"/>
      <c r="N401"/>
      <c r="O401"/>
    </row>
    <row r="402" spans="6:15">
      <c r="F402"/>
      <c r="G402"/>
      <c r="H402"/>
      <c r="I402"/>
      <c r="J402"/>
      <c r="K402"/>
      <c r="L402"/>
      <c r="M402"/>
      <c r="N402"/>
      <c r="O402"/>
    </row>
    <row r="403" spans="6:15">
      <c r="F403"/>
      <c r="G403"/>
      <c r="H403"/>
      <c r="I403"/>
      <c r="J403"/>
      <c r="K403"/>
      <c r="L403"/>
      <c r="M403"/>
      <c r="N403"/>
      <c r="O403"/>
    </row>
    <row r="404" spans="6:15">
      <c r="F404"/>
      <c r="G404"/>
      <c r="H404"/>
      <c r="I404"/>
      <c r="J404"/>
      <c r="K404"/>
      <c r="L404"/>
      <c r="M404"/>
      <c r="N404"/>
      <c r="O404"/>
    </row>
    <row r="405" spans="6:15">
      <c r="F405"/>
      <c r="G405"/>
      <c r="H405"/>
      <c r="I405"/>
      <c r="J405"/>
      <c r="K405"/>
      <c r="L405"/>
      <c r="M405"/>
      <c r="N405"/>
      <c r="O405"/>
    </row>
    <row r="406" spans="6:15">
      <c r="F406"/>
      <c r="G406"/>
      <c r="H406"/>
      <c r="I406"/>
      <c r="J406"/>
      <c r="K406"/>
      <c r="L406"/>
      <c r="M406"/>
      <c r="N406"/>
      <c r="O406"/>
    </row>
    <row r="407" spans="6:15">
      <c r="F407"/>
      <c r="G407"/>
      <c r="H407"/>
      <c r="I407"/>
      <c r="J407"/>
      <c r="K407"/>
      <c r="L407"/>
      <c r="M407"/>
      <c r="N407"/>
      <c r="O407"/>
    </row>
    <row r="408" spans="6:15">
      <c r="F408"/>
      <c r="G408"/>
      <c r="H408"/>
      <c r="I408"/>
      <c r="J408"/>
      <c r="K408"/>
      <c r="L408"/>
      <c r="M408"/>
      <c r="N408"/>
      <c r="O408"/>
    </row>
    <row r="409" spans="6:15">
      <c r="F409"/>
      <c r="G409"/>
      <c r="H409"/>
      <c r="I409"/>
      <c r="J409"/>
      <c r="K409"/>
      <c r="L409"/>
      <c r="M409"/>
      <c r="N409"/>
      <c r="O409"/>
    </row>
    <row r="410" spans="6:15">
      <c r="F410"/>
      <c r="G410"/>
      <c r="H410"/>
      <c r="I410"/>
      <c r="J410"/>
      <c r="K410"/>
      <c r="L410"/>
      <c r="M410"/>
      <c r="N410"/>
      <c r="O410"/>
    </row>
    <row r="411" spans="6:15">
      <c r="F411"/>
      <c r="G411"/>
      <c r="H411"/>
      <c r="I411"/>
      <c r="J411"/>
      <c r="K411"/>
      <c r="L411"/>
      <c r="M411"/>
      <c r="N411"/>
      <c r="O411"/>
    </row>
    <row r="412" spans="6:15">
      <c r="F412"/>
      <c r="G412"/>
      <c r="H412"/>
      <c r="I412"/>
      <c r="J412"/>
      <c r="K412"/>
      <c r="L412"/>
      <c r="M412"/>
      <c r="N412"/>
      <c r="O412"/>
    </row>
    <row r="413" spans="6:15">
      <c r="F413"/>
      <c r="G413"/>
      <c r="H413"/>
      <c r="I413"/>
      <c r="J413"/>
      <c r="K413"/>
      <c r="L413"/>
      <c r="M413"/>
      <c r="N413"/>
      <c r="O413"/>
    </row>
    <row r="414" spans="6:15">
      <c r="F414"/>
      <c r="G414"/>
      <c r="H414"/>
      <c r="I414"/>
      <c r="J414"/>
      <c r="K414"/>
      <c r="L414"/>
      <c r="M414"/>
      <c r="N414"/>
      <c r="O414"/>
    </row>
    <row r="415" spans="6:15">
      <c r="F415"/>
      <c r="G415"/>
      <c r="H415"/>
      <c r="I415"/>
      <c r="J415"/>
      <c r="K415"/>
      <c r="L415"/>
      <c r="M415"/>
      <c r="N415"/>
      <c r="O415"/>
    </row>
    <row r="416" spans="6:15">
      <c r="F416"/>
      <c r="G416"/>
      <c r="H416"/>
      <c r="I416"/>
      <c r="J416"/>
      <c r="K416"/>
      <c r="L416"/>
      <c r="M416"/>
      <c r="N416"/>
      <c r="O416"/>
    </row>
    <row r="417" spans="6:15">
      <c r="F417"/>
      <c r="G417"/>
      <c r="H417"/>
      <c r="I417"/>
      <c r="J417"/>
      <c r="K417"/>
      <c r="L417"/>
      <c r="M417"/>
      <c r="N417"/>
      <c r="O417"/>
    </row>
    <row r="418" spans="6:15">
      <c r="F418"/>
      <c r="G418"/>
      <c r="H418"/>
      <c r="I418"/>
      <c r="J418"/>
      <c r="K418"/>
      <c r="L418"/>
      <c r="M418"/>
      <c r="N418"/>
      <c r="O418"/>
    </row>
    <row r="419" spans="6:15">
      <c r="F419"/>
      <c r="G419"/>
      <c r="H419"/>
      <c r="I419"/>
      <c r="J419"/>
      <c r="K419"/>
      <c r="L419"/>
      <c r="M419"/>
      <c r="N419"/>
      <c r="O419"/>
    </row>
    <row r="420" spans="6:15">
      <c r="F420"/>
      <c r="G420"/>
      <c r="H420"/>
      <c r="I420"/>
      <c r="J420"/>
      <c r="K420"/>
      <c r="L420"/>
      <c r="M420"/>
      <c r="N420"/>
      <c r="O420"/>
    </row>
    <row r="421" spans="6:15">
      <c r="F421"/>
      <c r="G421"/>
      <c r="H421"/>
      <c r="I421"/>
      <c r="J421"/>
      <c r="K421"/>
      <c r="L421"/>
      <c r="M421"/>
      <c r="N421"/>
      <c r="O421"/>
    </row>
    <row r="422" spans="6:15">
      <c r="F422"/>
      <c r="G422"/>
      <c r="H422"/>
      <c r="I422"/>
      <c r="J422"/>
      <c r="K422"/>
      <c r="L422"/>
      <c r="M422"/>
      <c r="N422"/>
      <c r="O422"/>
    </row>
    <row r="423" spans="6:15">
      <c r="F423"/>
      <c r="G423"/>
      <c r="H423"/>
      <c r="I423"/>
      <c r="J423"/>
      <c r="K423"/>
      <c r="L423"/>
      <c r="M423"/>
      <c r="N423"/>
      <c r="O423"/>
    </row>
    <row r="424" spans="6:15">
      <c r="F424"/>
      <c r="G424"/>
      <c r="H424"/>
      <c r="I424"/>
      <c r="J424"/>
      <c r="K424"/>
      <c r="L424"/>
      <c r="M424"/>
      <c r="N424"/>
      <c r="O424"/>
    </row>
    <row r="425" spans="6:15">
      <c r="F425"/>
      <c r="G425"/>
      <c r="H425"/>
      <c r="I425"/>
      <c r="J425"/>
      <c r="K425"/>
      <c r="L425"/>
      <c r="M425"/>
      <c r="N425"/>
      <c r="O425"/>
    </row>
    <row r="426" spans="6:15">
      <c r="F426"/>
      <c r="G426"/>
      <c r="H426"/>
      <c r="I426"/>
      <c r="J426"/>
      <c r="K426"/>
      <c r="L426"/>
      <c r="M426"/>
      <c r="N426"/>
      <c r="O426"/>
    </row>
    <row r="427" spans="6:15">
      <c r="F427"/>
      <c r="G427"/>
      <c r="H427"/>
      <c r="I427"/>
      <c r="J427"/>
      <c r="K427"/>
      <c r="L427"/>
      <c r="M427"/>
      <c r="N427"/>
      <c r="O427"/>
    </row>
    <row r="428" spans="6:15">
      <c r="F428"/>
      <c r="G428"/>
      <c r="H428"/>
      <c r="I428"/>
      <c r="J428"/>
      <c r="K428"/>
      <c r="L428"/>
      <c r="M428"/>
      <c r="N428"/>
      <c r="O428"/>
    </row>
    <row r="429" spans="6:15">
      <c r="F429"/>
      <c r="G429"/>
      <c r="H429"/>
      <c r="I429"/>
      <c r="J429"/>
      <c r="K429"/>
      <c r="L429"/>
      <c r="M429"/>
      <c r="N429"/>
      <c r="O429"/>
    </row>
    <row r="430" spans="6:15">
      <c r="F430"/>
      <c r="G430"/>
      <c r="H430"/>
      <c r="I430"/>
      <c r="J430"/>
      <c r="K430"/>
      <c r="L430"/>
      <c r="M430"/>
      <c r="N430"/>
      <c r="O430"/>
    </row>
    <row r="431" spans="6:15">
      <c r="F431"/>
      <c r="G431"/>
      <c r="H431"/>
      <c r="I431"/>
      <c r="J431"/>
      <c r="K431"/>
      <c r="L431"/>
      <c r="M431"/>
      <c r="N431"/>
      <c r="O431"/>
    </row>
    <row r="432" spans="6:15">
      <c r="F432"/>
      <c r="G432"/>
      <c r="H432"/>
      <c r="I432"/>
      <c r="J432"/>
      <c r="K432"/>
      <c r="L432"/>
      <c r="M432"/>
      <c r="N432"/>
      <c r="O432"/>
    </row>
    <row r="433" spans="6:15">
      <c r="F433"/>
      <c r="G433"/>
      <c r="H433"/>
      <c r="I433"/>
      <c r="J433"/>
      <c r="K433"/>
      <c r="L433"/>
      <c r="M433"/>
      <c r="N433"/>
      <c r="O433"/>
    </row>
    <row r="434" spans="6:15">
      <c r="F434"/>
      <c r="G434"/>
      <c r="H434"/>
      <c r="I434"/>
      <c r="J434"/>
      <c r="K434"/>
      <c r="L434"/>
      <c r="M434"/>
      <c r="N434"/>
      <c r="O434"/>
    </row>
    <row r="435" spans="6:15">
      <c r="F435"/>
      <c r="G435"/>
      <c r="H435"/>
      <c r="I435"/>
      <c r="J435"/>
      <c r="K435"/>
      <c r="L435"/>
      <c r="M435"/>
      <c r="N435"/>
      <c r="O435"/>
    </row>
    <row r="436" spans="6:15">
      <c r="F436"/>
      <c r="G436"/>
      <c r="H436"/>
      <c r="I436"/>
      <c r="J436"/>
      <c r="K436"/>
      <c r="L436"/>
      <c r="M436"/>
      <c r="N436"/>
      <c r="O436"/>
    </row>
    <row r="437" spans="6:15">
      <c r="F437"/>
      <c r="G437"/>
      <c r="H437"/>
      <c r="I437"/>
      <c r="J437"/>
      <c r="K437"/>
      <c r="L437"/>
      <c r="M437"/>
      <c r="N437"/>
      <c r="O437"/>
    </row>
    <row r="438" spans="6:15">
      <c r="F438"/>
      <c r="G438"/>
      <c r="H438"/>
      <c r="I438"/>
      <c r="J438"/>
      <c r="K438"/>
      <c r="L438"/>
      <c r="M438"/>
      <c r="N438"/>
      <c r="O438"/>
    </row>
    <row r="439" spans="6:15">
      <c r="F439"/>
      <c r="G439"/>
      <c r="H439"/>
      <c r="I439"/>
      <c r="J439"/>
      <c r="K439"/>
      <c r="L439"/>
      <c r="M439"/>
      <c r="N439"/>
      <c r="O439"/>
    </row>
    <row r="440" spans="6:15">
      <c r="F440"/>
      <c r="G440"/>
      <c r="H440"/>
      <c r="I440"/>
      <c r="J440"/>
      <c r="K440"/>
      <c r="L440"/>
      <c r="M440"/>
      <c r="N440"/>
      <c r="O440"/>
    </row>
    <row r="441" spans="6:15">
      <c r="F441"/>
      <c r="G441"/>
      <c r="H441"/>
      <c r="I441"/>
      <c r="J441"/>
      <c r="K441"/>
      <c r="L441"/>
      <c r="M441"/>
      <c r="N441"/>
      <c r="O441"/>
    </row>
    <row r="442" spans="6:15">
      <c r="F442"/>
      <c r="G442"/>
      <c r="H442"/>
      <c r="I442"/>
      <c r="J442"/>
      <c r="K442"/>
      <c r="L442"/>
      <c r="M442"/>
      <c r="N442"/>
      <c r="O442"/>
    </row>
    <row r="443" spans="6:15">
      <c r="F443"/>
      <c r="G443"/>
      <c r="H443"/>
      <c r="I443"/>
      <c r="J443"/>
      <c r="K443"/>
      <c r="L443"/>
      <c r="M443"/>
      <c r="N443"/>
      <c r="O443"/>
    </row>
    <row r="444" spans="6:15">
      <c r="F444"/>
      <c r="G444"/>
      <c r="H444"/>
      <c r="I444"/>
      <c r="J444"/>
      <c r="K444"/>
      <c r="L444"/>
      <c r="M444"/>
      <c r="N444"/>
      <c r="O444"/>
    </row>
    <row r="445" spans="6:15">
      <c r="F445"/>
      <c r="G445"/>
      <c r="H445"/>
      <c r="I445"/>
      <c r="J445"/>
      <c r="K445"/>
      <c r="L445"/>
      <c r="M445"/>
      <c r="N445"/>
      <c r="O445"/>
    </row>
    <row r="446" spans="6:15">
      <c r="F446"/>
      <c r="G446"/>
      <c r="H446"/>
      <c r="I446"/>
      <c r="J446"/>
      <c r="K446"/>
      <c r="L446"/>
      <c r="M446"/>
      <c r="N446"/>
      <c r="O446"/>
    </row>
    <row r="447" spans="6:15">
      <c r="F447"/>
      <c r="G447"/>
      <c r="H447"/>
      <c r="I447"/>
      <c r="J447"/>
      <c r="K447"/>
      <c r="L447"/>
      <c r="M447"/>
      <c r="N447"/>
      <c r="O447"/>
    </row>
    <row r="448" spans="6:15">
      <c r="F448"/>
      <c r="G448"/>
      <c r="H448"/>
      <c r="I448"/>
      <c r="J448"/>
      <c r="K448"/>
      <c r="L448"/>
      <c r="M448"/>
      <c r="N448"/>
      <c r="O448"/>
    </row>
    <row r="449" spans="6:15">
      <c r="F449"/>
      <c r="G449"/>
      <c r="H449"/>
      <c r="I449"/>
      <c r="J449"/>
      <c r="K449"/>
      <c r="L449"/>
      <c r="M449"/>
      <c r="N449"/>
      <c r="O449"/>
    </row>
    <row r="450" spans="6:15">
      <c r="F450"/>
      <c r="G450"/>
      <c r="H450"/>
      <c r="I450"/>
      <c r="J450"/>
      <c r="K450"/>
      <c r="L450"/>
      <c r="M450"/>
      <c r="N450"/>
      <c r="O450"/>
    </row>
    <row r="451" spans="6:15">
      <c r="F451"/>
      <c r="G451"/>
      <c r="H451"/>
      <c r="I451"/>
      <c r="J451"/>
      <c r="K451"/>
      <c r="L451"/>
      <c r="M451"/>
      <c r="N451"/>
      <c r="O451"/>
    </row>
    <row r="452" spans="6:15">
      <c r="F452"/>
      <c r="G452"/>
      <c r="H452"/>
      <c r="I452"/>
      <c r="J452"/>
      <c r="K452"/>
      <c r="L452"/>
      <c r="M452"/>
      <c r="N452"/>
      <c r="O452"/>
    </row>
    <row r="453" spans="6:15">
      <c r="F453"/>
      <c r="G453"/>
      <c r="H453"/>
      <c r="I453"/>
      <c r="J453"/>
      <c r="K453"/>
      <c r="L453"/>
      <c r="M453"/>
      <c r="N453"/>
      <c r="O453"/>
    </row>
    <row r="454" spans="6:15">
      <c r="F454"/>
      <c r="G454"/>
      <c r="H454"/>
      <c r="I454"/>
      <c r="J454"/>
      <c r="K454"/>
      <c r="L454"/>
      <c r="M454"/>
      <c r="N454"/>
      <c r="O454"/>
    </row>
    <row r="455" spans="6:15">
      <c r="F455"/>
      <c r="G455"/>
      <c r="H455"/>
      <c r="I455"/>
      <c r="J455"/>
      <c r="K455"/>
      <c r="L455"/>
      <c r="M455"/>
      <c r="N455"/>
      <c r="O455"/>
    </row>
    <row r="456" spans="6:15">
      <c r="F456"/>
      <c r="G456"/>
      <c r="H456"/>
      <c r="I456"/>
      <c r="J456"/>
      <c r="K456"/>
      <c r="L456"/>
      <c r="M456"/>
      <c r="N456"/>
      <c r="O456"/>
    </row>
    <row r="457" spans="6:15">
      <c r="F457"/>
      <c r="G457"/>
      <c r="H457"/>
      <c r="I457"/>
      <c r="J457"/>
      <c r="K457"/>
      <c r="L457"/>
      <c r="M457"/>
      <c r="N457"/>
      <c r="O457"/>
    </row>
    <row r="458" spans="6:15">
      <c r="F458"/>
      <c r="G458"/>
      <c r="H458"/>
      <c r="I458"/>
      <c r="J458"/>
      <c r="K458"/>
      <c r="L458"/>
      <c r="M458"/>
      <c r="N458"/>
      <c r="O458"/>
    </row>
    <row r="459" spans="6:15">
      <c r="F459"/>
      <c r="G459"/>
      <c r="H459"/>
      <c r="I459"/>
      <c r="J459"/>
      <c r="K459"/>
      <c r="L459"/>
      <c r="M459"/>
      <c r="N459"/>
      <c r="O459"/>
    </row>
    <row r="460" spans="6:15">
      <c r="F460"/>
      <c r="G460"/>
      <c r="H460"/>
      <c r="I460"/>
      <c r="J460"/>
      <c r="K460"/>
      <c r="L460"/>
      <c r="M460"/>
      <c r="N460"/>
      <c r="O460"/>
    </row>
    <row r="461" spans="6:15">
      <c r="F461"/>
      <c r="G461"/>
      <c r="H461"/>
      <c r="I461"/>
      <c r="J461"/>
      <c r="K461"/>
      <c r="L461"/>
      <c r="M461"/>
      <c r="N461"/>
      <c r="O461"/>
    </row>
    <row r="462" spans="6:15">
      <c r="F462"/>
      <c r="G462"/>
      <c r="H462"/>
      <c r="I462"/>
      <c r="J462"/>
      <c r="K462"/>
      <c r="L462"/>
      <c r="M462"/>
      <c r="N462"/>
      <c r="O462"/>
    </row>
    <row r="463" spans="6:15">
      <c r="F463"/>
      <c r="G463"/>
      <c r="H463"/>
      <c r="I463"/>
      <c r="J463"/>
      <c r="K463"/>
      <c r="L463"/>
      <c r="M463"/>
      <c r="N463"/>
      <c r="O463"/>
    </row>
    <row r="464" spans="6:15">
      <c r="F464"/>
      <c r="G464"/>
      <c r="H464"/>
      <c r="I464"/>
      <c r="J464"/>
      <c r="K464"/>
      <c r="L464"/>
      <c r="M464"/>
      <c r="N464"/>
      <c r="O464"/>
    </row>
    <row r="465" spans="6:15">
      <c r="F465"/>
      <c r="G465"/>
      <c r="H465"/>
      <c r="I465"/>
      <c r="J465"/>
      <c r="K465"/>
      <c r="L465"/>
      <c r="M465"/>
      <c r="N465"/>
      <c r="O465"/>
    </row>
    <row r="466" spans="6:15">
      <c r="F466"/>
      <c r="G466"/>
      <c r="H466"/>
      <c r="I466"/>
      <c r="J466"/>
      <c r="K466"/>
      <c r="L466"/>
      <c r="M466"/>
      <c r="N466"/>
      <c r="O466"/>
    </row>
    <row r="467" spans="6:15">
      <c r="F467"/>
      <c r="G467"/>
      <c r="H467"/>
      <c r="I467"/>
      <c r="J467"/>
      <c r="K467"/>
      <c r="L467"/>
      <c r="M467"/>
      <c r="N467"/>
      <c r="O467"/>
    </row>
    <row r="468" spans="6:15">
      <c r="F468"/>
      <c r="G468"/>
      <c r="H468"/>
      <c r="I468"/>
      <c r="J468"/>
      <c r="K468"/>
      <c r="L468"/>
      <c r="M468"/>
      <c r="N468"/>
      <c r="O468"/>
    </row>
    <row r="469" spans="6:15">
      <c r="F469"/>
      <c r="G469"/>
      <c r="H469"/>
      <c r="I469"/>
      <c r="J469"/>
      <c r="K469"/>
      <c r="L469"/>
      <c r="M469"/>
      <c r="N469"/>
      <c r="O469"/>
    </row>
    <row r="470" spans="6:15">
      <c r="F470"/>
      <c r="G470"/>
      <c r="H470"/>
      <c r="I470"/>
      <c r="J470"/>
      <c r="K470"/>
      <c r="L470"/>
      <c r="M470"/>
      <c r="N470"/>
      <c r="O470"/>
    </row>
    <row r="471" spans="6:15">
      <c r="F471"/>
      <c r="G471"/>
      <c r="H471"/>
      <c r="I471"/>
      <c r="J471"/>
      <c r="K471"/>
      <c r="L471"/>
      <c r="M471"/>
      <c r="N471"/>
      <c r="O471"/>
    </row>
    <row r="472" spans="6:15">
      <c r="F472"/>
      <c r="G472"/>
      <c r="H472"/>
      <c r="I472"/>
      <c r="J472"/>
      <c r="K472"/>
      <c r="L472"/>
      <c r="M472"/>
      <c r="N472"/>
      <c r="O472"/>
    </row>
    <row r="473" spans="6:15">
      <c r="F473"/>
      <c r="G473"/>
      <c r="H473"/>
      <c r="I473"/>
      <c r="J473"/>
      <c r="K473"/>
      <c r="L473"/>
      <c r="M473"/>
      <c r="N473"/>
      <c r="O473"/>
    </row>
    <row r="474" spans="6:15">
      <c r="F474"/>
      <c r="G474"/>
      <c r="H474"/>
      <c r="I474"/>
      <c r="J474"/>
      <c r="K474"/>
      <c r="L474"/>
      <c r="M474"/>
      <c r="N474"/>
      <c r="O474"/>
    </row>
    <row r="475" spans="6:15">
      <c r="F475"/>
      <c r="G475"/>
      <c r="H475"/>
      <c r="I475"/>
      <c r="J475"/>
      <c r="K475"/>
      <c r="L475"/>
      <c r="M475"/>
      <c r="N475"/>
      <c r="O475"/>
    </row>
    <row r="476" spans="6:15">
      <c r="F476"/>
      <c r="G476"/>
      <c r="H476"/>
      <c r="I476"/>
      <c r="J476"/>
      <c r="K476"/>
      <c r="L476"/>
      <c r="M476"/>
      <c r="N476"/>
      <c r="O476"/>
    </row>
    <row r="477" spans="6:15">
      <c r="F477"/>
      <c r="G477"/>
      <c r="H477"/>
      <c r="I477"/>
      <c r="J477"/>
      <c r="K477"/>
      <c r="L477"/>
      <c r="M477"/>
      <c r="N477"/>
      <c r="O477"/>
    </row>
    <row r="478" spans="6:15">
      <c r="F478"/>
      <c r="G478"/>
      <c r="H478"/>
      <c r="I478"/>
      <c r="J478"/>
      <c r="K478"/>
      <c r="L478"/>
      <c r="M478"/>
      <c r="N478"/>
      <c r="O478"/>
    </row>
    <row r="479" spans="6:15">
      <c r="F479"/>
      <c r="G479"/>
      <c r="H479"/>
      <c r="I479"/>
      <c r="J479"/>
      <c r="K479"/>
      <c r="L479"/>
      <c r="M479"/>
      <c r="N479"/>
      <c r="O479"/>
    </row>
    <row r="480" spans="6:15">
      <c r="F480"/>
      <c r="G480"/>
      <c r="H480"/>
      <c r="I480"/>
      <c r="J480"/>
      <c r="K480"/>
      <c r="L480"/>
      <c r="M480"/>
      <c r="N480"/>
      <c r="O480"/>
    </row>
    <row r="481" spans="6:15">
      <c r="F481"/>
      <c r="G481"/>
      <c r="H481"/>
      <c r="I481"/>
      <c r="J481"/>
      <c r="K481"/>
      <c r="L481"/>
      <c r="M481"/>
      <c r="N481"/>
      <c r="O481"/>
    </row>
    <row r="482" spans="6:15">
      <c r="F482"/>
      <c r="G482"/>
      <c r="H482"/>
      <c r="I482"/>
      <c r="J482"/>
      <c r="K482"/>
      <c r="L482"/>
      <c r="M482"/>
      <c r="N482"/>
      <c r="O482"/>
    </row>
    <row r="483" spans="6:15">
      <c r="F483"/>
      <c r="G483"/>
      <c r="H483"/>
      <c r="I483"/>
      <c r="J483"/>
      <c r="K483"/>
      <c r="L483"/>
      <c r="M483"/>
      <c r="N483"/>
      <c r="O483"/>
    </row>
    <row r="484" spans="6:15">
      <c r="F484"/>
      <c r="G484"/>
      <c r="H484"/>
      <c r="I484"/>
      <c r="J484"/>
      <c r="K484"/>
      <c r="L484"/>
      <c r="M484"/>
      <c r="N484"/>
      <c r="O484"/>
    </row>
    <row r="485" spans="6:15">
      <c r="F485"/>
      <c r="G485"/>
      <c r="H485"/>
      <c r="I485"/>
      <c r="J485"/>
      <c r="K485"/>
      <c r="L485"/>
      <c r="M485"/>
      <c r="N485"/>
      <c r="O485"/>
    </row>
    <row r="486" spans="6:15">
      <c r="F486"/>
      <c r="G486"/>
      <c r="H486"/>
      <c r="I486"/>
      <c r="J486"/>
      <c r="K486"/>
      <c r="L486"/>
      <c r="M486"/>
      <c r="N486"/>
      <c r="O486"/>
    </row>
    <row r="487" spans="6:15">
      <c r="F487"/>
      <c r="G487"/>
      <c r="H487"/>
      <c r="I487"/>
      <c r="J487"/>
      <c r="K487"/>
      <c r="L487"/>
      <c r="M487"/>
      <c r="N487"/>
      <c r="O487"/>
    </row>
    <row r="488" spans="6:15">
      <c r="F488"/>
      <c r="G488"/>
      <c r="H488"/>
      <c r="I488"/>
      <c r="J488"/>
      <c r="K488"/>
      <c r="L488"/>
      <c r="M488"/>
      <c r="N488"/>
      <c r="O488"/>
    </row>
    <row r="489" spans="6:15">
      <c r="F489"/>
      <c r="G489"/>
      <c r="H489"/>
      <c r="I489"/>
      <c r="J489"/>
      <c r="K489"/>
      <c r="L489"/>
      <c r="M489"/>
      <c r="N489"/>
      <c r="O489"/>
    </row>
    <row r="490" spans="6:15">
      <c r="F490"/>
      <c r="G490"/>
      <c r="H490"/>
      <c r="I490"/>
      <c r="J490"/>
      <c r="K490"/>
      <c r="L490"/>
      <c r="M490"/>
      <c r="N490"/>
      <c r="O490"/>
    </row>
    <row r="491" spans="6:15">
      <c r="F491"/>
      <c r="G491"/>
      <c r="H491"/>
      <c r="I491"/>
      <c r="J491"/>
      <c r="K491"/>
      <c r="L491"/>
      <c r="M491"/>
      <c r="N491"/>
      <c r="O491"/>
    </row>
    <row r="492" spans="6:15">
      <c r="F492"/>
      <c r="G492"/>
      <c r="H492"/>
      <c r="I492"/>
      <c r="J492"/>
      <c r="K492"/>
      <c r="L492"/>
      <c r="M492"/>
      <c r="N492"/>
      <c r="O492"/>
    </row>
    <row r="493" spans="6:15">
      <c r="F493"/>
      <c r="G493"/>
      <c r="H493"/>
      <c r="I493"/>
      <c r="J493"/>
      <c r="K493"/>
      <c r="L493"/>
      <c r="M493"/>
      <c r="N493"/>
      <c r="O493"/>
    </row>
    <row r="494" spans="6:15">
      <c r="F494"/>
      <c r="G494"/>
      <c r="H494"/>
      <c r="I494"/>
      <c r="J494"/>
      <c r="K494"/>
      <c r="L494"/>
      <c r="M494"/>
      <c r="N494"/>
      <c r="O494"/>
    </row>
    <row r="495" spans="6:15">
      <c r="F495"/>
      <c r="G495"/>
      <c r="H495"/>
      <c r="I495"/>
      <c r="J495"/>
      <c r="K495"/>
      <c r="L495"/>
      <c r="M495"/>
      <c r="N495"/>
      <c r="O495"/>
    </row>
    <row r="496" spans="6:15">
      <c r="F496"/>
      <c r="G496"/>
      <c r="H496"/>
      <c r="I496"/>
      <c r="J496"/>
      <c r="K496"/>
      <c r="L496"/>
      <c r="M496"/>
      <c r="N496"/>
      <c r="O496"/>
    </row>
    <row r="497" spans="6:15">
      <c r="F497"/>
      <c r="G497"/>
      <c r="H497"/>
      <c r="I497"/>
      <c r="J497"/>
      <c r="K497"/>
      <c r="L497"/>
      <c r="M497"/>
      <c r="N497"/>
      <c r="O497"/>
    </row>
    <row r="498" spans="6:15">
      <c r="F498"/>
      <c r="G498"/>
      <c r="H498"/>
      <c r="I498"/>
      <c r="J498"/>
      <c r="K498"/>
      <c r="L498"/>
      <c r="M498"/>
      <c r="N498"/>
      <c r="O498"/>
    </row>
    <row r="499" spans="6:15">
      <c r="F499"/>
      <c r="G499"/>
      <c r="H499"/>
      <c r="I499"/>
      <c r="J499"/>
      <c r="K499"/>
      <c r="L499"/>
      <c r="M499"/>
      <c r="N499"/>
      <c r="O499"/>
    </row>
    <row r="500" spans="6:15">
      <c r="F500"/>
      <c r="G500"/>
      <c r="H500"/>
      <c r="I500"/>
      <c r="J500"/>
      <c r="K500"/>
      <c r="L500"/>
      <c r="M500"/>
      <c r="N500"/>
      <c r="O500"/>
    </row>
    <row r="501" spans="6:15">
      <c r="F501"/>
      <c r="G501"/>
      <c r="H501"/>
      <c r="I501"/>
      <c r="J501"/>
      <c r="K501"/>
      <c r="L501"/>
      <c r="M501"/>
      <c r="N501"/>
      <c r="O501"/>
    </row>
    <row r="502" spans="6:15">
      <c r="F502"/>
      <c r="G502"/>
      <c r="H502"/>
      <c r="I502"/>
      <c r="J502"/>
      <c r="K502"/>
      <c r="L502"/>
      <c r="M502"/>
      <c r="N502"/>
      <c r="O502"/>
    </row>
    <row r="503" spans="6:15">
      <c r="F503"/>
      <c r="G503"/>
      <c r="H503"/>
      <c r="I503"/>
      <c r="J503"/>
      <c r="K503"/>
      <c r="L503"/>
      <c r="M503"/>
      <c r="N503"/>
      <c r="O503"/>
    </row>
    <row r="504" spans="6:15">
      <c r="F504"/>
      <c r="G504"/>
      <c r="H504"/>
      <c r="I504"/>
      <c r="J504"/>
      <c r="K504"/>
      <c r="L504"/>
      <c r="M504"/>
      <c r="N504"/>
      <c r="O504"/>
    </row>
    <row r="505" spans="6:15">
      <c r="F505"/>
      <c r="G505"/>
      <c r="H505"/>
      <c r="I505"/>
      <c r="J505"/>
      <c r="K505"/>
      <c r="L505"/>
      <c r="M505"/>
      <c r="N505"/>
      <c r="O505"/>
    </row>
    <row r="506" spans="6:15">
      <c r="F506"/>
      <c r="G506"/>
      <c r="H506"/>
      <c r="I506"/>
      <c r="J506"/>
      <c r="K506"/>
      <c r="L506"/>
      <c r="M506"/>
      <c r="N506"/>
      <c r="O506"/>
    </row>
    <row r="507" spans="6:15">
      <c r="F507"/>
      <c r="G507"/>
      <c r="H507"/>
      <c r="I507"/>
      <c r="J507"/>
      <c r="K507"/>
      <c r="L507"/>
      <c r="M507"/>
      <c r="N507"/>
      <c r="O507"/>
    </row>
    <row r="508" spans="6:15">
      <c r="F508"/>
      <c r="G508"/>
      <c r="H508"/>
      <c r="I508"/>
      <c r="J508"/>
      <c r="K508"/>
      <c r="L508"/>
      <c r="M508"/>
      <c r="N508"/>
      <c r="O508"/>
    </row>
    <row r="509" spans="6:15">
      <c r="F509"/>
      <c r="G509"/>
      <c r="H509"/>
      <c r="I509"/>
      <c r="J509"/>
      <c r="K509"/>
      <c r="L509"/>
      <c r="M509"/>
      <c r="N509"/>
      <c r="O509"/>
    </row>
    <row r="510" spans="6:15">
      <c r="F510"/>
      <c r="G510"/>
      <c r="H510"/>
      <c r="I510"/>
      <c r="J510"/>
      <c r="K510"/>
      <c r="L510"/>
      <c r="M510"/>
      <c r="N510"/>
      <c r="O510"/>
    </row>
    <row r="511" spans="6:15">
      <c r="F511"/>
      <c r="G511"/>
      <c r="H511"/>
      <c r="I511"/>
      <c r="J511"/>
      <c r="K511"/>
      <c r="L511"/>
      <c r="M511"/>
      <c r="N511"/>
      <c r="O511"/>
    </row>
    <row r="512" spans="6:15">
      <c r="F512"/>
      <c r="G512"/>
      <c r="H512"/>
      <c r="I512"/>
      <c r="J512"/>
      <c r="K512"/>
      <c r="L512"/>
      <c r="M512"/>
      <c r="N512"/>
      <c r="O512"/>
    </row>
    <row r="513" spans="6:15">
      <c r="F513"/>
      <c r="G513"/>
      <c r="H513"/>
      <c r="I513"/>
      <c r="J513"/>
      <c r="K513"/>
      <c r="L513"/>
      <c r="M513"/>
      <c r="N513"/>
      <c r="O513"/>
    </row>
    <row r="514" spans="6:15">
      <c r="F514"/>
      <c r="G514"/>
      <c r="H514"/>
      <c r="I514"/>
      <c r="J514"/>
      <c r="K514"/>
      <c r="L514"/>
      <c r="M514"/>
      <c r="N514"/>
      <c r="O514"/>
    </row>
    <row r="515" spans="6:15">
      <c r="F515"/>
      <c r="G515"/>
      <c r="H515"/>
      <c r="I515"/>
      <c r="J515"/>
      <c r="K515"/>
      <c r="L515"/>
      <c r="M515"/>
      <c r="N515"/>
      <c r="O515"/>
    </row>
    <row r="516" spans="6:15">
      <c r="F516"/>
      <c r="G516"/>
      <c r="H516"/>
      <c r="I516"/>
      <c r="J516"/>
      <c r="K516"/>
      <c r="L516"/>
      <c r="M516"/>
      <c r="N516"/>
      <c r="O516"/>
    </row>
    <row r="517" spans="6:15">
      <c r="F517"/>
      <c r="G517"/>
      <c r="H517"/>
      <c r="I517"/>
      <c r="J517"/>
      <c r="K517"/>
      <c r="L517"/>
      <c r="M517"/>
      <c r="N517"/>
      <c r="O517"/>
    </row>
    <row r="518" spans="6:15">
      <c r="F518"/>
      <c r="G518"/>
      <c r="H518"/>
      <c r="I518"/>
      <c r="J518"/>
      <c r="K518"/>
      <c r="L518"/>
      <c r="M518"/>
      <c r="N518"/>
      <c r="O518"/>
    </row>
    <row r="519" spans="6:15">
      <c r="F519"/>
      <c r="G519"/>
      <c r="H519"/>
      <c r="I519"/>
      <c r="J519"/>
      <c r="K519"/>
      <c r="L519"/>
      <c r="M519"/>
      <c r="N519"/>
      <c r="O519"/>
    </row>
    <row r="520" spans="6:15">
      <c r="F520"/>
      <c r="G520"/>
      <c r="H520"/>
      <c r="I520"/>
      <c r="J520"/>
      <c r="K520"/>
      <c r="L520"/>
      <c r="M520"/>
      <c r="N520"/>
      <c r="O520"/>
    </row>
    <row r="521" spans="6:15">
      <c r="F521"/>
      <c r="G521"/>
      <c r="H521"/>
      <c r="I521"/>
      <c r="J521"/>
      <c r="K521"/>
      <c r="L521"/>
      <c r="M521"/>
      <c r="N521"/>
      <c r="O521"/>
    </row>
    <row r="522" spans="6:15">
      <c r="F522"/>
      <c r="G522"/>
      <c r="H522"/>
      <c r="I522"/>
      <c r="J522"/>
      <c r="K522"/>
      <c r="L522"/>
      <c r="M522"/>
      <c r="N522"/>
      <c r="O522"/>
    </row>
    <row r="523" spans="6:15">
      <c r="F523"/>
      <c r="G523"/>
      <c r="H523"/>
      <c r="I523"/>
      <c r="J523"/>
      <c r="K523"/>
      <c r="L523"/>
      <c r="M523"/>
      <c r="N523"/>
      <c r="O523"/>
    </row>
    <row r="524" spans="6:15">
      <c r="F524"/>
      <c r="G524"/>
      <c r="H524"/>
      <c r="I524"/>
      <c r="J524"/>
      <c r="K524"/>
      <c r="L524"/>
      <c r="M524"/>
      <c r="N524"/>
      <c r="O524"/>
    </row>
    <row r="525" spans="6:15">
      <c r="F525"/>
      <c r="G525"/>
      <c r="H525"/>
      <c r="I525"/>
      <c r="J525"/>
      <c r="K525"/>
      <c r="L525"/>
      <c r="M525"/>
      <c r="N525"/>
      <c r="O525"/>
    </row>
    <row r="526" spans="6:15">
      <c r="F526"/>
      <c r="G526"/>
      <c r="H526"/>
      <c r="I526"/>
      <c r="J526"/>
      <c r="K526"/>
      <c r="L526"/>
      <c r="M526"/>
      <c r="N526"/>
      <c r="O526"/>
    </row>
    <row r="527" spans="6:15">
      <c r="F527"/>
      <c r="G527"/>
      <c r="H527"/>
      <c r="I527"/>
      <c r="J527"/>
      <c r="K527"/>
      <c r="L527"/>
      <c r="M527"/>
      <c r="N527"/>
      <c r="O527"/>
    </row>
    <row r="528" spans="6:15">
      <c r="F528"/>
      <c r="G528"/>
      <c r="H528"/>
      <c r="I528"/>
      <c r="J528"/>
      <c r="K528"/>
      <c r="L528"/>
      <c r="M528"/>
      <c r="N528"/>
      <c r="O528"/>
    </row>
    <row r="529" spans="6:15">
      <c r="F529"/>
      <c r="G529"/>
      <c r="H529"/>
      <c r="I529"/>
      <c r="J529"/>
      <c r="K529"/>
      <c r="L529"/>
      <c r="M529"/>
      <c r="N529"/>
      <c r="O529"/>
    </row>
    <row r="530" spans="6:15">
      <c r="F530"/>
      <c r="G530"/>
      <c r="H530"/>
      <c r="I530"/>
      <c r="J530"/>
      <c r="K530"/>
      <c r="L530"/>
      <c r="M530"/>
      <c r="N530"/>
      <c r="O530"/>
    </row>
    <row r="531" spans="6:15">
      <c r="F531"/>
      <c r="G531"/>
      <c r="H531"/>
      <c r="I531"/>
      <c r="J531"/>
      <c r="K531"/>
      <c r="L531"/>
      <c r="M531"/>
      <c r="N531"/>
      <c r="O531"/>
    </row>
    <row r="532" spans="6:15">
      <c r="F532"/>
      <c r="G532"/>
      <c r="H532"/>
      <c r="I532"/>
      <c r="J532"/>
      <c r="K532"/>
      <c r="L532"/>
      <c r="M532"/>
      <c r="N532"/>
      <c r="O532"/>
    </row>
    <row r="533" spans="6:15">
      <c r="F533"/>
      <c r="G533"/>
      <c r="H533"/>
      <c r="I533"/>
      <c r="J533"/>
      <c r="K533"/>
      <c r="L533"/>
      <c r="M533"/>
      <c r="N533"/>
      <c r="O533"/>
    </row>
    <row r="534" spans="6:15">
      <c r="F534"/>
      <c r="G534"/>
      <c r="H534"/>
      <c r="I534"/>
      <c r="J534"/>
      <c r="K534"/>
      <c r="L534"/>
      <c r="M534"/>
      <c r="N534"/>
      <c r="O534"/>
    </row>
    <row r="535" spans="6:15">
      <c r="F535"/>
      <c r="G535"/>
      <c r="H535"/>
      <c r="I535"/>
      <c r="J535"/>
      <c r="K535"/>
      <c r="L535"/>
      <c r="M535"/>
      <c r="N535"/>
      <c r="O535"/>
    </row>
    <row r="536" spans="6:15">
      <c r="F536"/>
      <c r="G536"/>
      <c r="H536"/>
      <c r="I536"/>
      <c r="J536"/>
      <c r="K536"/>
      <c r="L536"/>
      <c r="M536"/>
      <c r="N536"/>
      <c r="O536"/>
    </row>
    <row r="537" spans="6:15">
      <c r="F537"/>
      <c r="G537"/>
      <c r="H537"/>
      <c r="I537"/>
      <c r="J537"/>
      <c r="K537"/>
      <c r="L537"/>
      <c r="M537"/>
      <c r="N537"/>
      <c r="O537"/>
    </row>
    <row r="538" spans="6:15">
      <c r="F538"/>
      <c r="G538"/>
      <c r="H538"/>
      <c r="I538"/>
      <c r="J538"/>
      <c r="K538"/>
      <c r="L538"/>
      <c r="M538"/>
      <c r="N538"/>
      <c r="O538"/>
    </row>
    <row r="539" spans="6:15">
      <c r="F539"/>
      <c r="G539"/>
      <c r="H539"/>
      <c r="I539"/>
      <c r="J539"/>
      <c r="K539"/>
      <c r="L539"/>
      <c r="M539"/>
      <c r="N539"/>
      <c r="O539"/>
    </row>
    <row r="540" spans="6:15">
      <c r="F540"/>
      <c r="G540"/>
      <c r="H540"/>
      <c r="I540"/>
      <c r="J540"/>
      <c r="K540"/>
      <c r="L540"/>
      <c r="M540"/>
      <c r="N540"/>
      <c r="O540"/>
    </row>
    <row r="541" spans="6:15">
      <c r="F541"/>
      <c r="G541"/>
      <c r="H541"/>
      <c r="I541"/>
      <c r="J541"/>
      <c r="K541"/>
      <c r="L541"/>
      <c r="M541"/>
      <c r="N541"/>
      <c r="O541"/>
    </row>
    <row r="542" spans="6:15">
      <c r="F542"/>
      <c r="G542"/>
      <c r="H542"/>
      <c r="I542"/>
      <c r="J542"/>
      <c r="K542"/>
      <c r="L542"/>
      <c r="M542"/>
      <c r="N542"/>
      <c r="O542"/>
    </row>
    <row r="543" spans="6:15">
      <c r="F543"/>
      <c r="G543"/>
      <c r="H543"/>
      <c r="I543"/>
      <c r="J543"/>
      <c r="K543"/>
      <c r="L543"/>
      <c r="M543"/>
      <c r="N543"/>
      <c r="O543"/>
    </row>
    <row r="544" spans="6:15">
      <c r="F544"/>
      <c r="G544"/>
      <c r="H544"/>
      <c r="I544"/>
      <c r="J544"/>
      <c r="K544"/>
      <c r="L544"/>
      <c r="M544"/>
      <c r="N544"/>
      <c r="O544"/>
    </row>
    <row r="545" spans="6:15">
      <c r="F545"/>
      <c r="G545"/>
      <c r="H545"/>
      <c r="I545"/>
      <c r="J545"/>
      <c r="K545"/>
      <c r="L545"/>
      <c r="M545"/>
      <c r="N545"/>
      <c r="O545"/>
    </row>
    <row r="546" spans="6:15">
      <c r="F546"/>
      <c r="G546"/>
      <c r="H546"/>
      <c r="I546"/>
      <c r="J546"/>
      <c r="K546"/>
      <c r="L546"/>
      <c r="M546"/>
      <c r="N546"/>
      <c r="O546"/>
    </row>
    <row r="547" spans="6:15">
      <c r="F547"/>
      <c r="G547"/>
      <c r="H547"/>
      <c r="I547"/>
      <c r="J547"/>
      <c r="K547"/>
      <c r="L547"/>
      <c r="M547"/>
      <c r="N547"/>
      <c r="O547"/>
    </row>
    <row r="548" spans="6:15">
      <c r="F548"/>
      <c r="G548"/>
      <c r="H548"/>
      <c r="I548"/>
      <c r="J548"/>
      <c r="K548"/>
      <c r="L548"/>
      <c r="M548"/>
      <c r="N548"/>
      <c r="O548"/>
    </row>
    <row r="549" spans="6:15">
      <c r="F549"/>
      <c r="G549"/>
      <c r="H549"/>
      <c r="I549"/>
      <c r="J549"/>
      <c r="K549"/>
      <c r="L549"/>
      <c r="M549"/>
      <c r="N549"/>
      <c r="O549"/>
    </row>
    <row r="550" spans="6:15">
      <c r="F550"/>
      <c r="G550"/>
      <c r="H550"/>
      <c r="I550"/>
      <c r="J550"/>
      <c r="K550"/>
      <c r="L550"/>
      <c r="M550"/>
      <c r="N550"/>
      <c r="O550"/>
    </row>
    <row r="551" spans="6:15">
      <c r="F551"/>
      <c r="G551"/>
      <c r="H551"/>
      <c r="I551"/>
      <c r="J551"/>
      <c r="K551"/>
      <c r="L551"/>
      <c r="M551"/>
      <c r="N551"/>
      <c r="O551"/>
    </row>
    <row r="552" spans="6:15">
      <c r="F552"/>
      <c r="G552"/>
      <c r="H552"/>
      <c r="I552"/>
      <c r="J552"/>
      <c r="K552"/>
      <c r="L552"/>
      <c r="M552"/>
      <c r="N552"/>
      <c r="O552"/>
    </row>
    <row r="553" spans="6:15">
      <c r="F553"/>
      <c r="G553"/>
      <c r="H553"/>
      <c r="I553"/>
      <c r="J553"/>
      <c r="K553"/>
      <c r="L553"/>
      <c r="M553"/>
      <c r="N553"/>
      <c r="O553"/>
    </row>
    <row r="554" spans="6:15">
      <c r="F554"/>
      <c r="G554"/>
      <c r="H554"/>
      <c r="I554"/>
      <c r="J554"/>
      <c r="K554"/>
      <c r="L554"/>
      <c r="M554"/>
      <c r="N554"/>
      <c r="O554"/>
    </row>
    <row r="555" spans="6:15">
      <c r="F555"/>
      <c r="G555"/>
      <c r="H555"/>
      <c r="I555"/>
      <c r="J555"/>
      <c r="K555"/>
      <c r="L555"/>
      <c r="M555"/>
      <c r="N555"/>
      <c r="O555"/>
    </row>
    <row r="556" spans="6:15">
      <c r="F556"/>
      <c r="G556"/>
      <c r="H556"/>
      <c r="I556"/>
      <c r="J556"/>
      <c r="K556"/>
      <c r="L556"/>
      <c r="M556"/>
      <c r="N556"/>
      <c r="O556"/>
    </row>
    <row r="557" spans="6:15">
      <c r="F557"/>
      <c r="G557"/>
      <c r="H557"/>
      <c r="I557"/>
      <c r="J557"/>
      <c r="K557"/>
      <c r="L557"/>
      <c r="M557"/>
      <c r="N557"/>
      <c r="O557"/>
    </row>
    <row r="558" spans="6:15">
      <c r="F558"/>
      <c r="G558"/>
      <c r="H558"/>
      <c r="I558"/>
      <c r="J558"/>
      <c r="K558"/>
      <c r="L558"/>
      <c r="M558"/>
      <c r="N558"/>
      <c r="O558"/>
    </row>
    <row r="559" spans="6:15">
      <c r="F559"/>
      <c r="G559"/>
      <c r="H559"/>
      <c r="I559"/>
      <c r="J559"/>
      <c r="K559"/>
      <c r="L559"/>
      <c r="M559"/>
      <c r="N559"/>
      <c r="O559"/>
    </row>
    <row r="560" spans="6:15">
      <c r="F560"/>
      <c r="G560"/>
      <c r="H560"/>
      <c r="I560"/>
      <c r="J560"/>
      <c r="K560"/>
      <c r="L560"/>
      <c r="M560"/>
      <c r="N560"/>
      <c r="O560"/>
    </row>
    <row r="561" spans="6:15">
      <c r="F561"/>
      <c r="G561"/>
      <c r="H561"/>
      <c r="I561"/>
      <c r="J561"/>
      <c r="K561"/>
      <c r="L561"/>
      <c r="M561"/>
      <c r="N561"/>
      <c r="O561"/>
    </row>
    <row r="562" spans="6:15">
      <c r="F562"/>
      <c r="G562"/>
      <c r="H562"/>
      <c r="I562"/>
      <c r="J562"/>
      <c r="K562"/>
      <c r="L562"/>
      <c r="M562"/>
      <c r="N562"/>
      <c r="O562"/>
    </row>
    <row r="563" spans="6:15">
      <c r="F563"/>
      <c r="G563"/>
      <c r="H563"/>
      <c r="I563"/>
      <c r="J563"/>
      <c r="K563"/>
      <c r="L563"/>
      <c r="M563"/>
      <c r="N563"/>
      <c r="O563"/>
    </row>
    <row r="564" spans="6:15">
      <c r="F564"/>
      <c r="G564"/>
      <c r="H564"/>
      <c r="I564"/>
      <c r="J564"/>
      <c r="K564"/>
      <c r="L564"/>
      <c r="M564"/>
      <c r="N564"/>
      <c r="O564"/>
    </row>
    <row r="565" spans="6:15">
      <c r="F565"/>
      <c r="G565"/>
      <c r="H565"/>
      <c r="I565"/>
      <c r="J565"/>
      <c r="K565"/>
      <c r="L565"/>
      <c r="M565"/>
      <c r="N565"/>
      <c r="O565"/>
    </row>
    <row r="566" spans="6:15">
      <c r="F566"/>
      <c r="G566"/>
      <c r="H566"/>
      <c r="I566"/>
      <c r="J566"/>
      <c r="K566"/>
      <c r="L566"/>
      <c r="M566"/>
      <c r="N566"/>
      <c r="O566"/>
    </row>
    <row r="567" spans="6:15">
      <c r="F567"/>
      <c r="G567"/>
      <c r="H567"/>
      <c r="I567"/>
      <c r="J567"/>
      <c r="K567"/>
      <c r="L567"/>
      <c r="M567"/>
      <c r="N567"/>
      <c r="O567"/>
    </row>
    <row r="568" spans="6:15">
      <c r="F568"/>
      <c r="G568"/>
      <c r="H568"/>
      <c r="I568"/>
      <c r="J568"/>
      <c r="K568"/>
      <c r="L568"/>
      <c r="M568"/>
      <c r="N568"/>
      <c r="O568"/>
    </row>
    <row r="569" spans="6:15">
      <c r="F569"/>
      <c r="G569"/>
      <c r="H569"/>
      <c r="I569"/>
      <c r="J569"/>
      <c r="K569"/>
      <c r="L569"/>
      <c r="M569"/>
      <c r="N569"/>
      <c r="O569"/>
    </row>
    <row r="570" spans="6:15">
      <c r="F570"/>
      <c r="G570"/>
      <c r="H570"/>
      <c r="I570"/>
      <c r="J570"/>
      <c r="K570"/>
      <c r="L570"/>
      <c r="M570"/>
      <c r="N570"/>
      <c r="O570"/>
    </row>
    <row r="571" spans="6:15">
      <c r="F571"/>
      <c r="G571"/>
      <c r="H571"/>
      <c r="I571"/>
      <c r="J571"/>
      <c r="K571"/>
      <c r="L571"/>
      <c r="M571"/>
      <c r="N571"/>
      <c r="O571"/>
    </row>
    <row r="572" spans="6:15">
      <c r="F572"/>
      <c r="G572"/>
      <c r="H572"/>
      <c r="I572"/>
      <c r="J572"/>
      <c r="K572"/>
      <c r="L572"/>
      <c r="M572"/>
      <c r="N572"/>
      <c r="O572"/>
    </row>
    <row r="573" spans="6:15">
      <c r="F573"/>
      <c r="G573"/>
      <c r="H573"/>
      <c r="I573"/>
      <c r="J573"/>
      <c r="K573"/>
      <c r="L573"/>
      <c r="M573"/>
      <c r="N573"/>
      <c r="O573"/>
    </row>
    <row r="574" spans="6:15">
      <c r="F574"/>
      <c r="G574"/>
      <c r="H574"/>
      <c r="I574"/>
      <c r="J574"/>
      <c r="K574"/>
      <c r="L574"/>
      <c r="M574"/>
      <c r="N574"/>
      <c r="O574"/>
    </row>
    <row r="575" spans="6:15">
      <c r="F575"/>
      <c r="G575"/>
      <c r="H575"/>
      <c r="I575"/>
      <c r="J575"/>
      <c r="K575"/>
      <c r="L575"/>
      <c r="M575"/>
      <c r="N575"/>
      <c r="O575"/>
    </row>
    <row r="576" spans="6:15">
      <c r="F576"/>
      <c r="G576"/>
      <c r="H576"/>
      <c r="I576"/>
      <c r="J576"/>
      <c r="K576"/>
      <c r="L576"/>
      <c r="M576"/>
      <c r="N576"/>
      <c r="O576"/>
    </row>
    <row r="577" spans="6:15">
      <c r="F577"/>
      <c r="G577"/>
      <c r="H577"/>
      <c r="I577"/>
      <c r="J577"/>
      <c r="K577"/>
      <c r="L577"/>
      <c r="M577"/>
      <c r="N577"/>
      <c r="O577"/>
    </row>
    <row r="578" spans="6:15">
      <c r="F578"/>
      <c r="G578"/>
      <c r="H578"/>
      <c r="I578"/>
      <c r="J578"/>
      <c r="K578"/>
      <c r="L578"/>
      <c r="M578"/>
      <c r="N578"/>
      <c r="O578"/>
    </row>
    <row r="579" spans="6:15">
      <c r="F579"/>
      <c r="G579"/>
      <c r="H579"/>
      <c r="I579"/>
      <c r="J579"/>
      <c r="K579"/>
      <c r="L579"/>
      <c r="M579"/>
      <c r="N579"/>
      <c r="O579"/>
    </row>
    <row r="580" spans="6:15">
      <c r="F580"/>
      <c r="G580"/>
      <c r="H580"/>
      <c r="I580"/>
      <c r="J580"/>
      <c r="K580"/>
      <c r="L580"/>
      <c r="M580"/>
      <c r="N580"/>
      <c r="O580"/>
    </row>
    <row r="581" spans="6:15">
      <c r="F581"/>
      <c r="G581"/>
      <c r="H581"/>
      <c r="I581"/>
      <c r="J581"/>
      <c r="K581"/>
      <c r="L581"/>
      <c r="M581"/>
      <c r="N581"/>
      <c r="O581"/>
    </row>
    <row r="582" spans="6:15">
      <c r="F582"/>
      <c r="G582"/>
      <c r="H582"/>
      <c r="I582"/>
      <c r="J582"/>
      <c r="K582"/>
      <c r="L582"/>
      <c r="M582"/>
      <c r="N582"/>
      <c r="O582"/>
    </row>
    <row r="583" spans="6:15">
      <c r="F583"/>
      <c r="G583"/>
      <c r="H583"/>
      <c r="I583"/>
      <c r="J583"/>
      <c r="K583"/>
      <c r="L583"/>
      <c r="M583"/>
      <c r="N583"/>
      <c r="O583"/>
    </row>
    <row r="584" spans="6:15">
      <c r="F584"/>
      <c r="G584"/>
      <c r="H584"/>
      <c r="I584"/>
      <c r="J584"/>
      <c r="K584"/>
      <c r="L584"/>
      <c r="M584"/>
      <c r="N584"/>
      <c r="O584"/>
    </row>
    <row r="585" spans="6:15">
      <c r="F585"/>
      <c r="G585"/>
      <c r="H585"/>
      <c r="I585"/>
      <c r="J585"/>
      <c r="K585"/>
      <c r="L585"/>
      <c r="M585"/>
      <c r="N585"/>
      <c r="O585"/>
    </row>
    <row r="586" spans="6:15">
      <c r="F586"/>
      <c r="G586"/>
      <c r="H586"/>
      <c r="I586"/>
      <c r="J586"/>
      <c r="K586"/>
      <c r="L586"/>
      <c r="M586"/>
      <c r="N586"/>
      <c r="O586"/>
    </row>
    <row r="587" spans="6:15">
      <c r="F587"/>
      <c r="G587"/>
      <c r="H587"/>
      <c r="I587"/>
      <c r="J587"/>
      <c r="K587"/>
      <c r="L587"/>
      <c r="M587"/>
      <c r="N587"/>
      <c r="O587"/>
    </row>
    <row r="588" spans="6:15">
      <c r="F588"/>
      <c r="G588"/>
      <c r="H588"/>
      <c r="I588"/>
      <c r="J588"/>
      <c r="K588"/>
      <c r="L588"/>
      <c r="M588"/>
      <c r="N588"/>
      <c r="O588"/>
    </row>
    <row r="589" spans="6:15">
      <c r="F589"/>
      <c r="G589"/>
      <c r="H589"/>
      <c r="I589"/>
      <c r="J589"/>
      <c r="K589"/>
      <c r="L589"/>
      <c r="M589"/>
      <c r="N589"/>
      <c r="O589"/>
    </row>
    <row r="590" spans="6:15">
      <c r="F590"/>
      <c r="G590"/>
      <c r="H590"/>
      <c r="I590"/>
      <c r="J590"/>
      <c r="K590"/>
      <c r="L590"/>
      <c r="M590"/>
      <c r="N590"/>
      <c r="O590"/>
    </row>
    <row r="591" spans="6:15">
      <c r="F591"/>
      <c r="G591"/>
      <c r="H591"/>
      <c r="I591"/>
      <c r="J591"/>
      <c r="K591"/>
      <c r="L591"/>
      <c r="M591"/>
      <c r="N591"/>
      <c r="O591"/>
    </row>
    <row r="592" spans="6:15">
      <c r="F592"/>
      <c r="G592"/>
      <c r="H592"/>
      <c r="I592"/>
      <c r="J592"/>
      <c r="K592"/>
      <c r="L592"/>
      <c r="M592"/>
      <c r="N592"/>
      <c r="O592"/>
    </row>
    <row r="593" spans="6:15">
      <c r="F593"/>
      <c r="G593"/>
      <c r="H593"/>
      <c r="I593"/>
      <c r="J593"/>
      <c r="K593"/>
      <c r="L593"/>
      <c r="M593"/>
      <c r="N593"/>
      <c r="O593"/>
    </row>
    <row r="594" spans="6:15">
      <c r="F594"/>
      <c r="G594"/>
      <c r="H594"/>
      <c r="I594"/>
      <c r="J594"/>
      <c r="K594"/>
      <c r="L594"/>
      <c r="M594"/>
      <c r="N594"/>
      <c r="O594"/>
    </row>
    <row r="595" spans="6:15">
      <c r="F595"/>
      <c r="G595"/>
      <c r="H595"/>
      <c r="I595"/>
      <c r="J595"/>
      <c r="K595"/>
      <c r="L595"/>
      <c r="M595"/>
      <c r="N595"/>
      <c r="O595"/>
    </row>
    <row r="596" spans="6:15">
      <c r="F596"/>
      <c r="G596"/>
      <c r="H596"/>
      <c r="I596"/>
      <c r="J596"/>
      <c r="K596"/>
      <c r="L596"/>
      <c r="M596"/>
      <c r="N596"/>
      <c r="O596"/>
    </row>
    <row r="597" spans="6:15">
      <c r="F597"/>
      <c r="G597"/>
      <c r="H597"/>
      <c r="I597"/>
      <c r="J597"/>
      <c r="K597"/>
      <c r="L597"/>
      <c r="M597"/>
      <c r="N597"/>
      <c r="O597"/>
    </row>
    <row r="598" spans="6:15">
      <c r="F598"/>
      <c r="G598"/>
      <c r="H598"/>
      <c r="I598"/>
      <c r="J598"/>
      <c r="K598"/>
      <c r="L598"/>
      <c r="M598"/>
      <c r="N598"/>
      <c r="O598"/>
    </row>
    <row r="599" spans="6:15">
      <c r="F599"/>
      <c r="G599"/>
      <c r="H599"/>
      <c r="I599"/>
      <c r="J599"/>
      <c r="K599"/>
      <c r="L599"/>
      <c r="M599"/>
      <c r="N599"/>
      <c r="O599"/>
    </row>
    <row r="600" spans="6:15">
      <c r="F600"/>
      <c r="G600"/>
      <c r="H600"/>
      <c r="I600"/>
      <c r="J600"/>
      <c r="K600"/>
      <c r="L600"/>
      <c r="M600"/>
      <c r="N600"/>
      <c r="O600"/>
    </row>
    <row r="601" spans="6:15">
      <c r="F601"/>
      <c r="G601"/>
      <c r="H601"/>
      <c r="I601"/>
      <c r="J601"/>
      <c r="K601"/>
      <c r="L601"/>
      <c r="M601"/>
      <c r="N601"/>
      <c r="O601"/>
    </row>
    <row r="602" spans="6:15">
      <c r="F602"/>
      <c r="G602"/>
      <c r="H602"/>
      <c r="I602"/>
      <c r="J602"/>
      <c r="K602"/>
      <c r="L602"/>
      <c r="M602"/>
      <c r="N602"/>
      <c r="O602"/>
    </row>
    <row r="603" spans="6:15">
      <c r="F603"/>
      <c r="G603"/>
      <c r="H603"/>
      <c r="I603"/>
      <c r="J603"/>
      <c r="K603"/>
      <c r="L603"/>
      <c r="M603"/>
      <c r="N603"/>
      <c r="O603"/>
    </row>
    <row r="604" spans="6:15">
      <c r="F604"/>
      <c r="G604"/>
      <c r="H604"/>
      <c r="I604"/>
      <c r="J604"/>
      <c r="K604"/>
      <c r="L604"/>
      <c r="M604"/>
      <c r="N604"/>
      <c r="O604"/>
    </row>
    <row r="605" spans="6:15">
      <c r="F605"/>
      <c r="G605"/>
      <c r="H605"/>
      <c r="I605"/>
      <c r="J605"/>
      <c r="K605"/>
      <c r="L605"/>
      <c r="M605"/>
      <c r="N605"/>
      <c r="O605"/>
    </row>
    <row r="606" spans="6:15">
      <c r="F606"/>
      <c r="G606"/>
      <c r="H606"/>
      <c r="I606"/>
      <c r="J606"/>
      <c r="K606"/>
      <c r="L606"/>
      <c r="M606"/>
      <c r="N606"/>
      <c r="O606"/>
    </row>
    <row r="607" spans="6:15">
      <c r="F607"/>
      <c r="G607"/>
      <c r="H607"/>
      <c r="I607"/>
      <c r="J607"/>
      <c r="K607"/>
      <c r="L607"/>
      <c r="M607"/>
      <c r="N607"/>
      <c r="O607"/>
    </row>
    <row r="608" spans="6:15">
      <c r="F608"/>
      <c r="G608"/>
      <c r="H608"/>
      <c r="I608"/>
      <c r="J608"/>
      <c r="K608"/>
      <c r="L608"/>
      <c r="M608"/>
      <c r="N608"/>
      <c r="O608"/>
    </row>
    <row r="609" spans="6:15">
      <c r="F609"/>
      <c r="G609"/>
      <c r="H609"/>
      <c r="I609"/>
      <c r="J609"/>
      <c r="K609"/>
      <c r="L609"/>
      <c r="M609"/>
      <c r="N609"/>
      <c r="O609"/>
    </row>
    <row r="610" spans="6:15">
      <c r="F610"/>
      <c r="G610"/>
      <c r="H610"/>
      <c r="I610"/>
      <c r="J610"/>
      <c r="K610"/>
      <c r="L610"/>
      <c r="M610"/>
      <c r="N610"/>
      <c r="O610"/>
    </row>
    <row r="611" spans="6:15">
      <c r="F611"/>
      <c r="G611"/>
      <c r="H611"/>
      <c r="I611"/>
      <c r="J611"/>
      <c r="K611"/>
      <c r="L611"/>
      <c r="M611"/>
      <c r="N611"/>
      <c r="O611"/>
    </row>
    <row r="612" spans="6:15">
      <c r="F612"/>
      <c r="G612"/>
      <c r="H612"/>
      <c r="I612"/>
      <c r="J612"/>
      <c r="K612"/>
      <c r="L612"/>
      <c r="M612"/>
      <c r="N612"/>
      <c r="O612"/>
    </row>
    <row r="613" spans="6:15">
      <c r="F613"/>
      <c r="G613"/>
      <c r="H613"/>
      <c r="I613"/>
      <c r="J613"/>
      <c r="K613"/>
      <c r="L613"/>
      <c r="M613"/>
      <c r="N613"/>
      <c r="O613"/>
    </row>
    <row r="614" spans="6:15">
      <c r="F614"/>
      <c r="G614"/>
      <c r="H614"/>
      <c r="I614"/>
      <c r="J614"/>
      <c r="K614"/>
      <c r="L614"/>
      <c r="M614"/>
      <c r="N614"/>
      <c r="O614"/>
    </row>
    <row r="615" spans="6:15">
      <c r="F615"/>
      <c r="G615"/>
      <c r="H615"/>
      <c r="I615"/>
      <c r="J615"/>
      <c r="K615"/>
      <c r="L615"/>
      <c r="M615"/>
      <c r="N615"/>
      <c r="O615"/>
    </row>
    <row r="616" spans="6:15">
      <c r="F616"/>
      <c r="G616"/>
      <c r="H616"/>
      <c r="I616"/>
      <c r="J616"/>
      <c r="K616"/>
      <c r="L616"/>
      <c r="M616"/>
      <c r="N616"/>
      <c r="O616"/>
    </row>
    <row r="617" spans="6:15">
      <c r="F617"/>
      <c r="G617"/>
      <c r="H617"/>
      <c r="I617"/>
      <c r="J617"/>
      <c r="K617"/>
      <c r="L617"/>
      <c r="M617"/>
      <c r="N617"/>
      <c r="O617"/>
    </row>
    <row r="618" spans="6:15">
      <c r="F618"/>
      <c r="G618"/>
      <c r="H618"/>
      <c r="I618"/>
      <c r="J618"/>
      <c r="K618"/>
      <c r="L618"/>
      <c r="M618"/>
      <c r="N618"/>
      <c r="O618"/>
    </row>
    <row r="619" spans="6:15">
      <c r="F619"/>
      <c r="G619"/>
      <c r="H619"/>
      <c r="I619"/>
      <c r="J619"/>
      <c r="K619"/>
      <c r="L619"/>
      <c r="M619"/>
      <c r="N619"/>
      <c r="O619"/>
    </row>
    <row r="620" spans="6:15">
      <c r="F620"/>
      <c r="G620"/>
      <c r="H620"/>
      <c r="I620"/>
      <c r="J620"/>
      <c r="K620"/>
      <c r="L620"/>
      <c r="M620"/>
      <c r="N620"/>
      <c r="O620"/>
    </row>
    <row r="621" spans="6:15">
      <c r="F621"/>
      <c r="G621"/>
      <c r="H621"/>
      <c r="I621"/>
      <c r="J621"/>
      <c r="K621"/>
      <c r="L621"/>
      <c r="M621"/>
      <c r="N621"/>
      <c r="O621"/>
    </row>
    <row r="622" spans="6:15">
      <c r="F622"/>
      <c r="G622"/>
      <c r="H622"/>
      <c r="I622"/>
      <c r="J622"/>
      <c r="K622"/>
      <c r="L622"/>
      <c r="M622"/>
      <c r="N622"/>
      <c r="O622"/>
    </row>
    <row r="623" spans="6:15">
      <c r="F623"/>
      <c r="G623"/>
      <c r="H623"/>
      <c r="I623"/>
      <c r="J623"/>
      <c r="K623"/>
      <c r="L623"/>
      <c r="M623"/>
      <c r="N623"/>
      <c r="O623"/>
    </row>
    <row r="624" spans="6:15">
      <c r="F624"/>
      <c r="G624"/>
      <c r="H624"/>
      <c r="I624"/>
      <c r="J624"/>
      <c r="K624"/>
      <c r="L624"/>
      <c r="M624"/>
      <c r="N624"/>
      <c r="O624"/>
    </row>
    <row r="625" spans="6:15">
      <c r="F625"/>
      <c r="G625"/>
      <c r="H625"/>
      <c r="I625"/>
      <c r="J625"/>
      <c r="K625"/>
      <c r="L625"/>
      <c r="M625"/>
      <c r="N625"/>
      <c r="O625"/>
    </row>
    <row r="626" spans="6:15">
      <c r="F626"/>
      <c r="G626"/>
      <c r="H626"/>
      <c r="I626"/>
      <c r="J626"/>
      <c r="K626"/>
      <c r="L626"/>
      <c r="M626"/>
      <c r="N626"/>
      <c r="O626"/>
    </row>
    <row r="627" spans="6:15">
      <c r="F627"/>
      <c r="G627"/>
      <c r="H627"/>
      <c r="I627"/>
      <c r="J627"/>
      <c r="K627"/>
      <c r="L627"/>
      <c r="M627"/>
      <c r="N627"/>
      <c r="O627"/>
    </row>
    <row r="628" spans="6:15">
      <c r="F628"/>
      <c r="G628"/>
      <c r="H628"/>
      <c r="I628"/>
      <c r="J628"/>
      <c r="K628"/>
      <c r="L628"/>
      <c r="M628"/>
      <c r="N628"/>
      <c r="O628"/>
    </row>
    <row r="629" spans="6:15">
      <c r="F629"/>
      <c r="G629"/>
      <c r="H629"/>
      <c r="I629"/>
      <c r="J629"/>
      <c r="K629"/>
      <c r="L629"/>
      <c r="M629"/>
      <c r="N629"/>
      <c r="O629"/>
    </row>
    <row r="630" spans="6:15">
      <c r="F630"/>
      <c r="G630"/>
      <c r="H630"/>
      <c r="I630"/>
      <c r="J630"/>
      <c r="K630"/>
      <c r="L630"/>
      <c r="M630"/>
      <c r="N630"/>
      <c r="O630"/>
    </row>
    <row r="631" spans="6:15">
      <c r="F631"/>
      <c r="G631"/>
      <c r="H631"/>
      <c r="I631"/>
      <c r="J631"/>
      <c r="K631"/>
      <c r="L631"/>
      <c r="M631"/>
      <c r="N631"/>
      <c r="O631"/>
    </row>
    <row r="632" spans="6:15">
      <c r="F632"/>
      <c r="G632"/>
      <c r="H632"/>
      <c r="I632"/>
      <c r="J632"/>
      <c r="K632"/>
      <c r="L632"/>
      <c r="M632"/>
      <c r="N632"/>
      <c r="O632"/>
    </row>
    <row r="633" spans="6:15">
      <c r="F633"/>
      <c r="G633"/>
      <c r="H633"/>
      <c r="I633"/>
      <c r="J633"/>
      <c r="K633"/>
      <c r="L633"/>
      <c r="M633"/>
      <c r="N633"/>
      <c r="O633"/>
    </row>
    <row r="634" spans="6:15">
      <c r="F634"/>
      <c r="G634"/>
      <c r="H634"/>
      <c r="I634"/>
      <c r="J634"/>
      <c r="K634"/>
      <c r="L634"/>
      <c r="M634"/>
      <c r="N634"/>
      <c r="O634"/>
    </row>
    <row r="635" spans="6:15">
      <c r="F635"/>
      <c r="G635"/>
      <c r="H635"/>
      <c r="I635"/>
      <c r="J635"/>
      <c r="K635"/>
      <c r="L635"/>
      <c r="M635"/>
      <c r="N635"/>
      <c r="O635"/>
    </row>
    <row r="636" spans="6:15">
      <c r="F636"/>
      <c r="G636"/>
      <c r="H636"/>
      <c r="I636"/>
      <c r="J636"/>
      <c r="K636"/>
      <c r="L636"/>
      <c r="M636"/>
      <c r="N636"/>
      <c r="O636"/>
    </row>
    <row r="637" spans="6:15">
      <c r="F637"/>
      <c r="G637"/>
      <c r="H637"/>
      <c r="I637"/>
      <c r="J637"/>
      <c r="K637"/>
      <c r="L637"/>
      <c r="M637"/>
      <c r="N637"/>
      <c r="O637"/>
    </row>
    <row r="638" spans="6:15">
      <c r="F638"/>
      <c r="G638"/>
      <c r="H638"/>
      <c r="I638"/>
      <c r="J638"/>
      <c r="K638"/>
      <c r="L638"/>
      <c r="M638"/>
      <c r="N638"/>
      <c r="O638"/>
    </row>
    <row r="639" spans="6:15">
      <c r="F639"/>
      <c r="G639"/>
      <c r="H639"/>
      <c r="I639"/>
      <c r="J639"/>
      <c r="K639"/>
      <c r="L639"/>
      <c r="M639"/>
      <c r="N639"/>
      <c r="O639"/>
    </row>
    <row r="640" spans="6:15">
      <c r="F640"/>
      <c r="G640"/>
      <c r="H640"/>
      <c r="I640"/>
      <c r="J640"/>
      <c r="K640"/>
      <c r="L640"/>
      <c r="M640"/>
      <c r="N640"/>
      <c r="O640"/>
    </row>
    <row r="641" spans="6:15">
      <c r="F641"/>
      <c r="G641"/>
      <c r="H641"/>
      <c r="I641"/>
      <c r="J641"/>
      <c r="K641"/>
      <c r="L641"/>
      <c r="M641"/>
      <c r="N641"/>
      <c r="O641"/>
    </row>
    <row r="642" spans="6:15">
      <c r="F642"/>
      <c r="G642"/>
      <c r="H642"/>
      <c r="I642"/>
      <c r="J642"/>
      <c r="K642"/>
      <c r="L642"/>
      <c r="M642"/>
      <c r="N642"/>
      <c r="O642"/>
    </row>
    <row r="643" spans="6:15">
      <c r="F643"/>
      <c r="G643"/>
      <c r="H643"/>
      <c r="I643"/>
      <c r="J643"/>
      <c r="K643"/>
      <c r="L643"/>
      <c r="M643"/>
      <c r="N643"/>
      <c r="O643"/>
    </row>
    <row r="644" spans="6:15">
      <c r="F644"/>
      <c r="G644"/>
      <c r="H644"/>
      <c r="I644"/>
      <c r="J644"/>
      <c r="K644"/>
      <c r="L644"/>
      <c r="M644"/>
      <c r="N644"/>
      <c r="O644"/>
    </row>
    <row r="645" spans="6:15">
      <c r="F645"/>
      <c r="G645"/>
      <c r="H645"/>
      <c r="I645"/>
      <c r="J645"/>
      <c r="K645"/>
      <c r="L645"/>
      <c r="M645"/>
      <c r="N645"/>
      <c r="O645"/>
    </row>
    <row r="646" spans="6:15">
      <c r="F646"/>
      <c r="G646"/>
      <c r="H646"/>
      <c r="I646"/>
      <c r="J646"/>
      <c r="K646"/>
      <c r="L646"/>
      <c r="M646"/>
      <c r="N646"/>
      <c r="O646"/>
    </row>
    <row r="647" spans="6:15">
      <c r="F647"/>
      <c r="G647"/>
      <c r="H647"/>
      <c r="I647"/>
      <c r="J647"/>
      <c r="K647"/>
      <c r="L647"/>
      <c r="M647"/>
      <c r="N647"/>
      <c r="O647"/>
    </row>
    <row r="648" spans="6:15">
      <c r="F648"/>
      <c r="G648"/>
      <c r="H648"/>
      <c r="I648"/>
      <c r="J648"/>
      <c r="K648"/>
      <c r="L648"/>
      <c r="M648"/>
      <c r="N648"/>
      <c r="O648"/>
    </row>
    <row r="649" spans="6:15">
      <c r="F649"/>
      <c r="G649"/>
      <c r="H649"/>
      <c r="I649"/>
      <c r="J649"/>
      <c r="K649"/>
      <c r="L649"/>
      <c r="M649"/>
      <c r="N649"/>
      <c r="O649"/>
    </row>
    <row r="650" spans="6:15">
      <c r="F650"/>
      <c r="G650"/>
      <c r="H650"/>
      <c r="I650"/>
      <c r="J650"/>
      <c r="K650"/>
      <c r="L650"/>
      <c r="M650"/>
      <c r="N650"/>
      <c r="O650"/>
    </row>
    <row r="651" spans="6:15">
      <c r="F651"/>
      <c r="G651"/>
      <c r="H651"/>
      <c r="I651"/>
      <c r="J651"/>
      <c r="K651"/>
      <c r="L651"/>
      <c r="M651"/>
      <c r="N651"/>
      <c r="O651"/>
    </row>
    <row r="652" spans="6:15">
      <c r="F652"/>
      <c r="G652"/>
      <c r="H652"/>
      <c r="I652"/>
      <c r="J652"/>
      <c r="K652"/>
      <c r="L652"/>
      <c r="M652"/>
      <c r="N652"/>
      <c r="O652"/>
    </row>
    <row r="653" spans="6:15">
      <c r="F653"/>
      <c r="G653"/>
      <c r="H653"/>
      <c r="I653"/>
      <c r="J653"/>
      <c r="K653"/>
      <c r="L653"/>
      <c r="M653"/>
      <c r="N653"/>
      <c r="O653"/>
    </row>
    <row r="654" spans="6:15">
      <c r="F654"/>
      <c r="G654"/>
      <c r="H654"/>
      <c r="I654"/>
      <c r="J654"/>
      <c r="K654"/>
      <c r="L654"/>
      <c r="M654"/>
      <c r="N654"/>
      <c r="O654"/>
    </row>
    <row r="655" spans="6:15">
      <c r="F655"/>
      <c r="G655"/>
      <c r="H655"/>
      <c r="I655"/>
      <c r="J655"/>
      <c r="K655"/>
      <c r="L655"/>
      <c r="M655"/>
      <c r="N655"/>
      <c r="O655"/>
    </row>
    <row r="656" spans="6:15">
      <c r="F656"/>
      <c r="G656"/>
      <c r="H656"/>
      <c r="I656"/>
      <c r="J656"/>
      <c r="K656"/>
      <c r="L656"/>
      <c r="M656"/>
      <c r="N656"/>
      <c r="O656"/>
    </row>
    <row r="657" spans="6:15">
      <c r="F657"/>
      <c r="G657"/>
      <c r="H657"/>
      <c r="I657"/>
      <c r="J657"/>
      <c r="K657"/>
      <c r="L657"/>
      <c r="M657"/>
      <c r="N657"/>
      <c r="O657"/>
    </row>
    <row r="658" spans="6:15">
      <c r="F658"/>
      <c r="G658"/>
      <c r="H658"/>
      <c r="I658"/>
      <c r="J658"/>
      <c r="K658"/>
      <c r="L658"/>
      <c r="M658"/>
      <c r="N658"/>
      <c r="O658"/>
    </row>
    <row r="659" spans="6:15">
      <c r="F659"/>
      <c r="G659"/>
      <c r="H659"/>
      <c r="I659"/>
      <c r="J659"/>
      <c r="K659"/>
      <c r="L659"/>
      <c r="M659"/>
      <c r="N659"/>
      <c r="O659"/>
    </row>
    <row r="660" spans="6:15">
      <c r="F660"/>
      <c r="G660"/>
      <c r="H660"/>
      <c r="I660"/>
      <c r="J660"/>
      <c r="K660"/>
      <c r="L660"/>
      <c r="M660"/>
      <c r="N660"/>
      <c r="O660"/>
    </row>
    <row r="661" spans="6:15">
      <c r="F661"/>
      <c r="G661"/>
      <c r="H661"/>
      <c r="I661"/>
      <c r="J661"/>
      <c r="K661"/>
      <c r="L661"/>
      <c r="M661"/>
      <c r="N661"/>
      <c r="O661"/>
    </row>
    <row r="662" spans="6:15">
      <c r="F662"/>
      <c r="G662"/>
      <c r="H662"/>
      <c r="I662"/>
      <c r="J662"/>
      <c r="K662"/>
      <c r="L662"/>
      <c r="M662"/>
      <c r="N662"/>
      <c r="O662"/>
    </row>
    <row r="663" spans="6:15">
      <c r="F663"/>
      <c r="G663"/>
      <c r="H663"/>
      <c r="I663"/>
      <c r="J663"/>
      <c r="K663"/>
      <c r="L663"/>
      <c r="M663"/>
      <c r="N663"/>
      <c r="O663"/>
    </row>
    <row r="664" spans="6:15">
      <c r="F664"/>
      <c r="G664"/>
      <c r="H664"/>
      <c r="I664"/>
      <c r="J664"/>
      <c r="K664"/>
      <c r="L664"/>
      <c r="M664"/>
      <c r="N664"/>
      <c r="O664"/>
    </row>
    <row r="665" spans="6:15">
      <c r="F665"/>
      <c r="G665"/>
      <c r="H665"/>
      <c r="I665"/>
      <c r="J665"/>
      <c r="K665"/>
      <c r="L665"/>
      <c r="M665"/>
      <c r="N665"/>
      <c r="O665"/>
    </row>
    <row r="666" spans="6:15">
      <c r="F666"/>
      <c r="G666"/>
      <c r="H666"/>
      <c r="I666"/>
      <c r="J666"/>
      <c r="K666"/>
      <c r="L666"/>
      <c r="M666"/>
      <c r="N666"/>
      <c r="O666"/>
    </row>
    <row r="667" spans="6:15">
      <c r="F667"/>
      <c r="G667"/>
      <c r="H667"/>
      <c r="I667"/>
      <c r="J667"/>
      <c r="K667"/>
      <c r="L667"/>
      <c r="M667"/>
      <c r="N667"/>
      <c r="O667"/>
    </row>
    <row r="668" spans="6:15">
      <c r="F668"/>
      <c r="G668"/>
      <c r="H668"/>
      <c r="I668"/>
      <c r="J668"/>
      <c r="K668"/>
      <c r="L668"/>
      <c r="M668"/>
      <c r="N668"/>
      <c r="O668"/>
    </row>
    <row r="669" spans="6:15">
      <c r="F669"/>
      <c r="G669"/>
      <c r="H669"/>
      <c r="I669"/>
      <c r="J669"/>
      <c r="K669"/>
      <c r="L669"/>
      <c r="M669"/>
      <c r="N669"/>
      <c r="O669"/>
    </row>
    <row r="670" spans="6:15">
      <c r="F670"/>
      <c r="G670"/>
      <c r="H670"/>
      <c r="I670"/>
      <c r="J670"/>
      <c r="K670"/>
      <c r="L670"/>
      <c r="M670"/>
      <c r="N670"/>
      <c r="O670"/>
    </row>
    <row r="671" spans="6:15">
      <c r="F671"/>
      <c r="G671"/>
      <c r="H671"/>
      <c r="I671"/>
      <c r="J671"/>
      <c r="K671"/>
      <c r="L671"/>
      <c r="M671"/>
      <c r="N671"/>
      <c r="O671"/>
    </row>
    <row r="672" spans="6:15">
      <c r="F672"/>
      <c r="G672"/>
      <c r="H672"/>
      <c r="I672"/>
      <c r="J672"/>
      <c r="K672"/>
      <c r="L672"/>
      <c r="M672"/>
      <c r="N672"/>
      <c r="O672"/>
    </row>
    <row r="673" spans="6:15">
      <c r="F673"/>
      <c r="G673"/>
      <c r="H673"/>
      <c r="I673"/>
      <c r="J673"/>
      <c r="K673"/>
      <c r="L673"/>
      <c r="M673"/>
      <c r="N673"/>
      <c r="O673"/>
    </row>
    <row r="674" spans="6:15">
      <c r="F674"/>
      <c r="G674"/>
      <c r="H674"/>
      <c r="I674"/>
      <c r="J674"/>
      <c r="K674"/>
      <c r="L674"/>
      <c r="M674"/>
      <c r="N674"/>
      <c r="O674"/>
    </row>
    <row r="675" spans="6:15">
      <c r="F675"/>
      <c r="G675"/>
      <c r="H675"/>
      <c r="I675"/>
      <c r="J675"/>
      <c r="K675"/>
      <c r="L675"/>
      <c r="M675"/>
      <c r="N675"/>
      <c r="O675"/>
    </row>
    <row r="676" spans="6:15">
      <c r="F676"/>
      <c r="G676"/>
      <c r="H676"/>
      <c r="I676"/>
      <c r="J676"/>
      <c r="K676"/>
      <c r="L676"/>
      <c r="M676"/>
      <c r="N676"/>
      <c r="O676"/>
    </row>
    <row r="677" spans="6:15">
      <c r="F677"/>
      <c r="G677"/>
      <c r="H677"/>
      <c r="I677"/>
      <c r="J677"/>
      <c r="K677"/>
      <c r="L677"/>
      <c r="M677"/>
      <c r="N677"/>
      <c r="O677"/>
    </row>
    <row r="678" spans="6:15">
      <c r="F678"/>
      <c r="G678"/>
      <c r="H678"/>
      <c r="I678"/>
      <c r="J678"/>
      <c r="K678"/>
      <c r="L678"/>
      <c r="M678"/>
      <c r="N678"/>
      <c r="O678"/>
    </row>
    <row r="679" spans="6:15">
      <c r="F679"/>
      <c r="G679"/>
      <c r="H679"/>
      <c r="I679"/>
      <c r="J679"/>
      <c r="K679"/>
      <c r="L679"/>
      <c r="M679"/>
      <c r="N679"/>
      <c r="O679"/>
    </row>
    <row r="680" spans="6:15">
      <c r="F680"/>
      <c r="G680"/>
      <c r="H680"/>
      <c r="I680"/>
      <c r="J680"/>
      <c r="K680"/>
      <c r="L680"/>
      <c r="M680"/>
      <c r="N680"/>
      <c r="O680"/>
    </row>
    <row r="681" spans="6:15">
      <c r="F681"/>
      <c r="G681"/>
      <c r="H681"/>
      <c r="I681"/>
      <c r="J681"/>
      <c r="K681"/>
      <c r="L681"/>
      <c r="M681"/>
      <c r="N681"/>
      <c r="O681"/>
    </row>
    <row r="682" spans="6:15">
      <c r="F682"/>
      <c r="G682"/>
      <c r="H682"/>
      <c r="I682"/>
      <c r="J682"/>
      <c r="K682"/>
      <c r="L682"/>
      <c r="M682"/>
      <c r="N682"/>
      <c r="O682"/>
    </row>
    <row r="683" spans="6:15">
      <c r="F683"/>
      <c r="G683"/>
      <c r="H683"/>
      <c r="I683"/>
      <c r="J683"/>
      <c r="K683"/>
      <c r="L683"/>
      <c r="M683"/>
      <c r="N683"/>
      <c r="O683"/>
    </row>
    <row r="684" spans="6:15">
      <c r="F684"/>
      <c r="G684"/>
      <c r="H684"/>
      <c r="I684"/>
      <c r="J684"/>
      <c r="K684"/>
      <c r="L684"/>
      <c r="M684"/>
      <c r="N684"/>
      <c r="O684"/>
    </row>
    <row r="685" spans="6:15">
      <c r="F685"/>
      <c r="G685"/>
      <c r="H685"/>
      <c r="I685"/>
      <c r="J685"/>
      <c r="K685"/>
      <c r="L685"/>
      <c r="M685"/>
      <c r="N685"/>
      <c r="O685"/>
    </row>
    <row r="686" spans="6:15">
      <c r="F686"/>
      <c r="G686"/>
      <c r="H686"/>
      <c r="I686"/>
      <c r="J686"/>
      <c r="K686"/>
      <c r="L686"/>
      <c r="M686"/>
      <c r="N686"/>
      <c r="O686"/>
    </row>
    <row r="687" spans="6:15">
      <c r="F687"/>
      <c r="G687"/>
      <c r="H687"/>
      <c r="I687"/>
      <c r="J687"/>
      <c r="K687"/>
      <c r="L687"/>
      <c r="M687"/>
      <c r="N687"/>
      <c r="O687"/>
    </row>
    <row r="688" spans="6:15">
      <c r="F688"/>
      <c r="G688"/>
      <c r="H688"/>
      <c r="I688"/>
      <c r="J688"/>
      <c r="K688"/>
      <c r="L688"/>
      <c r="M688"/>
      <c r="N688"/>
      <c r="O688"/>
    </row>
    <row r="689" spans="6:15">
      <c r="F689"/>
      <c r="G689"/>
      <c r="H689"/>
      <c r="I689"/>
      <c r="J689"/>
      <c r="K689"/>
      <c r="L689"/>
      <c r="M689"/>
      <c r="N689"/>
      <c r="O689"/>
    </row>
    <row r="690" spans="6:15">
      <c r="F690"/>
      <c r="G690"/>
      <c r="H690"/>
      <c r="I690"/>
      <c r="J690"/>
      <c r="K690"/>
      <c r="L690"/>
      <c r="M690"/>
      <c r="N690"/>
      <c r="O690"/>
    </row>
    <row r="691" spans="6:15">
      <c r="F691"/>
      <c r="G691"/>
      <c r="H691"/>
      <c r="I691"/>
      <c r="J691"/>
      <c r="K691"/>
      <c r="L691"/>
      <c r="M691"/>
      <c r="N691"/>
      <c r="O691"/>
    </row>
    <row r="692" spans="6:15">
      <c r="F692"/>
      <c r="G692"/>
      <c r="H692"/>
      <c r="I692"/>
      <c r="J692"/>
      <c r="K692"/>
      <c r="L692"/>
      <c r="M692"/>
      <c r="N692"/>
      <c r="O692"/>
    </row>
    <row r="693" spans="6:15">
      <c r="F693"/>
      <c r="G693"/>
      <c r="H693"/>
      <c r="I693"/>
      <c r="J693"/>
      <c r="K693"/>
      <c r="L693"/>
      <c r="M693"/>
      <c r="N693"/>
      <c r="O693"/>
    </row>
    <row r="694" spans="6:15">
      <c r="F694"/>
      <c r="G694"/>
      <c r="H694"/>
      <c r="I694"/>
      <c r="J694"/>
      <c r="K694"/>
      <c r="L694"/>
      <c r="M694"/>
      <c r="N694"/>
      <c r="O694"/>
    </row>
    <row r="695" spans="6:15">
      <c r="F695"/>
      <c r="G695"/>
      <c r="H695"/>
      <c r="I695"/>
      <c r="J695"/>
      <c r="K695"/>
      <c r="L695"/>
      <c r="M695"/>
      <c r="N695"/>
      <c r="O695"/>
    </row>
    <row r="696" spans="6:15">
      <c r="F696"/>
      <c r="G696"/>
      <c r="H696"/>
      <c r="I696"/>
      <c r="J696"/>
      <c r="K696"/>
      <c r="L696"/>
      <c r="M696"/>
      <c r="N696"/>
      <c r="O696"/>
    </row>
    <row r="697" spans="6:15">
      <c r="F697"/>
      <c r="G697"/>
      <c r="H697"/>
      <c r="I697"/>
      <c r="J697"/>
      <c r="K697"/>
      <c r="L697"/>
      <c r="M697"/>
      <c r="N697"/>
      <c r="O697"/>
    </row>
    <row r="698" spans="6:15">
      <c r="F698"/>
      <c r="G698"/>
      <c r="H698"/>
      <c r="I698"/>
      <c r="J698"/>
      <c r="K698"/>
      <c r="L698"/>
      <c r="M698"/>
      <c r="N698"/>
      <c r="O698"/>
    </row>
    <row r="699" spans="6:15">
      <c r="F699"/>
      <c r="G699"/>
      <c r="H699"/>
      <c r="I699"/>
      <c r="J699"/>
      <c r="K699"/>
      <c r="L699"/>
      <c r="M699"/>
      <c r="N699"/>
      <c r="O699"/>
    </row>
    <row r="700" spans="6:15">
      <c r="F700"/>
      <c r="G700"/>
      <c r="H700"/>
      <c r="I700"/>
      <c r="J700"/>
      <c r="K700"/>
      <c r="L700"/>
      <c r="M700"/>
      <c r="N700"/>
      <c r="O700"/>
    </row>
    <row r="701" spans="6:15">
      <c r="F701"/>
      <c r="G701"/>
      <c r="H701"/>
      <c r="I701"/>
      <c r="J701"/>
      <c r="K701"/>
      <c r="L701"/>
      <c r="M701"/>
      <c r="N701"/>
      <c r="O701"/>
    </row>
    <row r="702" spans="6:15">
      <c r="F702"/>
      <c r="G702"/>
      <c r="H702"/>
      <c r="I702"/>
      <c r="J702"/>
      <c r="K702"/>
      <c r="L702"/>
      <c r="M702"/>
      <c r="N702"/>
      <c r="O702"/>
    </row>
    <row r="703" spans="6:15">
      <c r="F703"/>
      <c r="G703"/>
      <c r="H703"/>
      <c r="I703"/>
      <c r="J703"/>
      <c r="K703"/>
      <c r="L703"/>
      <c r="M703"/>
      <c r="N703"/>
      <c r="O703"/>
    </row>
    <row r="704" spans="6:15">
      <c r="F704"/>
      <c r="G704"/>
      <c r="H704"/>
      <c r="I704"/>
      <c r="J704"/>
      <c r="K704"/>
      <c r="L704"/>
      <c r="M704"/>
      <c r="N704"/>
      <c r="O704"/>
    </row>
    <row r="705" spans="6:15">
      <c r="F705"/>
      <c r="G705"/>
      <c r="H705"/>
      <c r="I705"/>
      <c r="J705"/>
      <c r="K705"/>
      <c r="L705"/>
      <c r="M705"/>
      <c r="N705"/>
      <c r="O705"/>
    </row>
    <row r="706" spans="6:15">
      <c r="F706"/>
      <c r="G706"/>
      <c r="H706"/>
      <c r="I706"/>
      <c r="J706"/>
      <c r="K706"/>
      <c r="L706"/>
      <c r="M706"/>
      <c r="N706"/>
      <c r="O706"/>
    </row>
    <row r="707" spans="6:15">
      <c r="F707"/>
      <c r="G707"/>
      <c r="H707"/>
      <c r="I707"/>
      <c r="J707"/>
      <c r="K707"/>
      <c r="L707"/>
      <c r="M707"/>
      <c r="N707"/>
      <c r="O707"/>
    </row>
    <row r="708" spans="6:15">
      <c r="F708"/>
      <c r="G708"/>
      <c r="H708"/>
      <c r="I708"/>
      <c r="J708"/>
      <c r="K708"/>
      <c r="L708"/>
      <c r="M708"/>
      <c r="N708"/>
      <c r="O708"/>
    </row>
    <row r="709" spans="6:15">
      <c r="F709"/>
      <c r="G709"/>
      <c r="H709"/>
      <c r="I709"/>
      <c r="J709"/>
      <c r="K709"/>
      <c r="L709"/>
      <c r="M709"/>
      <c r="N709"/>
      <c r="O709"/>
    </row>
    <row r="710" spans="6:15">
      <c r="F710"/>
      <c r="G710"/>
      <c r="H710"/>
      <c r="I710"/>
      <c r="J710"/>
      <c r="K710"/>
      <c r="L710"/>
      <c r="M710"/>
      <c r="N710"/>
      <c r="O710"/>
    </row>
    <row r="711" spans="6:15">
      <c r="F711"/>
      <c r="G711"/>
      <c r="H711"/>
      <c r="I711"/>
      <c r="J711"/>
      <c r="K711"/>
      <c r="L711"/>
      <c r="M711"/>
      <c r="N711"/>
      <c r="O711"/>
    </row>
    <row r="712" spans="6:15">
      <c r="F712"/>
      <c r="G712"/>
      <c r="H712"/>
      <c r="I712"/>
      <c r="J712"/>
      <c r="K712"/>
      <c r="L712"/>
      <c r="M712"/>
      <c r="N712"/>
      <c r="O712"/>
    </row>
    <row r="713" spans="6:15">
      <c r="F713"/>
      <c r="G713"/>
      <c r="H713"/>
      <c r="I713"/>
      <c r="J713"/>
      <c r="K713"/>
      <c r="L713"/>
      <c r="M713"/>
      <c r="N713"/>
      <c r="O713"/>
    </row>
    <row r="714" spans="6:15">
      <c r="F714"/>
      <c r="G714"/>
      <c r="H714"/>
      <c r="I714"/>
      <c r="J714"/>
      <c r="K714"/>
      <c r="L714"/>
      <c r="M714"/>
      <c r="N714"/>
      <c r="O714"/>
    </row>
    <row r="715" spans="6:15">
      <c r="F715"/>
      <c r="G715"/>
      <c r="H715"/>
      <c r="I715"/>
      <c r="J715"/>
      <c r="K715"/>
      <c r="L715"/>
      <c r="M715"/>
      <c r="N715"/>
      <c r="O715"/>
    </row>
    <row r="716" spans="6:15">
      <c r="F716"/>
      <c r="G716"/>
      <c r="H716"/>
      <c r="I716"/>
      <c r="J716"/>
      <c r="K716"/>
      <c r="L716"/>
      <c r="M716"/>
      <c r="N716"/>
      <c r="O716"/>
    </row>
    <row r="717" spans="6:15">
      <c r="F717"/>
      <c r="G717"/>
      <c r="H717"/>
      <c r="I717"/>
      <c r="J717"/>
      <c r="K717"/>
      <c r="L717"/>
      <c r="M717"/>
      <c r="N717"/>
      <c r="O717"/>
    </row>
    <row r="718" spans="6:15">
      <c r="F718"/>
      <c r="G718"/>
      <c r="H718"/>
      <c r="I718"/>
      <c r="J718"/>
      <c r="K718"/>
      <c r="L718"/>
      <c r="M718"/>
      <c r="N718"/>
      <c r="O718"/>
    </row>
    <row r="719" spans="6:15">
      <c r="F719"/>
      <c r="G719"/>
      <c r="H719"/>
      <c r="I719"/>
      <c r="J719"/>
      <c r="K719"/>
      <c r="L719"/>
      <c r="M719"/>
      <c r="N719"/>
      <c r="O719"/>
    </row>
    <row r="720" spans="6:15">
      <c r="F720"/>
      <c r="G720"/>
      <c r="H720"/>
      <c r="I720"/>
      <c r="J720"/>
      <c r="K720"/>
      <c r="L720"/>
      <c r="M720"/>
      <c r="N720"/>
      <c r="O720"/>
    </row>
    <row r="721" spans="6:15">
      <c r="F721"/>
      <c r="G721"/>
      <c r="H721"/>
      <c r="I721"/>
      <c r="J721"/>
      <c r="K721"/>
      <c r="L721"/>
      <c r="M721"/>
      <c r="N721"/>
      <c r="O721"/>
    </row>
    <row r="722" spans="6:15">
      <c r="F722"/>
      <c r="G722"/>
      <c r="H722"/>
      <c r="I722"/>
      <c r="J722"/>
      <c r="K722"/>
      <c r="L722"/>
      <c r="M722"/>
      <c r="N722"/>
      <c r="O722"/>
    </row>
    <row r="723" spans="6:15">
      <c r="F723"/>
      <c r="G723"/>
      <c r="H723"/>
      <c r="I723"/>
      <c r="J723"/>
      <c r="K723"/>
      <c r="L723"/>
      <c r="M723"/>
      <c r="N723"/>
      <c r="O723"/>
    </row>
    <row r="724" spans="6:15">
      <c r="F724"/>
      <c r="G724"/>
      <c r="H724"/>
      <c r="I724"/>
      <c r="J724"/>
      <c r="K724"/>
      <c r="L724"/>
      <c r="M724"/>
      <c r="N724"/>
      <c r="O724"/>
    </row>
    <row r="725" spans="6:15">
      <c r="F725"/>
      <c r="G725"/>
      <c r="H725"/>
      <c r="I725"/>
      <c r="J725"/>
      <c r="K725"/>
      <c r="L725"/>
      <c r="M725"/>
      <c r="N725"/>
      <c r="O725"/>
    </row>
    <row r="726" spans="6:15">
      <c r="F726"/>
      <c r="G726"/>
      <c r="H726"/>
      <c r="I726"/>
      <c r="J726"/>
      <c r="K726"/>
      <c r="L726"/>
      <c r="M726"/>
      <c r="N726"/>
      <c r="O726"/>
    </row>
    <row r="727" spans="6:15">
      <c r="F727"/>
      <c r="G727"/>
      <c r="H727"/>
      <c r="I727"/>
      <c r="J727"/>
      <c r="K727"/>
      <c r="L727"/>
      <c r="M727"/>
      <c r="N727"/>
      <c r="O727"/>
    </row>
    <row r="728" spans="6:15">
      <c r="F728"/>
      <c r="G728"/>
      <c r="H728"/>
      <c r="I728"/>
      <c r="J728"/>
      <c r="K728"/>
      <c r="L728"/>
      <c r="M728"/>
      <c r="N728"/>
      <c r="O728"/>
    </row>
    <row r="729" spans="6:15">
      <c r="F729"/>
      <c r="G729"/>
      <c r="H729"/>
      <c r="I729"/>
      <c r="J729"/>
      <c r="K729"/>
      <c r="L729"/>
      <c r="M729"/>
      <c r="N729"/>
      <c r="O729"/>
    </row>
    <row r="730" spans="6:15">
      <c r="F730"/>
      <c r="G730"/>
      <c r="H730"/>
      <c r="I730"/>
      <c r="J730"/>
      <c r="K730"/>
      <c r="L730"/>
      <c r="M730"/>
      <c r="N730"/>
      <c r="O730"/>
    </row>
    <row r="731" spans="6:15">
      <c r="F731"/>
      <c r="G731"/>
      <c r="H731"/>
      <c r="I731"/>
      <c r="J731"/>
      <c r="K731"/>
      <c r="L731"/>
      <c r="M731"/>
      <c r="N731"/>
      <c r="O731"/>
    </row>
    <row r="732" spans="6:15">
      <c r="F732"/>
      <c r="G732"/>
      <c r="H732"/>
      <c r="I732"/>
      <c r="J732"/>
      <c r="K732"/>
      <c r="L732"/>
      <c r="M732"/>
      <c r="N732"/>
      <c r="O732"/>
    </row>
    <row r="733" spans="6:15">
      <c r="F733"/>
      <c r="G733"/>
      <c r="H733"/>
      <c r="I733"/>
      <c r="J733"/>
      <c r="K733"/>
      <c r="L733"/>
      <c r="M733"/>
      <c r="N733"/>
      <c r="O733"/>
    </row>
    <row r="734" spans="6:15">
      <c r="F734"/>
      <c r="G734"/>
      <c r="H734"/>
      <c r="I734"/>
      <c r="J734"/>
      <c r="K734"/>
      <c r="L734"/>
      <c r="M734"/>
      <c r="N734"/>
      <c r="O734"/>
    </row>
    <row r="735" spans="6:15">
      <c r="F735"/>
      <c r="G735"/>
      <c r="H735"/>
      <c r="I735"/>
      <c r="J735"/>
      <c r="K735"/>
      <c r="L735"/>
      <c r="M735"/>
      <c r="N735"/>
      <c r="O735"/>
    </row>
    <row r="736" spans="6:15">
      <c r="F736"/>
      <c r="G736"/>
      <c r="H736"/>
      <c r="I736"/>
      <c r="J736"/>
      <c r="K736"/>
      <c r="L736"/>
      <c r="M736"/>
      <c r="N736"/>
      <c r="O736"/>
    </row>
    <row r="737" spans="6:15">
      <c r="F737"/>
      <c r="G737"/>
      <c r="H737"/>
      <c r="I737"/>
      <c r="J737"/>
      <c r="K737"/>
      <c r="L737"/>
      <c r="M737"/>
      <c r="N737"/>
      <c r="O737"/>
    </row>
    <row r="738" spans="6:15">
      <c r="F738"/>
      <c r="G738"/>
      <c r="H738"/>
      <c r="I738"/>
      <c r="J738"/>
      <c r="K738"/>
      <c r="L738"/>
      <c r="M738"/>
      <c r="N738"/>
      <c r="O738"/>
    </row>
    <row r="739" spans="6:15">
      <c r="F739"/>
      <c r="G739"/>
      <c r="H739"/>
      <c r="I739"/>
      <c r="J739"/>
      <c r="K739"/>
      <c r="L739"/>
      <c r="M739"/>
      <c r="N739"/>
      <c r="O739"/>
    </row>
    <row r="740" spans="6:15">
      <c r="F740"/>
      <c r="G740"/>
      <c r="H740"/>
      <c r="I740"/>
      <c r="J740"/>
      <c r="K740"/>
      <c r="L740"/>
      <c r="M740"/>
      <c r="N740"/>
      <c r="O740"/>
    </row>
    <row r="741" spans="6:15">
      <c r="F741"/>
      <c r="G741"/>
      <c r="H741"/>
      <c r="I741"/>
      <c r="J741"/>
      <c r="K741"/>
      <c r="L741"/>
      <c r="M741"/>
      <c r="N741"/>
      <c r="O741"/>
    </row>
    <row r="742" spans="6:15">
      <c r="F742"/>
      <c r="G742"/>
      <c r="H742"/>
      <c r="I742"/>
      <c r="J742"/>
      <c r="K742"/>
      <c r="L742"/>
      <c r="M742"/>
      <c r="N742"/>
      <c r="O742"/>
    </row>
    <row r="743" spans="6:15">
      <c r="F743"/>
      <c r="G743"/>
      <c r="H743"/>
      <c r="I743"/>
      <c r="J743"/>
      <c r="K743"/>
      <c r="L743"/>
      <c r="M743"/>
      <c r="N743"/>
      <c r="O743"/>
    </row>
    <row r="744" spans="6:15">
      <c r="F744"/>
      <c r="G744"/>
      <c r="H744"/>
      <c r="I744"/>
      <c r="J744"/>
      <c r="K744"/>
      <c r="L744"/>
      <c r="M744"/>
      <c r="N744"/>
      <c r="O744"/>
    </row>
    <row r="745" spans="6:15">
      <c r="F745"/>
      <c r="G745"/>
      <c r="H745"/>
      <c r="I745"/>
      <c r="J745"/>
      <c r="K745"/>
      <c r="L745"/>
      <c r="M745"/>
      <c r="N745"/>
      <c r="O745"/>
    </row>
    <row r="746" spans="6:15">
      <c r="F746"/>
      <c r="G746"/>
      <c r="H746"/>
      <c r="I746"/>
      <c r="J746"/>
      <c r="K746"/>
      <c r="L746"/>
      <c r="M746"/>
      <c r="N746"/>
      <c r="O746"/>
    </row>
    <row r="747" spans="6:15">
      <c r="F747"/>
      <c r="G747"/>
      <c r="H747"/>
      <c r="I747"/>
      <c r="J747"/>
      <c r="K747"/>
      <c r="L747"/>
      <c r="M747"/>
      <c r="N747"/>
      <c r="O747"/>
    </row>
    <row r="748" spans="6:15">
      <c r="F748"/>
      <c r="G748"/>
      <c r="H748"/>
      <c r="I748"/>
      <c r="J748"/>
      <c r="K748"/>
      <c r="L748"/>
      <c r="M748"/>
      <c r="N748"/>
      <c r="O748"/>
    </row>
    <row r="749" spans="6:15">
      <c r="F749"/>
      <c r="G749"/>
      <c r="H749"/>
      <c r="I749"/>
      <c r="J749"/>
      <c r="K749"/>
      <c r="L749"/>
      <c r="M749"/>
      <c r="N749"/>
      <c r="O749"/>
    </row>
    <row r="750" spans="6:15">
      <c r="F750"/>
      <c r="G750"/>
      <c r="H750"/>
      <c r="I750"/>
      <c r="J750"/>
      <c r="K750"/>
      <c r="L750"/>
      <c r="M750"/>
      <c r="N750"/>
      <c r="O750"/>
    </row>
    <row r="751" spans="6:15">
      <c r="F751"/>
      <c r="G751"/>
      <c r="H751"/>
      <c r="I751"/>
      <c r="J751"/>
      <c r="K751"/>
      <c r="L751"/>
      <c r="M751"/>
      <c r="N751"/>
      <c r="O751"/>
    </row>
    <row r="752" spans="6:15">
      <c r="F752"/>
      <c r="G752"/>
      <c r="H752"/>
      <c r="I752"/>
      <c r="J752"/>
      <c r="K752"/>
      <c r="L752"/>
      <c r="M752"/>
      <c r="N752"/>
      <c r="O752"/>
    </row>
    <row r="753" spans="6:15">
      <c r="F753"/>
      <c r="G753"/>
      <c r="H753"/>
      <c r="I753"/>
      <c r="J753"/>
      <c r="K753"/>
      <c r="L753"/>
      <c r="M753"/>
      <c r="N753"/>
      <c r="O753"/>
    </row>
    <row r="754" spans="6:15">
      <c r="F754"/>
      <c r="G754"/>
      <c r="H754"/>
      <c r="I754"/>
      <c r="J754"/>
      <c r="K754"/>
      <c r="L754"/>
      <c r="M754"/>
      <c r="N754"/>
      <c r="O754"/>
    </row>
    <row r="755" spans="6:15">
      <c r="F755"/>
      <c r="G755"/>
      <c r="H755"/>
      <c r="I755"/>
      <c r="J755"/>
      <c r="K755"/>
      <c r="L755"/>
      <c r="M755"/>
      <c r="N755"/>
      <c r="O755"/>
    </row>
    <row r="756" spans="6:15">
      <c r="F756"/>
      <c r="G756"/>
      <c r="H756"/>
      <c r="I756"/>
      <c r="J756"/>
      <c r="K756"/>
      <c r="L756"/>
      <c r="M756"/>
      <c r="N756"/>
      <c r="O756"/>
    </row>
    <row r="757" spans="6:15">
      <c r="F757"/>
      <c r="G757"/>
      <c r="H757"/>
      <c r="I757"/>
      <c r="J757"/>
      <c r="K757"/>
      <c r="L757"/>
      <c r="M757"/>
      <c r="N757"/>
      <c r="O757"/>
    </row>
    <row r="758" spans="6:15">
      <c r="F758"/>
      <c r="G758"/>
      <c r="H758"/>
      <c r="I758"/>
      <c r="J758"/>
      <c r="K758"/>
      <c r="L758"/>
      <c r="M758"/>
      <c r="N758"/>
      <c r="O758"/>
    </row>
    <row r="759" spans="6:15">
      <c r="F759"/>
      <c r="G759"/>
      <c r="H759"/>
      <c r="I759"/>
      <c r="J759"/>
      <c r="K759"/>
      <c r="L759"/>
      <c r="M759"/>
      <c r="N759"/>
      <c r="O759"/>
    </row>
    <row r="760" spans="6:15">
      <c r="F760"/>
      <c r="G760"/>
      <c r="H760"/>
      <c r="I760"/>
      <c r="J760"/>
      <c r="K760"/>
      <c r="L760"/>
      <c r="M760"/>
      <c r="N760"/>
      <c r="O760"/>
    </row>
    <row r="761" spans="6:15">
      <c r="F761"/>
      <c r="G761"/>
      <c r="H761"/>
      <c r="I761"/>
      <c r="J761"/>
      <c r="K761"/>
      <c r="L761"/>
      <c r="M761"/>
      <c r="N761"/>
      <c r="O761"/>
    </row>
    <row r="762" spans="6:15">
      <c r="F762"/>
      <c r="G762"/>
      <c r="H762"/>
      <c r="I762"/>
      <c r="J762"/>
      <c r="K762"/>
      <c r="L762"/>
      <c r="M762"/>
      <c r="N762"/>
      <c r="O762"/>
    </row>
    <row r="763" spans="6:15">
      <c r="F763"/>
      <c r="G763"/>
      <c r="H763"/>
      <c r="I763"/>
      <c r="J763"/>
      <c r="K763"/>
      <c r="L763"/>
      <c r="M763"/>
      <c r="N763"/>
      <c r="O763"/>
    </row>
    <row r="764" spans="6:15">
      <c r="F764"/>
      <c r="G764"/>
      <c r="H764"/>
      <c r="I764"/>
      <c r="J764"/>
      <c r="K764"/>
      <c r="L764"/>
      <c r="M764"/>
      <c r="N764"/>
      <c r="O764"/>
    </row>
    <row r="765" spans="6:15">
      <c r="F765"/>
      <c r="G765"/>
      <c r="H765"/>
      <c r="I765"/>
      <c r="J765"/>
      <c r="K765"/>
      <c r="L765"/>
      <c r="M765"/>
      <c r="N765"/>
      <c r="O765"/>
    </row>
    <row r="766" spans="6:15">
      <c r="F766"/>
      <c r="G766"/>
      <c r="H766"/>
      <c r="I766"/>
      <c r="J766"/>
      <c r="K766"/>
      <c r="L766"/>
      <c r="M766"/>
      <c r="N766"/>
      <c r="O766"/>
    </row>
    <row r="767" spans="6:15">
      <c r="F767"/>
      <c r="G767"/>
      <c r="H767"/>
      <c r="I767"/>
      <c r="J767"/>
      <c r="K767"/>
      <c r="L767"/>
      <c r="M767"/>
      <c r="N767"/>
      <c r="O767"/>
    </row>
    <row r="768" spans="6:15">
      <c r="F768"/>
      <c r="G768"/>
      <c r="H768"/>
      <c r="I768"/>
      <c r="J768"/>
      <c r="K768"/>
      <c r="L768"/>
      <c r="M768"/>
      <c r="N768"/>
      <c r="O768"/>
    </row>
    <row r="769" spans="6:15">
      <c r="F769"/>
      <c r="G769"/>
      <c r="H769"/>
      <c r="I769"/>
      <c r="J769"/>
      <c r="K769"/>
      <c r="L769"/>
      <c r="M769"/>
      <c r="N769"/>
      <c r="O769"/>
    </row>
    <row r="770" spans="6:15">
      <c r="F770"/>
      <c r="G770"/>
      <c r="H770"/>
      <c r="I770"/>
      <c r="J770"/>
      <c r="K770"/>
      <c r="L770"/>
      <c r="M770"/>
      <c r="N770"/>
      <c r="O770"/>
    </row>
    <row r="771" spans="6:15">
      <c r="F771"/>
      <c r="G771"/>
      <c r="H771"/>
      <c r="I771"/>
      <c r="J771"/>
      <c r="K771"/>
      <c r="L771"/>
      <c r="M771"/>
      <c r="N771"/>
      <c r="O771"/>
    </row>
    <row r="772" spans="6:15">
      <c r="F772"/>
      <c r="G772"/>
      <c r="H772"/>
      <c r="I772"/>
      <c r="J772"/>
      <c r="K772"/>
      <c r="L772"/>
      <c r="M772"/>
      <c r="N772"/>
      <c r="O772"/>
    </row>
    <row r="773" spans="6:15">
      <c r="F773"/>
      <c r="G773"/>
      <c r="H773"/>
      <c r="I773"/>
      <c r="J773"/>
      <c r="K773"/>
      <c r="L773"/>
      <c r="M773"/>
      <c r="N773"/>
      <c r="O773"/>
    </row>
    <row r="774" spans="6:15">
      <c r="F774"/>
      <c r="G774"/>
      <c r="H774"/>
      <c r="I774"/>
      <c r="J774"/>
      <c r="K774"/>
      <c r="L774"/>
      <c r="M774"/>
      <c r="N774"/>
      <c r="O774"/>
    </row>
    <row r="775" spans="6:15">
      <c r="F775"/>
      <c r="G775"/>
      <c r="H775"/>
      <c r="I775"/>
      <c r="J775"/>
      <c r="K775"/>
      <c r="L775"/>
      <c r="M775"/>
      <c r="N775"/>
      <c r="O775"/>
    </row>
    <row r="776" spans="6:15">
      <c r="F776"/>
      <c r="G776"/>
      <c r="H776"/>
      <c r="I776"/>
      <c r="J776"/>
      <c r="K776"/>
      <c r="L776"/>
      <c r="M776"/>
      <c r="N776"/>
      <c r="O776"/>
    </row>
    <row r="777" spans="6:15">
      <c r="F777"/>
      <c r="G777"/>
      <c r="H777"/>
      <c r="I777"/>
      <c r="J777"/>
      <c r="K777"/>
      <c r="L777"/>
      <c r="M777"/>
      <c r="N777"/>
      <c r="O777"/>
    </row>
    <row r="778" spans="6:15">
      <c r="F778"/>
      <c r="G778"/>
      <c r="H778"/>
      <c r="I778"/>
      <c r="J778"/>
      <c r="K778"/>
      <c r="L778"/>
      <c r="M778"/>
      <c r="N778"/>
      <c r="O778"/>
    </row>
    <row r="779" spans="6:15">
      <c r="F779"/>
      <c r="G779"/>
      <c r="H779"/>
      <c r="I779"/>
      <c r="J779"/>
      <c r="K779"/>
      <c r="L779"/>
      <c r="M779"/>
      <c r="N779"/>
      <c r="O779"/>
    </row>
    <row r="780" spans="6:15">
      <c r="F780"/>
      <c r="G780"/>
      <c r="H780"/>
      <c r="I780"/>
      <c r="J780"/>
      <c r="K780"/>
      <c r="L780"/>
      <c r="M780"/>
      <c r="N780"/>
      <c r="O780"/>
    </row>
    <row r="781" spans="6:15">
      <c r="F781"/>
      <c r="G781"/>
      <c r="H781"/>
      <c r="I781"/>
      <c r="J781"/>
      <c r="K781"/>
      <c r="L781"/>
      <c r="M781"/>
      <c r="N781"/>
      <c r="O781"/>
    </row>
    <row r="782" spans="6:15">
      <c r="F782"/>
      <c r="G782"/>
      <c r="H782"/>
      <c r="I782"/>
      <c r="J782"/>
      <c r="K782"/>
      <c r="L782"/>
      <c r="M782"/>
      <c r="N782"/>
      <c r="O782"/>
    </row>
    <row r="783" spans="6:15">
      <c r="F783"/>
      <c r="G783"/>
      <c r="H783"/>
      <c r="I783"/>
      <c r="J783"/>
      <c r="K783"/>
      <c r="L783"/>
      <c r="M783"/>
      <c r="N783"/>
      <c r="O783"/>
    </row>
    <row r="784" spans="6:15">
      <c r="F784"/>
      <c r="G784"/>
      <c r="H784"/>
      <c r="I784"/>
      <c r="J784"/>
      <c r="K784"/>
      <c r="L784"/>
      <c r="M784"/>
      <c r="N784"/>
      <c r="O784"/>
    </row>
    <row r="785" spans="6:15">
      <c r="F785"/>
      <c r="G785"/>
      <c r="H785"/>
      <c r="I785"/>
      <c r="J785"/>
      <c r="K785"/>
      <c r="L785"/>
      <c r="M785"/>
      <c r="N785"/>
      <c r="O785"/>
    </row>
    <row r="786" spans="6:15">
      <c r="F786"/>
      <c r="G786"/>
      <c r="H786"/>
      <c r="I786"/>
      <c r="J786"/>
      <c r="K786"/>
      <c r="L786"/>
      <c r="M786"/>
      <c r="N786"/>
      <c r="O786"/>
    </row>
    <row r="787" spans="6:15">
      <c r="F787"/>
      <c r="G787"/>
      <c r="H787"/>
      <c r="I787"/>
      <c r="J787"/>
      <c r="K787"/>
      <c r="L787"/>
      <c r="M787"/>
      <c r="N787"/>
      <c r="O787"/>
    </row>
    <row r="788" spans="6:15">
      <c r="F788"/>
      <c r="G788"/>
      <c r="H788"/>
      <c r="I788"/>
      <c r="J788"/>
      <c r="K788"/>
      <c r="L788"/>
      <c r="M788"/>
      <c r="N788"/>
      <c r="O788"/>
    </row>
    <row r="789" spans="6:15">
      <c r="F789"/>
      <c r="G789"/>
      <c r="H789"/>
      <c r="I789"/>
      <c r="J789"/>
      <c r="K789"/>
      <c r="L789"/>
      <c r="M789"/>
      <c r="N789"/>
      <c r="O789"/>
    </row>
    <row r="790" spans="6:15">
      <c r="F790"/>
      <c r="G790"/>
      <c r="H790"/>
      <c r="I790"/>
      <c r="J790"/>
      <c r="K790"/>
      <c r="L790"/>
      <c r="M790"/>
      <c r="N790"/>
      <c r="O790"/>
    </row>
    <row r="791" spans="6:15">
      <c r="F791"/>
      <c r="G791"/>
      <c r="H791"/>
      <c r="I791"/>
      <c r="J791"/>
      <c r="K791"/>
      <c r="L791"/>
      <c r="M791"/>
      <c r="N791"/>
      <c r="O791"/>
    </row>
    <row r="792" spans="6:15">
      <c r="F792"/>
      <c r="G792"/>
      <c r="H792"/>
      <c r="I792"/>
      <c r="J792"/>
      <c r="K792"/>
      <c r="L792"/>
      <c r="M792"/>
      <c r="N792"/>
      <c r="O792"/>
    </row>
    <row r="793" spans="6:15">
      <c r="F793"/>
      <c r="G793"/>
      <c r="H793"/>
      <c r="I793"/>
      <c r="J793"/>
      <c r="K793"/>
      <c r="L793"/>
      <c r="M793"/>
      <c r="N793"/>
      <c r="O793"/>
    </row>
    <row r="794" spans="6:15">
      <c r="F794"/>
      <c r="G794"/>
      <c r="H794"/>
      <c r="I794"/>
      <c r="J794"/>
      <c r="K794"/>
      <c r="L794"/>
      <c r="M794"/>
      <c r="N794"/>
      <c r="O794"/>
    </row>
    <row r="795" spans="6:15">
      <c r="F795"/>
      <c r="G795"/>
      <c r="H795"/>
      <c r="I795"/>
      <c r="J795"/>
      <c r="K795"/>
      <c r="L795"/>
      <c r="M795"/>
      <c r="N795"/>
      <c r="O795"/>
    </row>
    <row r="796" spans="6:15">
      <c r="F796"/>
      <c r="G796"/>
      <c r="H796"/>
      <c r="I796"/>
      <c r="J796"/>
      <c r="K796"/>
      <c r="L796"/>
      <c r="M796"/>
      <c r="N796"/>
      <c r="O796"/>
    </row>
    <row r="797" spans="6:15">
      <c r="F797"/>
      <c r="G797"/>
      <c r="H797"/>
      <c r="I797"/>
      <c r="J797"/>
      <c r="K797"/>
      <c r="L797"/>
      <c r="M797"/>
      <c r="N797"/>
      <c r="O797"/>
    </row>
    <row r="798" spans="6:15">
      <c r="F798"/>
      <c r="G798"/>
      <c r="H798"/>
      <c r="I798"/>
      <c r="J798"/>
      <c r="K798"/>
      <c r="L798"/>
      <c r="M798"/>
      <c r="N798"/>
      <c r="O798"/>
    </row>
    <row r="799" spans="6:15">
      <c r="F799"/>
      <c r="G799"/>
      <c r="H799"/>
      <c r="I799"/>
      <c r="J799"/>
      <c r="K799"/>
      <c r="L799"/>
      <c r="M799"/>
      <c r="N799"/>
      <c r="O799"/>
    </row>
    <row r="800" spans="6:15">
      <c r="F800"/>
      <c r="G800"/>
      <c r="H800"/>
      <c r="I800"/>
      <c r="J800"/>
      <c r="K800"/>
      <c r="L800"/>
      <c r="M800"/>
      <c r="N800"/>
      <c r="O800"/>
    </row>
    <row r="801" spans="6:15">
      <c r="F801"/>
      <c r="G801"/>
      <c r="H801"/>
      <c r="I801"/>
      <c r="J801"/>
      <c r="K801"/>
      <c r="L801"/>
      <c r="M801"/>
      <c r="N801"/>
      <c r="O801"/>
    </row>
    <row r="802" spans="6:15">
      <c r="F802"/>
      <c r="G802"/>
      <c r="H802"/>
      <c r="I802"/>
      <c r="J802"/>
      <c r="K802"/>
      <c r="L802"/>
      <c r="M802"/>
      <c r="N802"/>
      <c r="O802"/>
    </row>
    <row r="803" spans="6:15">
      <c r="F803"/>
      <c r="G803"/>
      <c r="H803"/>
      <c r="I803"/>
      <c r="J803"/>
      <c r="K803"/>
      <c r="L803"/>
      <c r="M803"/>
      <c r="N803"/>
      <c r="O803"/>
    </row>
    <row r="804" spans="6:15">
      <c r="F804"/>
      <c r="G804"/>
      <c r="H804"/>
      <c r="I804"/>
      <c r="J804"/>
      <c r="K804"/>
      <c r="L804"/>
      <c r="M804"/>
      <c r="N804"/>
      <c r="O804"/>
    </row>
    <row r="805" spans="6:15">
      <c r="F805"/>
      <c r="G805"/>
      <c r="H805"/>
      <c r="I805"/>
      <c r="J805"/>
      <c r="K805"/>
      <c r="L805"/>
      <c r="M805"/>
      <c r="N805"/>
      <c r="O805"/>
    </row>
    <row r="806" spans="6:15">
      <c r="F806"/>
      <c r="G806"/>
      <c r="H806"/>
      <c r="I806"/>
      <c r="J806"/>
      <c r="K806"/>
      <c r="L806"/>
      <c r="M806"/>
      <c r="N806"/>
      <c r="O806"/>
    </row>
    <row r="807" spans="6:15">
      <c r="F807"/>
      <c r="G807"/>
      <c r="H807"/>
      <c r="I807"/>
      <c r="J807"/>
      <c r="K807"/>
      <c r="L807"/>
      <c r="M807"/>
      <c r="N807"/>
      <c r="O807"/>
    </row>
    <row r="808" spans="6:15">
      <c r="F808"/>
      <c r="G808"/>
      <c r="H808"/>
      <c r="I808"/>
      <c r="J808"/>
      <c r="K808"/>
      <c r="L808"/>
      <c r="M808"/>
      <c r="N808"/>
      <c r="O808"/>
    </row>
    <row r="809" spans="6:15">
      <c r="F809"/>
      <c r="G809"/>
      <c r="H809"/>
      <c r="I809"/>
      <c r="J809"/>
      <c r="K809"/>
      <c r="L809"/>
      <c r="M809"/>
      <c r="N809"/>
      <c r="O809"/>
    </row>
    <row r="810" spans="6:15">
      <c r="F810"/>
      <c r="G810"/>
      <c r="H810"/>
      <c r="I810"/>
      <c r="J810"/>
      <c r="K810"/>
      <c r="L810"/>
      <c r="M810"/>
      <c r="N810"/>
      <c r="O810"/>
    </row>
    <row r="811" spans="6:15">
      <c r="F811"/>
      <c r="G811"/>
      <c r="H811"/>
      <c r="I811"/>
      <c r="J811"/>
      <c r="K811"/>
      <c r="L811"/>
      <c r="M811"/>
      <c r="N811"/>
      <c r="O811"/>
    </row>
    <row r="812" spans="6:15">
      <c r="F812"/>
      <c r="G812"/>
      <c r="H812"/>
      <c r="I812"/>
      <c r="J812"/>
      <c r="K812"/>
      <c r="L812"/>
      <c r="M812"/>
      <c r="N812"/>
      <c r="O812"/>
    </row>
    <row r="813" spans="6:15">
      <c r="F813"/>
      <c r="G813"/>
      <c r="H813"/>
      <c r="I813"/>
      <c r="J813"/>
      <c r="K813"/>
      <c r="L813"/>
      <c r="M813"/>
      <c r="N813"/>
      <c r="O813"/>
    </row>
    <row r="814" spans="6:15">
      <c r="F814"/>
      <c r="G814"/>
      <c r="H814"/>
      <c r="I814"/>
      <c r="J814"/>
      <c r="K814"/>
      <c r="L814"/>
      <c r="M814"/>
      <c r="N814"/>
      <c r="O814"/>
    </row>
    <row r="815" spans="6:15">
      <c r="F815"/>
      <c r="G815"/>
      <c r="H815"/>
      <c r="I815"/>
      <c r="J815"/>
      <c r="K815"/>
      <c r="L815"/>
      <c r="M815"/>
      <c r="N815"/>
      <c r="O815"/>
    </row>
    <row r="816" spans="6:15">
      <c r="F816"/>
      <c r="G816"/>
      <c r="H816"/>
      <c r="I816"/>
      <c r="J816"/>
      <c r="K816"/>
      <c r="L816"/>
      <c r="M816"/>
      <c r="N816"/>
      <c r="O816"/>
    </row>
    <row r="817" spans="6:15">
      <c r="F817"/>
      <c r="G817"/>
      <c r="H817"/>
      <c r="I817"/>
      <c r="J817"/>
      <c r="K817"/>
      <c r="L817"/>
      <c r="M817"/>
      <c r="N817"/>
      <c r="O817"/>
    </row>
    <row r="818" spans="6:15">
      <c r="F818"/>
      <c r="G818"/>
      <c r="H818"/>
      <c r="I818"/>
      <c r="J818"/>
      <c r="K818"/>
      <c r="L818"/>
      <c r="M818"/>
      <c r="N818"/>
      <c r="O818"/>
    </row>
    <row r="819" spans="6:15">
      <c r="F819"/>
      <c r="G819"/>
      <c r="H819"/>
      <c r="I819"/>
      <c r="J819"/>
      <c r="K819"/>
      <c r="L819"/>
      <c r="M819"/>
      <c r="N819"/>
      <c r="O819"/>
    </row>
    <row r="820" spans="6:15">
      <c r="F820"/>
      <c r="G820"/>
      <c r="H820"/>
      <c r="I820"/>
      <c r="J820"/>
      <c r="K820"/>
      <c r="L820"/>
      <c r="M820"/>
      <c r="N820"/>
      <c r="O820"/>
    </row>
    <row r="821" spans="6:15">
      <c r="F821"/>
      <c r="G821"/>
      <c r="H821"/>
      <c r="I821"/>
      <c r="J821"/>
      <c r="K821"/>
      <c r="L821"/>
      <c r="M821"/>
      <c r="N821"/>
      <c r="O821"/>
    </row>
    <row r="822" spans="6:15">
      <c r="F822"/>
      <c r="G822"/>
      <c r="H822"/>
      <c r="I822"/>
      <c r="J822"/>
      <c r="K822"/>
      <c r="L822"/>
      <c r="M822"/>
      <c r="N822"/>
      <c r="O822"/>
    </row>
    <row r="823" spans="6:15">
      <c r="F823"/>
      <c r="G823"/>
      <c r="H823"/>
      <c r="I823"/>
      <c r="J823"/>
      <c r="K823"/>
      <c r="L823"/>
      <c r="M823"/>
      <c r="N823"/>
      <c r="O823"/>
    </row>
    <row r="824" spans="6:15">
      <c r="F824"/>
      <c r="G824"/>
      <c r="H824"/>
      <c r="I824"/>
      <c r="J824"/>
      <c r="K824"/>
      <c r="L824"/>
      <c r="M824"/>
      <c r="N824"/>
      <c r="O824"/>
    </row>
    <row r="825" spans="6:15">
      <c r="F825"/>
      <c r="G825"/>
      <c r="H825"/>
      <c r="I825"/>
      <c r="J825"/>
      <c r="K825"/>
      <c r="L825"/>
      <c r="M825"/>
      <c r="N825"/>
      <c r="O825"/>
    </row>
    <row r="826" spans="6:15">
      <c r="F826"/>
      <c r="G826"/>
      <c r="H826"/>
      <c r="I826"/>
      <c r="J826"/>
      <c r="K826"/>
      <c r="L826"/>
      <c r="M826"/>
      <c r="N826"/>
      <c r="O826"/>
    </row>
    <row r="827" spans="6:15">
      <c r="F827"/>
      <c r="G827"/>
      <c r="H827"/>
      <c r="I827"/>
      <c r="J827"/>
      <c r="K827"/>
      <c r="L827"/>
      <c r="M827"/>
      <c r="N827"/>
      <c r="O827"/>
    </row>
    <row r="828" spans="6:15">
      <c r="F828"/>
      <c r="G828"/>
      <c r="H828"/>
      <c r="I828"/>
      <c r="J828"/>
      <c r="K828"/>
      <c r="L828"/>
      <c r="M828"/>
      <c r="N828"/>
      <c r="O828"/>
    </row>
    <row r="829" spans="6:15">
      <c r="F829"/>
      <c r="G829"/>
      <c r="H829"/>
      <c r="I829"/>
      <c r="J829"/>
      <c r="K829"/>
      <c r="L829"/>
      <c r="M829"/>
      <c r="N829"/>
      <c r="O829"/>
    </row>
    <row r="830" spans="6:15">
      <c r="F830"/>
      <c r="G830"/>
      <c r="H830"/>
      <c r="I830"/>
      <c r="J830"/>
      <c r="K830"/>
      <c r="L830"/>
      <c r="M830"/>
      <c r="N830"/>
      <c r="O830"/>
    </row>
    <row r="831" spans="6:15">
      <c r="F831"/>
      <c r="G831"/>
      <c r="H831"/>
      <c r="I831"/>
      <c r="J831"/>
      <c r="K831"/>
      <c r="L831"/>
      <c r="M831"/>
      <c r="N831"/>
      <c r="O831"/>
    </row>
    <row r="832" spans="6:15">
      <c r="F832"/>
      <c r="G832"/>
      <c r="H832"/>
      <c r="I832"/>
      <c r="J832"/>
      <c r="K832"/>
      <c r="L832"/>
      <c r="M832"/>
      <c r="N832"/>
      <c r="O832"/>
    </row>
    <row r="833" spans="6:15">
      <c r="F833"/>
      <c r="G833"/>
      <c r="H833"/>
      <c r="I833"/>
      <c r="J833"/>
      <c r="K833"/>
      <c r="L833"/>
      <c r="M833"/>
      <c r="N833"/>
      <c r="O833"/>
    </row>
    <row r="834" spans="6:15">
      <c r="F834"/>
      <c r="G834"/>
      <c r="H834"/>
      <c r="I834"/>
      <c r="J834"/>
      <c r="K834"/>
      <c r="L834"/>
      <c r="M834"/>
      <c r="N834"/>
      <c r="O834"/>
    </row>
    <row r="835" spans="6:15">
      <c r="F835"/>
      <c r="G835"/>
      <c r="H835"/>
      <c r="I835"/>
      <c r="J835"/>
      <c r="K835"/>
      <c r="L835"/>
      <c r="M835"/>
      <c r="N835"/>
      <c r="O835"/>
    </row>
    <row r="836" spans="6:15">
      <c r="F836"/>
      <c r="G836"/>
      <c r="H836"/>
      <c r="I836"/>
      <c r="J836"/>
      <c r="K836"/>
      <c r="L836"/>
      <c r="M836"/>
      <c r="N836"/>
      <c r="O836"/>
    </row>
    <row r="837" spans="6:15">
      <c r="F837"/>
      <c r="G837"/>
      <c r="H837"/>
      <c r="I837"/>
      <c r="J837"/>
      <c r="K837"/>
      <c r="L837"/>
      <c r="M837"/>
      <c r="N837"/>
      <c r="O837"/>
    </row>
    <row r="838" spans="6:15">
      <c r="F838"/>
      <c r="G838"/>
      <c r="H838"/>
      <c r="I838"/>
      <c r="J838"/>
      <c r="K838"/>
      <c r="L838"/>
      <c r="M838"/>
      <c r="N838"/>
      <c r="O838"/>
    </row>
    <row r="839" spans="6:15">
      <c r="F839"/>
      <c r="G839"/>
      <c r="H839"/>
      <c r="I839"/>
      <c r="J839"/>
      <c r="K839"/>
      <c r="L839"/>
      <c r="M839"/>
      <c r="N839"/>
      <c r="O839"/>
    </row>
    <row r="840" spans="6:15">
      <c r="F840"/>
      <c r="G840"/>
      <c r="H840"/>
      <c r="I840"/>
      <c r="J840"/>
      <c r="K840"/>
      <c r="L840"/>
      <c r="M840"/>
      <c r="N840"/>
      <c r="O840"/>
    </row>
    <row r="841" spans="6:15">
      <c r="F841"/>
      <c r="G841"/>
      <c r="H841"/>
      <c r="I841"/>
      <c r="J841"/>
      <c r="K841"/>
      <c r="L841"/>
      <c r="M841"/>
      <c r="N841"/>
      <c r="O841"/>
    </row>
    <row r="842" spans="6:15">
      <c r="F842"/>
      <c r="G842"/>
      <c r="H842"/>
      <c r="I842"/>
      <c r="J842"/>
      <c r="K842"/>
      <c r="L842"/>
      <c r="M842"/>
      <c r="N842"/>
      <c r="O842"/>
    </row>
    <row r="843" spans="6:15">
      <c r="F843"/>
      <c r="G843"/>
      <c r="H843"/>
      <c r="I843"/>
      <c r="J843"/>
      <c r="K843"/>
      <c r="L843"/>
      <c r="M843"/>
      <c r="N843"/>
      <c r="O843"/>
    </row>
    <row r="844" spans="6:15">
      <c r="F844"/>
      <c r="G844"/>
      <c r="H844"/>
      <c r="I844"/>
      <c r="J844"/>
      <c r="K844"/>
      <c r="L844"/>
      <c r="M844"/>
      <c r="N844"/>
      <c r="O844"/>
    </row>
    <row r="845" spans="6:15">
      <c r="F845"/>
      <c r="G845"/>
      <c r="H845"/>
      <c r="I845"/>
      <c r="J845"/>
      <c r="K845"/>
      <c r="L845"/>
      <c r="M845"/>
      <c r="N845"/>
      <c r="O845"/>
    </row>
    <row r="846" spans="6:15">
      <c r="F846"/>
      <c r="G846"/>
      <c r="H846"/>
      <c r="I846"/>
      <c r="J846"/>
      <c r="K846"/>
      <c r="L846"/>
      <c r="M846"/>
      <c r="N846"/>
      <c r="O846"/>
    </row>
    <row r="847" spans="6:15">
      <c r="F847"/>
      <c r="G847"/>
      <c r="H847"/>
      <c r="I847"/>
      <c r="J847"/>
      <c r="K847"/>
      <c r="L847"/>
      <c r="M847"/>
      <c r="N847"/>
      <c r="O847"/>
    </row>
    <row r="848" spans="6:15">
      <c r="F848"/>
      <c r="G848"/>
      <c r="H848"/>
      <c r="I848"/>
      <c r="J848"/>
      <c r="K848"/>
      <c r="L848"/>
      <c r="M848"/>
      <c r="N848"/>
      <c r="O848"/>
    </row>
    <row r="849" spans="6:15">
      <c r="F849"/>
      <c r="G849"/>
      <c r="H849"/>
      <c r="I849"/>
      <c r="J849"/>
      <c r="K849"/>
      <c r="L849"/>
      <c r="M849"/>
      <c r="N849"/>
      <c r="O849"/>
    </row>
    <row r="850" spans="6:15">
      <c r="F850"/>
      <c r="G850"/>
      <c r="H850"/>
      <c r="I850"/>
      <c r="J850"/>
      <c r="K850"/>
      <c r="L850"/>
      <c r="M850"/>
      <c r="N850"/>
      <c r="O850"/>
    </row>
    <row r="851" spans="6:15">
      <c r="F851"/>
      <c r="G851"/>
      <c r="H851"/>
      <c r="I851"/>
      <c r="J851"/>
      <c r="K851"/>
      <c r="L851"/>
      <c r="M851"/>
      <c r="N851"/>
      <c r="O851"/>
    </row>
    <row r="852" spans="6:15">
      <c r="F852"/>
      <c r="G852"/>
      <c r="H852"/>
      <c r="I852"/>
      <c r="J852"/>
      <c r="K852"/>
      <c r="L852"/>
      <c r="M852"/>
      <c r="N852"/>
      <c r="O852"/>
    </row>
    <row r="853" spans="6:15">
      <c r="F853"/>
      <c r="G853"/>
      <c r="H853"/>
      <c r="I853"/>
      <c r="J853"/>
      <c r="K853"/>
      <c r="L853"/>
      <c r="M853"/>
      <c r="N853"/>
      <c r="O853"/>
    </row>
    <row r="854" spans="6:15">
      <c r="F854"/>
      <c r="G854"/>
      <c r="H854"/>
      <c r="I854"/>
      <c r="J854"/>
      <c r="K854"/>
      <c r="L854"/>
      <c r="M854"/>
      <c r="N854"/>
      <c r="O854"/>
    </row>
    <row r="855" spans="6:15">
      <c r="F855"/>
      <c r="G855"/>
      <c r="H855"/>
      <c r="I855"/>
      <c r="J855"/>
      <c r="K855"/>
      <c r="L855"/>
      <c r="M855"/>
      <c r="N855"/>
      <c r="O855"/>
    </row>
    <row r="856" spans="6:15">
      <c r="F856"/>
      <c r="G856"/>
      <c r="H856"/>
      <c r="I856"/>
      <c r="J856"/>
      <c r="K856"/>
      <c r="L856"/>
      <c r="M856"/>
      <c r="N856"/>
      <c r="O856"/>
    </row>
    <row r="857" spans="6:15">
      <c r="F857"/>
      <c r="G857"/>
      <c r="H857"/>
      <c r="I857"/>
      <c r="J857"/>
      <c r="K857"/>
      <c r="L857"/>
      <c r="M857"/>
      <c r="N857"/>
      <c r="O857"/>
    </row>
    <row r="858" spans="6:15">
      <c r="F858"/>
      <c r="G858"/>
      <c r="H858"/>
      <c r="I858"/>
      <c r="J858"/>
      <c r="K858"/>
      <c r="L858"/>
      <c r="M858"/>
      <c r="N858"/>
      <c r="O858"/>
    </row>
    <row r="859" spans="6:15">
      <c r="F859"/>
      <c r="G859"/>
      <c r="H859"/>
      <c r="I859"/>
      <c r="J859"/>
      <c r="K859"/>
      <c r="L859"/>
      <c r="M859"/>
      <c r="N859"/>
      <c r="O859"/>
    </row>
    <row r="860" spans="6:15">
      <c r="F860"/>
      <c r="G860"/>
      <c r="H860"/>
      <c r="I860"/>
      <c r="J860"/>
      <c r="K860"/>
      <c r="L860"/>
      <c r="M860"/>
      <c r="N860"/>
      <c r="O860"/>
    </row>
    <row r="861" spans="6:15">
      <c r="F861"/>
      <c r="G861"/>
      <c r="H861"/>
      <c r="I861"/>
      <c r="J861"/>
      <c r="K861"/>
      <c r="L861"/>
      <c r="M861"/>
      <c r="N861"/>
      <c r="O861"/>
    </row>
    <row r="862" spans="6:15">
      <c r="F862"/>
      <c r="G862"/>
      <c r="H862"/>
      <c r="I862"/>
      <c r="J862"/>
      <c r="K862"/>
      <c r="L862"/>
      <c r="M862"/>
      <c r="N862"/>
      <c r="O862"/>
    </row>
    <row r="863" spans="6:15">
      <c r="F863"/>
      <c r="G863"/>
      <c r="H863"/>
      <c r="I863"/>
      <c r="J863"/>
      <c r="K863"/>
      <c r="L863"/>
      <c r="M863"/>
      <c r="N863"/>
      <c r="O863"/>
    </row>
    <row r="864" spans="6:15">
      <c r="F864"/>
      <c r="G864"/>
      <c r="H864"/>
      <c r="I864"/>
      <c r="J864"/>
      <c r="K864"/>
      <c r="L864"/>
      <c r="M864"/>
      <c r="N864"/>
      <c r="O864"/>
    </row>
    <row r="865" spans="6:15">
      <c r="F865"/>
      <c r="G865"/>
      <c r="H865"/>
      <c r="I865"/>
      <c r="J865"/>
      <c r="K865"/>
      <c r="L865"/>
      <c r="M865"/>
      <c r="N865"/>
      <c r="O865"/>
    </row>
    <row r="866" spans="6:15">
      <c r="F866"/>
      <c r="G866"/>
      <c r="H866"/>
      <c r="I866"/>
      <c r="J866"/>
      <c r="K866"/>
      <c r="L866"/>
      <c r="M866"/>
      <c r="N866"/>
      <c r="O866"/>
    </row>
    <row r="867" spans="6:15">
      <c r="F867"/>
      <c r="G867"/>
      <c r="H867"/>
      <c r="I867"/>
      <c r="J867"/>
      <c r="K867"/>
      <c r="L867"/>
      <c r="M867"/>
      <c r="N867"/>
      <c r="O867"/>
    </row>
    <row r="868" spans="6:15">
      <c r="F868"/>
      <c r="G868"/>
      <c r="H868"/>
      <c r="I868"/>
      <c r="J868"/>
      <c r="K868"/>
      <c r="L868"/>
      <c r="M868"/>
      <c r="N868"/>
      <c r="O868"/>
    </row>
    <row r="869" spans="6:15">
      <c r="F869"/>
      <c r="G869"/>
      <c r="H869"/>
      <c r="I869"/>
      <c r="J869"/>
      <c r="K869"/>
      <c r="L869"/>
      <c r="M869"/>
      <c r="N869"/>
      <c r="O869"/>
    </row>
    <row r="870" spans="6:15">
      <c r="F870"/>
      <c r="G870"/>
      <c r="H870"/>
      <c r="I870"/>
      <c r="J870"/>
      <c r="K870"/>
      <c r="L870"/>
      <c r="M870"/>
      <c r="N870"/>
      <c r="O870"/>
    </row>
    <row r="871" spans="6:15">
      <c r="F871"/>
      <c r="G871"/>
      <c r="H871"/>
      <c r="I871"/>
      <c r="J871"/>
      <c r="K871"/>
      <c r="L871"/>
      <c r="M871"/>
      <c r="N871"/>
      <c r="O871"/>
    </row>
    <row r="872" spans="6:15">
      <c r="F872"/>
      <c r="G872"/>
      <c r="H872"/>
      <c r="I872"/>
      <c r="J872"/>
      <c r="K872"/>
      <c r="L872"/>
      <c r="M872"/>
      <c r="N872"/>
      <c r="O872"/>
    </row>
    <row r="873" spans="6:15">
      <c r="F873"/>
      <c r="G873"/>
      <c r="H873"/>
      <c r="I873"/>
      <c r="J873"/>
      <c r="K873"/>
      <c r="L873"/>
      <c r="M873"/>
      <c r="N873"/>
      <c r="O873"/>
    </row>
    <row r="874" spans="6:15">
      <c r="F874"/>
      <c r="G874"/>
      <c r="H874"/>
      <c r="I874"/>
      <c r="J874"/>
      <c r="K874"/>
      <c r="L874"/>
      <c r="M874"/>
      <c r="N874"/>
      <c r="O874"/>
    </row>
    <row r="875" spans="6:15">
      <c r="F875"/>
      <c r="G875"/>
      <c r="H875"/>
      <c r="I875"/>
      <c r="J875"/>
      <c r="K875"/>
      <c r="L875"/>
      <c r="M875"/>
      <c r="N875"/>
      <c r="O875"/>
    </row>
    <row r="876" spans="6:15">
      <c r="F876"/>
      <c r="G876"/>
      <c r="H876"/>
      <c r="I876"/>
      <c r="J876"/>
      <c r="K876"/>
      <c r="L876"/>
      <c r="M876"/>
      <c r="N876"/>
      <c r="O876"/>
    </row>
    <row r="877" spans="6:15">
      <c r="F877"/>
      <c r="G877"/>
      <c r="H877"/>
      <c r="I877"/>
      <c r="J877"/>
      <c r="K877"/>
      <c r="L877"/>
      <c r="M877"/>
      <c r="N877"/>
      <c r="O877"/>
    </row>
    <row r="878" spans="6:15">
      <c r="F878"/>
      <c r="G878"/>
      <c r="H878"/>
      <c r="I878"/>
      <c r="J878"/>
      <c r="K878"/>
      <c r="L878"/>
      <c r="M878"/>
      <c r="N878"/>
      <c r="O878"/>
    </row>
    <row r="879" spans="6:15">
      <c r="F879"/>
      <c r="G879"/>
      <c r="H879"/>
      <c r="I879"/>
      <c r="J879"/>
      <c r="K879"/>
      <c r="L879"/>
      <c r="M879"/>
      <c r="N879"/>
      <c r="O879"/>
    </row>
    <row r="880" spans="6:15">
      <c r="F880"/>
      <c r="G880"/>
      <c r="H880"/>
      <c r="I880"/>
      <c r="J880"/>
      <c r="K880"/>
      <c r="L880"/>
      <c r="M880"/>
      <c r="N880"/>
      <c r="O880"/>
    </row>
    <row r="881" spans="6:15">
      <c r="F881"/>
      <c r="G881"/>
      <c r="H881"/>
      <c r="I881"/>
      <c r="J881"/>
      <c r="K881"/>
      <c r="L881"/>
      <c r="M881"/>
      <c r="N881"/>
      <c r="O881"/>
    </row>
    <row r="882" spans="6:15">
      <c r="F882"/>
      <c r="G882"/>
      <c r="H882"/>
      <c r="I882"/>
      <c r="J882"/>
      <c r="K882"/>
      <c r="L882"/>
      <c r="M882"/>
      <c r="N882"/>
      <c r="O882"/>
    </row>
    <row r="883" spans="6:15">
      <c r="F883"/>
      <c r="G883"/>
      <c r="H883"/>
      <c r="I883"/>
      <c r="J883"/>
      <c r="K883"/>
      <c r="L883"/>
      <c r="M883"/>
      <c r="N883"/>
      <c r="O883"/>
    </row>
    <row r="884" spans="6:15">
      <c r="F884"/>
      <c r="G884"/>
      <c r="H884"/>
      <c r="I884"/>
      <c r="J884"/>
      <c r="K884"/>
      <c r="L884"/>
      <c r="M884"/>
      <c r="N884"/>
      <c r="O884"/>
    </row>
    <row r="885" spans="6:15">
      <c r="F885"/>
      <c r="G885"/>
      <c r="H885"/>
      <c r="I885"/>
      <c r="J885"/>
      <c r="K885"/>
      <c r="L885"/>
      <c r="M885"/>
      <c r="N885"/>
      <c r="O885"/>
    </row>
    <row r="886" spans="6:15">
      <c r="F886"/>
      <c r="G886"/>
      <c r="H886"/>
      <c r="I886"/>
      <c r="J886"/>
      <c r="K886"/>
      <c r="L886"/>
      <c r="M886"/>
      <c r="N886"/>
      <c r="O886"/>
    </row>
    <row r="887" spans="6:15">
      <c r="F887"/>
      <c r="G887"/>
      <c r="H887"/>
      <c r="I887"/>
      <c r="J887"/>
      <c r="K887"/>
      <c r="L887"/>
      <c r="M887"/>
      <c r="N887"/>
      <c r="O887"/>
    </row>
    <row r="888" spans="6:15">
      <c r="F888"/>
      <c r="G888"/>
      <c r="H888"/>
      <c r="I888"/>
      <c r="J888"/>
      <c r="K888"/>
      <c r="L888"/>
      <c r="M888"/>
      <c r="N888"/>
      <c r="O888"/>
    </row>
    <row r="889" spans="6:15">
      <c r="F889"/>
      <c r="G889"/>
      <c r="H889"/>
      <c r="I889"/>
      <c r="J889"/>
      <c r="K889"/>
      <c r="L889"/>
      <c r="M889"/>
      <c r="N889"/>
      <c r="O889"/>
    </row>
    <row r="890" spans="6:15">
      <c r="F890"/>
      <c r="G890"/>
      <c r="H890"/>
      <c r="I890"/>
      <c r="J890"/>
      <c r="K890"/>
      <c r="L890"/>
      <c r="M890"/>
      <c r="N890"/>
      <c r="O890"/>
    </row>
    <row r="891" spans="6:15">
      <c r="F891"/>
      <c r="G891"/>
      <c r="H891"/>
      <c r="I891"/>
      <c r="J891"/>
      <c r="K891"/>
      <c r="L891"/>
      <c r="M891"/>
      <c r="N891"/>
      <c r="O891"/>
    </row>
    <row r="892" spans="6:15">
      <c r="F892"/>
      <c r="G892"/>
      <c r="H892"/>
      <c r="I892"/>
      <c r="J892"/>
      <c r="K892"/>
      <c r="L892"/>
      <c r="M892"/>
      <c r="N892"/>
      <c r="O892"/>
    </row>
    <row r="893" spans="6:15">
      <c r="F893"/>
      <c r="G893"/>
      <c r="H893"/>
      <c r="I893"/>
      <c r="J893"/>
      <c r="K893"/>
      <c r="L893"/>
      <c r="M893"/>
      <c r="N893"/>
      <c r="O893"/>
    </row>
    <row r="894" spans="6:15">
      <c r="F894"/>
      <c r="G894"/>
      <c r="H894"/>
      <c r="I894"/>
      <c r="J894"/>
      <c r="K894"/>
      <c r="L894"/>
      <c r="M894"/>
      <c r="N894"/>
      <c r="O894"/>
    </row>
    <row r="895" spans="6:15">
      <c r="F895"/>
      <c r="G895"/>
      <c r="H895"/>
      <c r="I895"/>
      <c r="J895"/>
      <c r="K895"/>
      <c r="L895"/>
      <c r="M895"/>
      <c r="N895"/>
      <c r="O895"/>
    </row>
    <row r="896" spans="6:15">
      <c r="F896"/>
      <c r="G896"/>
      <c r="H896"/>
      <c r="I896"/>
      <c r="J896"/>
      <c r="K896"/>
      <c r="L896"/>
      <c r="M896"/>
      <c r="N896"/>
      <c r="O896"/>
    </row>
    <row r="897" spans="6:15">
      <c r="F897"/>
      <c r="G897"/>
      <c r="H897"/>
      <c r="I897"/>
      <c r="J897"/>
      <c r="K897"/>
      <c r="L897"/>
      <c r="M897"/>
      <c r="N897"/>
      <c r="O897"/>
    </row>
    <row r="898" spans="6:15">
      <c r="F898"/>
      <c r="G898"/>
      <c r="H898"/>
      <c r="I898"/>
      <c r="J898"/>
      <c r="K898"/>
      <c r="L898"/>
      <c r="M898"/>
      <c r="N898"/>
      <c r="O898"/>
    </row>
    <row r="899" spans="6:15">
      <c r="F899"/>
      <c r="G899"/>
      <c r="H899"/>
      <c r="I899"/>
      <c r="J899"/>
      <c r="K899"/>
      <c r="L899"/>
      <c r="M899"/>
      <c r="N899"/>
      <c r="O899"/>
    </row>
    <row r="900" spans="6:15">
      <c r="F900"/>
      <c r="G900"/>
      <c r="H900"/>
      <c r="I900"/>
      <c r="J900"/>
      <c r="K900"/>
      <c r="L900"/>
      <c r="M900"/>
      <c r="N900"/>
      <c r="O900"/>
    </row>
    <row r="901" spans="6:15">
      <c r="F901"/>
      <c r="G901"/>
      <c r="H901"/>
      <c r="I901"/>
      <c r="J901"/>
      <c r="K901"/>
      <c r="L901"/>
      <c r="M901"/>
      <c r="N901"/>
      <c r="O901"/>
    </row>
    <row r="902" spans="6:15">
      <c r="F902"/>
      <c r="G902"/>
      <c r="H902"/>
      <c r="I902"/>
      <c r="J902"/>
      <c r="K902"/>
      <c r="L902"/>
      <c r="M902"/>
      <c r="N902"/>
      <c r="O902"/>
    </row>
    <row r="903" spans="6:15">
      <c r="F903"/>
      <c r="G903"/>
      <c r="H903"/>
      <c r="I903"/>
      <c r="J903"/>
      <c r="K903"/>
      <c r="L903"/>
      <c r="M903"/>
      <c r="N903"/>
      <c r="O903"/>
    </row>
    <row r="904" spans="6:15">
      <c r="F904"/>
      <c r="G904"/>
      <c r="H904"/>
      <c r="I904"/>
      <c r="J904"/>
      <c r="K904"/>
      <c r="L904"/>
      <c r="M904"/>
      <c r="N904"/>
      <c r="O904"/>
    </row>
    <row r="905" spans="6:15">
      <c r="F905"/>
      <c r="G905"/>
      <c r="H905"/>
      <c r="I905"/>
      <c r="J905"/>
      <c r="K905"/>
      <c r="L905"/>
      <c r="M905"/>
      <c r="N905"/>
      <c r="O905"/>
    </row>
    <row r="906" spans="6:15">
      <c r="F906"/>
      <c r="G906"/>
      <c r="H906"/>
      <c r="I906"/>
      <c r="J906"/>
      <c r="K906"/>
      <c r="L906"/>
      <c r="M906"/>
      <c r="N906"/>
      <c r="O906"/>
    </row>
    <row r="907" spans="6:15">
      <c r="F907"/>
      <c r="G907"/>
      <c r="H907"/>
      <c r="I907"/>
      <c r="J907"/>
      <c r="K907"/>
      <c r="L907"/>
      <c r="M907"/>
      <c r="N907"/>
      <c r="O907"/>
    </row>
    <row r="908" spans="6:15">
      <c r="F908"/>
      <c r="G908"/>
      <c r="H908"/>
      <c r="I908"/>
      <c r="J908"/>
      <c r="K908"/>
      <c r="L908"/>
      <c r="M908"/>
      <c r="N908"/>
      <c r="O908"/>
    </row>
    <row r="909" spans="6:15">
      <c r="F909"/>
      <c r="G909"/>
      <c r="H909"/>
      <c r="I909"/>
      <c r="J909"/>
      <c r="K909"/>
      <c r="L909"/>
      <c r="M909"/>
      <c r="N909"/>
      <c r="O909"/>
    </row>
    <row r="910" spans="6:15">
      <c r="F910"/>
      <c r="G910"/>
      <c r="H910"/>
      <c r="I910"/>
      <c r="J910"/>
      <c r="K910"/>
      <c r="L910"/>
      <c r="M910"/>
      <c r="N910"/>
      <c r="O910"/>
    </row>
    <row r="911" spans="6:15">
      <c r="F911"/>
      <c r="G911"/>
      <c r="H911"/>
      <c r="I911"/>
      <c r="J911"/>
      <c r="K911"/>
      <c r="L911"/>
      <c r="M911"/>
      <c r="N911"/>
      <c r="O911"/>
    </row>
    <row r="912" spans="6:15">
      <c r="F912"/>
      <c r="G912"/>
      <c r="H912"/>
      <c r="I912"/>
      <c r="J912"/>
      <c r="K912"/>
      <c r="L912"/>
      <c r="M912"/>
      <c r="N912"/>
      <c r="O912"/>
    </row>
    <row r="913" spans="6:15">
      <c r="F913"/>
      <c r="G913"/>
      <c r="H913"/>
      <c r="I913"/>
      <c r="J913"/>
      <c r="K913"/>
      <c r="L913"/>
      <c r="M913"/>
      <c r="N913"/>
      <c r="O913"/>
    </row>
    <row r="914" spans="6:15">
      <c r="F914"/>
      <c r="G914"/>
      <c r="H914"/>
      <c r="I914"/>
      <c r="J914"/>
      <c r="K914"/>
      <c r="L914"/>
      <c r="M914"/>
      <c r="N914"/>
      <c r="O914"/>
    </row>
    <row r="915" spans="6:15">
      <c r="F915"/>
      <c r="G915"/>
      <c r="H915"/>
      <c r="I915"/>
      <c r="J915"/>
      <c r="K915"/>
      <c r="L915"/>
      <c r="M915"/>
      <c r="N915"/>
      <c r="O915"/>
    </row>
    <row r="916" spans="6:15">
      <c r="F916"/>
      <c r="G916"/>
      <c r="H916"/>
      <c r="I916"/>
      <c r="J916"/>
      <c r="K916"/>
      <c r="L916"/>
      <c r="M916"/>
      <c r="N916"/>
      <c r="O916"/>
    </row>
    <row r="917" spans="6:15">
      <c r="F917"/>
      <c r="G917"/>
      <c r="H917"/>
      <c r="I917"/>
      <c r="J917"/>
      <c r="K917"/>
      <c r="L917"/>
      <c r="M917"/>
      <c r="N917"/>
      <c r="O917"/>
    </row>
    <row r="918" spans="6:15">
      <c r="F918"/>
      <c r="G918"/>
      <c r="H918"/>
      <c r="I918"/>
      <c r="J918"/>
      <c r="K918"/>
      <c r="L918"/>
      <c r="M918"/>
      <c r="N918"/>
      <c r="O918"/>
    </row>
    <row r="919" spans="6:15">
      <c r="F919"/>
      <c r="G919"/>
      <c r="H919"/>
      <c r="I919"/>
      <c r="J919"/>
      <c r="K919"/>
      <c r="L919"/>
      <c r="M919"/>
      <c r="N919"/>
      <c r="O919"/>
    </row>
    <row r="920" spans="6:15">
      <c r="F920"/>
      <c r="G920"/>
      <c r="H920"/>
      <c r="I920"/>
      <c r="J920"/>
      <c r="K920"/>
      <c r="L920"/>
      <c r="M920"/>
      <c r="N920"/>
      <c r="O920"/>
    </row>
    <row r="921" spans="6:15">
      <c r="F921"/>
      <c r="G921"/>
      <c r="H921"/>
      <c r="I921"/>
      <c r="J921"/>
      <c r="K921"/>
      <c r="L921"/>
      <c r="M921"/>
      <c r="N921"/>
      <c r="O921"/>
    </row>
    <row r="922" spans="6:15">
      <c r="F922"/>
      <c r="G922"/>
      <c r="H922"/>
      <c r="I922"/>
      <c r="J922"/>
      <c r="K922"/>
      <c r="L922"/>
      <c r="M922"/>
      <c r="N922"/>
      <c r="O922"/>
    </row>
    <row r="923" spans="6:15">
      <c r="F923"/>
      <c r="G923"/>
      <c r="H923"/>
      <c r="I923"/>
      <c r="J923"/>
      <c r="K923"/>
      <c r="L923"/>
      <c r="M923"/>
      <c r="N923"/>
      <c r="O923"/>
    </row>
    <row r="924" spans="6:15">
      <c r="F924"/>
      <c r="G924"/>
      <c r="H924"/>
      <c r="I924"/>
      <c r="J924"/>
      <c r="K924"/>
      <c r="L924"/>
      <c r="M924"/>
      <c r="N924"/>
      <c r="O924"/>
    </row>
    <row r="925" spans="6:15">
      <c r="F925"/>
      <c r="G925"/>
      <c r="H925"/>
      <c r="I925"/>
      <c r="J925"/>
      <c r="K925"/>
      <c r="L925"/>
      <c r="M925"/>
      <c r="N925"/>
      <c r="O925"/>
    </row>
    <row r="926" spans="6:15">
      <c r="F926"/>
      <c r="G926"/>
      <c r="H926"/>
      <c r="I926"/>
      <c r="J926"/>
      <c r="K926"/>
      <c r="L926"/>
      <c r="M926"/>
      <c r="N926"/>
      <c r="O926"/>
    </row>
    <row r="927" spans="6:15">
      <c r="F927"/>
      <c r="G927"/>
      <c r="H927"/>
      <c r="I927"/>
      <c r="J927"/>
      <c r="K927"/>
      <c r="L927"/>
      <c r="M927"/>
      <c r="N927"/>
      <c r="O927"/>
    </row>
    <row r="928" spans="6:15">
      <c r="F928"/>
      <c r="G928"/>
      <c r="H928"/>
      <c r="I928"/>
      <c r="J928"/>
      <c r="K928"/>
      <c r="L928"/>
      <c r="M928"/>
      <c r="N928"/>
      <c r="O928"/>
    </row>
    <row r="929" spans="6:15">
      <c r="F929"/>
      <c r="G929"/>
      <c r="H929"/>
      <c r="I929"/>
      <c r="J929"/>
      <c r="K929"/>
      <c r="L929"/>
      <c r="M929"/>
      <c r="N929"/>
      <c r="O929"/>
    </row>
    <row r="930" spans="6:15">
      <c r="F930"/>
      <c r="G930"/>
      <c r="H930"/>
      <c r="I930"/>
      <c r="J930"/>
      <c r="K930"/>
      <c r="L930"/>
      <c r="M930"/>
      <c r="N930"/>
      <c r="O930"/>
    </row>
    <row r="931" spans="6:15">
      <c r="F931"/>
      <c r="G931"/>
      <c r="H931"/>
      <c r="I931"/>
      <c r="J931"/>
      <c r="K931"/>
      <c r="L931"/>
      <c r="M931"/>
      <c r="N931"/>
      <c r="O931"/>
    </row>
    <row r="932" spans="6:15">
      <c r="F932"/>
      <c r="G932"/>
      <c r="H932"/>
      <c r="I932"/>
      <c r="J932"/>
      <c r="K932"/>
      <c r="L932"/>
      <c r="M932"/>
      <c r="N932"/>
      <c r="O932"/>
    </row>
    <row r="933" spans="6:15">
      <c r="F933"/>
      <c r="G933"/>
      <c r="H933"/>
      <c r="I933"/>
      <c r="J933"/>
      <c r="K933"/>
      <c r="L933"/>
      <c r="M933"/>
      <c r="N933"/>
      <c r="O933"/>
    </row>
    <row r="934" spans="6:15">
      <c r="F934"/>
      <c r="G934"/>
      <c r="H934"/>
      <c r="I934"/>
      <c r="J934"/>
      <c r="K934"/>
      <c r="L934"/>
      <c r="M934"/>
      <c r="N934"/>
      <c r="O934"/>
    </row>
    <row r="935" spans="6:15">
      <c r="F935"/>
      <c r="G935"/>
      <c r="H935"/>
      <c r="I935"/>
      <c r="J935"/>
      <c r="K935"/>
      <c r="L935"/>
      <c r="M935"/>
      <c r="N935"/>
      <c r="O935"/>
    </row>
    <row r="936" spans="6:15">
      <c r="F936"/>
      <c r="G936"/>
      <c r="H936"/>
      <c r="I936"/>
      <c r="J936"/>
      <c r="K936"/>
      <c r="L936"/>
      <c r="M936"/>
      <c r="N936"/>
      <c r="O936"/>
    </row>
    <row r="937" spans="6:15">
      <c r="F937"/>
      <c r="G937"/>
      <c r="H937"/>
      <c r="I937"/>
      <c r="J937"/>
      <c r="K937"/>
      <c r="L937"/>
      <c r="M937"/>
      <c r="N937"/>
      <c r="O937"/>
    </row>
    <row r="938" spans="6:15">
      <c r="F938"/>
      <c r="G938"/>
      <c r="H938"/>
      <c r="I938"/>
      <c r="J938"/>
      <c r="K938"/>
      <c r="L938"/>
      <c r="M938"/>
      <c r="N938"/>
      <c r="O938"/>
    </row>
    <row r="939" spans="6:15">
      <c r="F939"/>
      <c r="G939"/>
      <c r="H939"/>
      <c r="I939"/>
      <c r="J939"/>
      <c r="K939"/>
      <c r="L939"/>
      <c r="M939"/>
      <c r="N939"/>
      <c r="O939"/>
    </row>
    <row r="940" spans="6:15">
      <c r="F940"/>
      <c r="G940"/>
      <c r="H940"/>
      <c r="I940"/>
      <c r="J940"/>
      <c r="K940"/>
      <c r="L940"/>
      <c r="M940"/>
      <c r="N940"/>
      <c r="O940"/>
    </row>
    <row r="941" spans="6:15">
      <c r="F941"/>
      <c r="G941"/>
      <c r="H941"/>
      <c r="I941"/>
      <c r="J941"/>
      <c r="K941"/>
      <c r="L941"/>
      <c r="M941"/>
      <c r="N941"/>
      <c r="O941"/>
    </row>
    <row r="942" spans="6:15">
      <c r="F942"/>
      <c r="G942"/>
      <c r="H942"/>
      <c r="I942"/>
      <c r="J942"/>
      <c r="K942"/>
      <c r="L942"/>
      <c r="M942"/>
      <c r="N942"/>
      <c r="O942"/>
    </row>
    <row r="943" spans="6:15">
      <c r="F943"/>
      <c r="G943"/>
      <c r="H943"/>
      <c r="I943"/>
      <c r="J943"/>
      <c r="K943"/>
      <c r="L943"/>
      <c r="M943"/>
      <c r="N943"/>
      <c r="O943"/>
    </row>
    <row r="944" spans="6:15">
      <c r="F944"/>
      <c r="G944"/>
      <c r="H944"/>
      <c r="I944"/>
      <c r="J944"/>
      <c r="K944"/>
      <c r="L944"/>
      <c r="M944"/>
      <c r="N944"/>
      <c r="O944"/>
    </row>
    <row r="945" spans="6:15">
      <c r="F945"/>
      <c r="G945"/>
      <c r="H945"/>
      <c r="I945"/>
      <c r="J945"/>
      <c r="K945"/>
      <c r="L945"/>
      <c r="M945"/>
      <c r="N945"/>
      <c r="O945"/>
    </row>
    <row r="946" spans="6:15">
      <c r="F946"/>
      <c r="G946"/>
      <c r="H946"/>
      <c r="I946"/>
      <c r="J946"/>
      <c r="K946"/>
      <c r="L946"/>
      <c r="M946"/>
      <c r="N946"/>
      <c r="O946"/>
    </row>
    <row r="947" spans="6:15">
      <c r="F947"/>
      <c r="G947"/>
      <c r="H947"/>
      <c r="I947"/>
      <c r="J947"/>
      <c r="K947"/>
      <c r="L947"/>
      <c r="M947"/>
      <c r="N947"/>
      <c r="O947"/>
    </row>
    <row r="948" spans="6:15">
      <c r="F948"/>
      <c r="G948"/>
      <c r="H948"/>
      <c r="I948"/>
      <c r="J948"/>
      <c r="K948"/>
      <c r="L948"/>
      <c r="M948"/>
      <c r="N948"/>
      <c r="O948"/>
    </row>
    <row r="949" spans="6:15">
      <c r="F949"/>
      <c r="G949"/>
      <c r="H949"/>
      <c r="I949"/>
      <c r="J949"/>
      <c r="K949"/>
      <c r="L949"/>
      <c r="M949"/>
      <c r="N949"/>
      <c r="O949"/>
    </row>
    <row r="950" spans="6:15">
      <c r="F950"/>
      <c r="G950"/>
      <c r="H950"/>
      <c r="I950"/>
      <c r="J950"/>
      <c r="K950"/>
      <c r="L950"/>
      <c r="M950"/>
      <c r="N950"/>
      <c r="O950"/>
    </row>
    <row r="951" spans="6:15">
      <c r="F951"/>
      <c r="G951"/>
      <c r="H951"/>
      <c r="I951"/>
      <c r="J951"/>
      <c r="K951"/>
      <c r="L951"/>
      <c r="M951"/>
      <c r="N951"/>
      <c r="O951"/>
    </row>
    <row r="952" spans="6:15">
      <c r="F952"/>
      <c r="G952"/>
      <c r="H952"/>
      <c r="I952"/>
      <c r="J952"/>
      <c r="K952"/>
      <c r="L952"/>
      <c r="M952"/>
      <c r="N952"/>
      <c r="O952"/>
    </row>
    <row r="953" spans="6:15">
      <c r="F953"/>
      <c r="G953"/>
      <c r="H953"/>
      <c r="I953"/>
      <c r="J953"/>
      <c r="K953"/>
      <c r="L953"/>
      <c r="M953"/>
      <c r="N953"/>
      <c r="O953"/>
    </row>
    <row r="954" spans="6:15">
      <c r="F954"/>
      <c r="G954"/>
      <c r="H954"/>
      <c r="I954"/>
      <c r="J954"/>
      <c r="K954"/>
      <c r="L954"/>
      <c r="M954"/>
      <c r="N954"/>
      <c r="O954"/>
    </row>
    <row r="955" spans="6:15">
      <c r="F955"/>
      <c r="G955"/>
      <c r="H955"/>
      <c r="I955"/>
      <c r="J955"/>
      <c r="K955"/>
      <c r="L955"/>
      <c r="M955"/>
      <c r="N955"/>
      <c r="O955"/>
    </row>
    <row r="956" spans="6:15">
      <c r="F956"/>
      <c r="G956"/>
      <c r="H956"/>
      <c r="I956"/>
      <c r="J956"/>
      <c r="K956"/>
      <c r="L956"/>
      <c r="M956"/>
      <c r="N956"/>
      <c r="O956"/>
    </row>
    <row r="957" spans="6:15">
      <c r="F957"/>
      <c r="G957"/>
      <c r="H957"/>
      <c r="I957"/>
      <c r="J957"/>
      <c r="K957"/>
      <c r="L957"/>
      <c r="M957"/>
      <c r="N957"/>
      <c r="O957"/>
    </row>
    <row r="958" spans="6:15">
      <c r="F958"/>
      <c r="G958"/>
      <c r="H958"/>
      <c r="I958"/>
      <c r="J958"/>
      <c r="K958"/>
      <c r="L958"/>
      <c r="M958"/>
      <c r="N958"/>
      <c r="O958"/>
    </row>
    <row r="959" spans="6:15">
      <c r="F959"/>
      <c r="G959"/>
      <c r="H959"/>
      <c r="I959"/>
      <c r="J959"/>
      <c r="K959"/>
      <c r="L959"/>
      <c r="M959"/>
      <c r="N959"/>
      <c r="O959"/>
    </row>
    <row r="960" spans="6:15">
      <c r="F960"/>
      <c r="G960"/>
      <c r="H960"/>
      <c r="I960"/>
      <c r="J960"/>
      <c r="K960"/>
      <c r="L960"/>
      <c r="M960"/>
      <c r="N960"/>
      <c r="O960"/>
    </row>
    <row r="961" spans="6:15">
      <c r="F961"/>
      <c r="G961"/>
      <c r="H961"/>
      <c r="I961"/>
      <c r="J961"/>
      <c r="K961"/>
      <c r="L961"/>
      <c r="M961"/>
      <c r="N961"/>
      <c r="O961"/>
    </row>
    <row r="962" spans="6:15">
      <c r="F962"/>
      <c r="G962"/>
      <c r="H962"/>
      <c r="I962"/>
      <c r="J962"/>
      <c r="K962"/>
      <c r="L962"/>
      <c r="M962"/>
      <c r="N962"/>
      <c r="O962"/>
    </row>
    <row r="963" spans="6:15">
      <c r="F963"/>
      <c r="G963"/>
      <c r="H963"/>
      <c r="I963"/>
      <c r="J963"/>
      <c r="K963"/>
      <c r="L963"/>
      <c r="M963"/>
      <c r="N963"/>
      <c r="O963"/>
    </row>
    <row r="964" spans="6:15">
      <c r="F964"/>
      <c r="G964"/>
      <c r="H964"/>
      <c r="I964"/>
      <c r="J964"/>
      <c r="K964"/>
      <c r="L964"/>
      <c r="M964"/>
      <c r="N964"/>
      <c r="O964"/>
    </row>
    <row r="965" spans="6:15">
      <c r="F965"/>
      <c r="G965"/>
      <c r="H965"/>
      <c r="I965"/>
      <c r="J965"/>
      <c r="K965"/>
      <c r="L965"/>
      <c r="M965"/>
      <c r="N965"/>
      <c r="O965"/>
    </row>
    <row r="966" spans="6:15">
      <c r="F966"/>
      <c r="G966"/>
      <c r="H966"/>
      <c r="I966"/>
      <c r="J966"/>
      <c r="K966"/>
      <c r="L966"/>
      <c r="M966"/>
      <c r="N966"/>
      <c r="O966"/>
    </row>
    <row r="967" spans="6:15">
      <c r="F967"/>
      <c r="G967"/>
      <c r="H967"/>
      <c r="I967"/>
      <c r="J967"/>
      <c r="K967"/>
      <c r="L967"/>
      <c r="M967"/>
      <c r="N967"/>
      <c r="O967"/>
    </row>
    <row r="968" spans="6:15">
      <c r="F968"/>
      <c r="G968"/>
      <c r="H968"/>
      <c r="I968"/>
      <c r="J968"/>
      <c r="K968"/>
      <c r="L968"/>
      <c r="M968"/>
      <c r="N968"/>
      <c r="O968"/>
    </row>
    <row r="969" spans="6:15">
      <c r="F969"/>
      <c r="G969"/>
      <c r="H969"/>
      <c r="I969"/>
      <c r="J969"/>
      <c r="K969"/>
      <c r="L969"/>
      <c r="M969"/>
      <c r="N969"/>
      <c r="O969"/>
    </row>
    <row r="970" spans="6:15">
      <c r="F970"/>
      <c r="G970"/>
      <c r="H970"/>
      <c r="I970"/>
      <c r="J970"/>
      <c r="K970"/>
      <c r="L970"/>
      <c r="M970"/>
      <c r="N970"/>
      <c r="O970"/>
    </row>
    <row r="971" spans="6:15">
      <c r="F971"/>
      <c r="G971"/>
      <c r="H971"/>
      <c r="I971"/>
      <c r="J971"/>
      <c r="K971"/>
      <c r="L971"/>
      <c r="M971"/>
      <c r="N971"/>
      <c r="O971"/>
    </row>
    <row r="972" spans="6:15">
      <c r="F972"/>
      <c r="G972"/>
      <c r="H972"/>
      <c r="I972"/>
      <c r="J972"/>
      <c r="K972"/>
      <c r="L972"/>
      <c r="M972"/>
      <c r="N972"/>
      <c r="O972"/>
    </row>
    <row r="973" spans="6:15">
      <c r="F973"/>
      <c r="G973"/>
      <c r="H973"/>
      <c r="I973"/>
      <c r="J973"/>
      <c r="K973"/>
      <c r="L973"/>
      <c r="M973"/>
      <c r="N973"/>
      <c r="O973"/>
    </row>
    <row r="974" spans="6:15">
      <c r="F974"/>
      <c r="G974"/>
      <c r="H974"/>
      <c r="I974"/>
      <c r="J974"/>
      <c r="K974"/>
      <c r="L974"/>
      <c r="M974"/>
      <c r="N974"/>
      <c r="O974"/>
    </row>
    <row r="975" spans="6:15">
      <c r="F975"/>
      <c r="G975"/>
      <c r="H975"/>
      <c r="I975"/>
      <c r="J975"/>
      <c r="K975"/>
      <c r="L975"/>
      <c r="M975"/>
      <c r="N975"/>
      <c r="O975"/>
    </row>
    <row r="976" spans="6:15">
      <c r="F976"/>
      <c r="G976"/>
      <c r="H976"/>
      <c r="I976"/>
      <c r="J976"/>
      <c r="K976"/>
      <c r="L976"/>
      <c r="M976"/>
      <c r="N976"/>
      <c r="O976"/>
    </row>
    <row r="977" spans="6:15">
      <c r="F977"/>
      <c r="G977"/>
      <c r="H977"/>
      <c r="I977"/>
      <c r="J977"/>
      <c r="K977"/>
      <c r="L977"/>
      <c r="M977"/>
      <c r="N977"/>
      <c r="O977"/>
    </row>
    <row r="978" spans="6:15">
      <c r="F978"/>
      <c r="G978"/>
      <c r="H978"/>
      <c r="I978"/>
      <c r="J978"/>
      <c r="K978"/>
      <c r="L978"/>
      <c r="M978"/>
      <c r="N978"/>
      <c r="O978"/>
    </row>
    <row r="979" spans="6:15">
      <c r="F979"/>
      <c r="G979"/>
      <c r="H979"/>
      <c r="I979"/>
      <c r="J979"/>
      <c r="K979"/>
      <c r="L979"/>
      <c r="M979"/>
      <c r="N979"/>
      <c r="O979"/>
    </row>
    <row r="980" spans="6:15">
      <c r="F980"/>
      <c r="G980"/>
      <c r="H980"/>
      <c r="I980"/>
      <c r="J980"/>
      <c r="K980"/>
      <c r="L980"/>
      <c r="M980"/>
      <c r="N980"/>
      <c r="O980"/>
    </row>
    <row r="981" spans="6:15">
      <c r="F981"/>
      <c r="G981"/>
      <c r="H981"/>
      <c r="I981"/>
      <c r="J981"/>
      <c r="K981"/>
      <c r="L981"/>
      <c r="M981"/>
      <c r="N981"/>
      <c r="O981"/>
    </row>
    <row r="982" spans="6:15">
      <c r="F982"/>
      <c r="G982"/>
      <c r="H982"/>
      <c r="I982"/>
      <c r="J982"/>
      <c r="K982"/>
      <c r="L982"/>
      <c r="M982"/>
      <c r="N982"/>
      <c r="O982"/>
    </row>
    <row r="983" spans="6:15">
      <c r="F983"/>
      <c r="G983"/>
      <c r="H983"/>
      <c r="I983"/>
      <c r="J983"/>
      <c r="K983"/>
      <c r="L983"/>
      <c r="M983"/>
      <c r="N983"/>
      <c r="O983"/>
    </row>
    <row r="984" spans="6:15">
      <c r="F984"/>
      <c r="G984"/>
      <c r="H984"/>
      <c r="I984"/>
      <c r="J984"/>
      <c r="K984"/>
      <c r="L984"/>
      <c r="M984"/>
      <c r="N984"/>
      <c r="O984"/>
    </row>
    <row r="985" spans="6:15">
      <c r="F985"/>
      <c r="G985"/>
      <c r="H985"/>
      <c r="I985"/>
      <c r="J985"/>
      <c r="K985"/>
      <c r="L985"/>
      <c r="M985"/>
      <c r="N985"/>
      <c r="O985"/>
    </row>
    <row r="986" spans="6:15">
      <c r="F986"/>
      <c r="G986"/>
      <c r="H986"/>
      <c r="I986"/>
      <c r="J986"/>
      <c r="K986"/>
      <c r="L986"/>
      <c r="M986"/>
      <c r="N986"/>
      <c r="O986"/>
    </row>
    <row r="987" spans="6:15">
      <c r="F987"/>
      <c r="G987"/>
      <c r="H987"/>
      <c r="I987"/>
      <c r="J987"/>
      <c r="K987"/>
      <c r="L987"/>
      <c r="M987"/>
      <c r="N987"/>
      <c r="O987"/>
    </row>
    <row r="988" spans="6:15">
      <c r="F988"/>
      <c r="G988"/>
      <c r="H988"/>
      <c r="I988"/>
      <c r="J988"/>
      <c r="K988"/>
      <c r="L988"/>
      <c r="M988"/>
      <c r="N988"/>
      <c r="O988"/>
    </row>
    <row r="989" spans="6:15">
      <c r="F989"/>
      <c r="G989"/>
      <c r="H989"/>
      <c r="I989"/>
      <c r="J989"/>
      <c r="K989"/>
      <c r="L989"/>
      <c r="M989"/>
      <c r="N989"/>
      <c r="O989"/>
    </row>
    <row r="990" spans="6:15">
      <c r="F990"/>
      <c r="G990"/>
      <c r="H990"/>
      <c r="I990"/>
      <c r="J990"/>
      <c r="K990"/>
      <c r="L990"/>
      <c r="M990"/>
      <c r="N990"/>
      <c r="O990"/>
    </row>
    <row r="991" spans="6:15">
      <c r="F991"/>
      <c r="G991"/>
      <c r="H991"/>
      <c r="I991"/>
      <c r="J991"/>
      <c r="K991"/>
      <c r="L991"/>
      <c r="M991"/>
      <c r="N991"/>
      <c r="O991"/>
    </row>
    <row r="992" spans="6:15">
      <c r="F992"/>
      <c r="G992"/>
      <c r="H992"/>
      <c r="I992"/>
      <c r="J992"/>
      <c r="K992"/>
      <c r="L992"/>
      <c r="M992"/>
      <c r="N992"/>
      <c r="O992"/>
    </row>
    <row r="993" spans="6:15">
      <c r="F993"/>
      <c r="G993"/>
      <c r="H993"/>
      <c r="I993"/>
      <c r="J993"/>
      <c r="K993"/>
      <c r="L993"/>
      <c r="M993"/>
      <c r="N993"/>
      <c r="O993"/>
    </row>
    <row r="994" spans="6:15">
      <c r="F994"/>
      <c r="G994"/>
      <c r="H994"/>
      <c r="I994"/>
      <c r="J994"/>
      <c r="K994"/>
      <c r="L994"/>
      <c r="M994"/>
      <c r="N994"/>
      <c r="O994"/>
    </row>
    <row r="995" spans="6:15">
      <c r="F995"/>
      <c r="G995"/>
      <c r="H995"/>
      <c r="I995"/>
      <c r="J995"/>
      <c r="K995"/>
      <c r="L995"/>
      <c r="M995"/>
      <c r="N995"/>
      <c r="O995"/>
    </row>
    <row r="996" spans="6:15">
      <c r="F996"/>
      <c r="G996"/>
      <c r="H996"/>
      <c r="I996"/>
      <c r="J996"/>
      <c r="K996"/>
      <c r="L996"/>
      <c r="M996"/>
      <c r="N996"/>
      <c r="O996"/>
    </row>
    <row r="997" spans="6:15">
      <c r="F997"/>
      <c r="G997"/>
      <c r="H997"/>
      <c r="I997"/>
      <c r="J997"/>
      <c r="K997"/>
      <c r="L997"/>
      <c r="M997"/>
      <c r="N997"/>
      <c r="O997"/>
    </row>
    <row r="998" spans="6:15">
      <c r="F998"/>
      <c r="G998"/>
      <c r="H998"/>
      <c r="I998"/>
      <c r="J998"/>
      <c r="K998"/>
      <c r="L998"/>
      <c r="M998"/>
      <c r="N998"/>
      <c r="O998"/>
    </row>
    <row r="999" spans="6:15">
      <c r="F999"/>
      <c r="G999"/>
      <c r="H999"/>
      <c r="I999"/>
      <c r="J999"/>
      <c r="K999"/>
      <c r="L999"/>
      <c r="M999"/>
      <c r="N999"/>
      <c r="O999"/>
    </row>
    <row r="1000" spans="6:15">
      <c r="F1000"/>
      <c r="G1000"/>
      <c r="H1000"/>
      <c r="I1000"/>
      <c r="J1000"/>
      <c r="K1000"/>
      <c r="L1000"/>
      <c r="M1000"/>
      <c r="N1000"/>
      <c r="O1000"/>
    </row>
    <row r="1001" spans="6:15">
      <c r="F1001"/>
      <c r="G1001"/>
      <c r="H1001"/>
      <c r="I1001"/>
      <c r="J1001"/>
      <c r="K1001"/>
      <c r="L1001"/>
      <c r="M1001"/>
      <c r="N1001"/>
      <c r="O1001"/>
    </row>
    <row r="1002" spans="6:15">
      <c r="F1002"/>
      <c r="G1002"/>
      <c r="H1002"/>
      <c r="I1002"/>
      <c r="J1002"/>
      <c r="K1002"/>
      <c r="L1002"/>
      <c r="M1002"/>
      <c r="N1002"/>
      <c r="O1002"/>
    </row>
    <row r="1003" spans="6:15">
      <c r="F1003"/>
      <c r="G1003"/>
      <c r="H1003"/>
      <c r="I1003"/>
      <c r="J1003"/>
      <c r="K1003"/>
      <c r="L1003"/>
      <c r="M1003"/>
      <c r="N1003"/>
      <c r="O1003"/>
    </row>
    <row r="1004" spans="6:15">
      <c r="F1004"/>
      <c r="G1004"/>
      <c r="H1004"/>
      <c r="I1004"/>
      <c r="J1004"/>
      <c r="K1004"/>
      <c r="L1004"/>
      <c r="M1004"/>
      <c r="N1004"/>
      <c r="O1004"/>
    </row>
    <row r="1005" spans="6:15">
      <c r="F1005"/>
      <c r="G1005"/>
      <c r="H1005"/>
      <c r="I1005"/>
      <c r="J1005"/>
      <c r="K1005"/>
      <c r="L1005"/>
      <c r="M1005"/>
      <c r="N1005"/>
      <c r="O1005"/>
    </row>
    <row r="1006" spans="6:15">
      <c r="F1006"/>
      <c r="G1006"/>
      <c r="H1006"/>
      <c r="I1006"/>
      <c r="J1006"/>
      <c r="K1006"/>
      <c r="L1006"/>
      <c r="M1006"/>
      <c r="N1006"/>
      <c r="O1006"/>
    </row>
    <row r="1007" spans="6:15">
      <c r="F1007"/>
      <c r="G1007"/>
      <c r="H1007"/>
      <c r="I1007"/>
      <c r="J1007"/>
      <c r="K1007"/>
      <c r="L1007"/>
      <c r="M1007"/>
      <c r="N1007"/>
      <c r="O1007"/>
    </row>
    <row r="1008" spans="6:15">
      <c r="F1008"/>
      <c r="G1008"/>
      <c r="H1008"/>
      <c r="I1008"/>
      <c r="J1008"/>
      <c r="K1008"/>
      <c r="L1008"/>
      <c r="M1008"/>
      <c r="N1008"/>
      <c r="O1008"/>
    </row>
    <row r="1009" spans="6:15">
      <c r="F1009"/>
      <c r="G1009"/>
      <c r="H1009"/>
      <c r="I1009"/>
      <c r="J1009"/>
      <c r="K1009"/>
      <c r="L1009"/>
      <c r="M1009"/>
      <c r="N1009"/>
      <c r="O1009"/>
    </row>
    <row r="1010" spans="6:15">
      <c r="F1010"/>
      <c r="G1010"/>
      <c r="H1010"/>
      <c r="I1010"/>
      <c r="J1010"/>
      <c r="K1010"/>
      <c r="L1010"/>
      <c r="M1010"/>
      <c r="N1010"/>
      <c r="O1010"/>
    </row>
    <row r="1011" spans="6:15">
      <c r="F1011"/>
      <c r="G1011"/>
      <c r="H1011"/>
      <c r="I1011"/>
      <c r="J1011"/>
      <c r="K1011"/>
      <c r="L1011"/>
      <c r="M1011"/>
      <c r="N1011"/>
      <c r="O1011"/>
    </row>
    <row r="1012" spans="6:15">
      <c r="F1012"/>
      <c r="G1012"/>
      <c r="H1012"/>
      <c r="I1012"/>
      <c r="J1012"/>
      <c r="K1012"/>
      <c r="L1012"/>
      <c r="M1012"/>
      <c r="N1012"/>
      <c r="O1012"/>
    </row>
    <row r="1013" spans="6:15">
      <c r="F1013"/>
      <c r="G1013"/>
      <c r="H1013"/>
      <c r="I1013"/>
      <c r="J1013"/>
      <c r="K1013"/>
      <c r="L1013"/>
      <c r="M1013"/>
      <c r="N1013"/>
      <c r="O1013"/>
    </row>
    <row r="1014" spans="6:15">
      <c r="F1014"/>
      <c r="G1014"/>
      <c r="H1014"/>
      <c r="I1014"/>
      <c r="J1014"/>
      <c r="K1014"/>
      <c r="L1014"/>
      <c r="M1014"/>
      <c r="N1014"/>
      <c r="O1014"/>
    </row>
    <row r="1015" spans="6:15">
      <c r="F1015"/>
      <c r="G1015"/>
      <c r="H1015"/>
      <c r="I1015"/>
      <c r="J1015"/>
      <c r="K1015"/>
      <c r="L1015"/>
      <c r="M1015"/>
      <c r="N1015"/>
      <c r="O1015"/>
    </row>
    <row r="1016" spans="6:15">
      <c r="F1016"/>
      <c r="G1016"/>
      <c r="H1016"/>
      <c r="I1016"/>
      <c r="J1016"/>
      <c r="K1016"/>
      <c r="L1016"/>
      <c r="M1016"/>
      <c r="N1016"/>
      <c r="O1016"/>
    </row>
    <row r="1017" spans="6:15">
      <c r="F1017"/>
      <c r="G1017"/>
      <c r="H1017"/>
      <c r="I1017"/>
      <c r="J1017"/>
      <c r="K1017"/>
      <c r="L1017"/>
      <c r="M1017"/>
      <c r="N1017"/>
      <c r="O1017"/>
    </row>
    <row r="1018" spans="6:15">
      <c r="F1018"/>
      <c r="G1018"/>
      <c r="H1018"/>
      <c r="I1018"/>
      <c r="J1018"/>
      <c r="K1018"/>
      <c r="L1018"/>
      <c r="M1018"/>
      <c r="N1018"/>
      <c r="O1018"/>
    </row>
    <row r="1019" spans="6:15">
      <c r="F1019"/>
      <c r="G1019"/>
      <c r="H1019"/>
      <c r="I1019"/>
      <c r="J1019"/>
      <c r="K1019"/>
      <c r="L1019"/>
      <c r="M1019"/>
      <c r="N1019"/>
      <c r="O1019"/>
    </row>
    <row r="1020" spans="6:15">
      <c r="F1020"/>
      <c r="G1020"/>
      <c r="H1020"/>
      <c r="I1020"/>
      <c r="J1020"/>
      <c r="K1020"/>
      <c r="L1020"/>
      <c r="M1020"/>
      <c r="N1020"/>
      <c r="O1020"/>
    </row>
    <row r="1021" spans="6:15">
      <c r="F1021"/>
      <c r="G1021"/>
      <c r="H1021"/>
      <c r="I1021"/>
      <c r="J1021"/>
      <c r="K1021"/>
      <c r="L1021"/>
      <c r="M1021"/>
      <c r="N1021"/>
      <c r="O1021"/>
    </row>
    <row r="1022" spans="6:15">
      <c r="F1022"/>
      <c r="G1022"/>
      <c r="H1022"/>
      <c r="I1022"/>
      <c r="J1022"/>
      <c r="K1022"/>
      <c r="L1022"/>
      <c r="M1022"/>
      <c r="N1022"/>
      <c r="O1022"/>
    </row>
    <row r="1023" spans="6:15">
      <c r="F1023"/>
      <c r="G1023"/>
      <c r="H1023"/>
      <c r="I1023"/>
      <c r="J1023"/>
      <c r="K1023"/>
      <c r="L1023"/>
      <c r="M1023"/>
      <c r="N1023"/>
      <c r="O1023"/>
    </row>
    <row r="1024" spans="6:15">
      <c r="F1024"/>
      <c r="G1024"/>
      <c r="H1024"/>
      <c r="I1024"/>
      <c r="J1024"/>
      <c r="K1024"/>
      <c r="L1024"/>
      <c r="M1024"/>
      <c r="N1024"/>
      <c r="O1024"/>
    </row>
    <row r="1025" spans="6:15">
      <c r="F1025"/>
      <c r="G1025"/>
      <c r="H1025"/>
      <c r="I1025"/>
      <c r="J1025"/>
      <c r="K1025"/>
      <c r="L1025"/>
      <c r="M1025"/>
      <c r="N1025"/>
      <c r="O1025"/>
    </row>
    <row r="1026" spans="6:15">
      <c r="F1026"/>
      <c r="G1026"/>
      <c r="H1026"/>
      <c r="I1026"/>
      <c r="J1026"/>
      <c r="K1026"/>
      <c r="L1026"/>
      <c r="M1026"/>
      <c r="N1026"/>
      <c r="O1026"/>
    </row>
    <row r="1027" spans="6:15">
      <c r="F1027"/>
      <c r="G1027"/>
      <c r="H1027"/>
      <c r="I1027"/>
      <c r="J1027"/>
      <c r="K1027"/>
      <c r="L1027"/>
      <c r="M1027"/>
      <c r="N1027"/>
      <c r="O1027"/>
    </row>
    <row r="1028" spans="6:15">
      <c r="F1028"/>
      <c r="G1028"/>
      <c r="H1028"/>
      <c r="I1028"/>
      <c r="J1028"/>
      <c r="K1028"/>
      <c r="L1028"/>
      <c r="M1028"/>
      <c r="N1028"/>
      <c r="O1028"/>
    </row>
    <row r="1029" spans="6:15">
      <c r="F1029"/>
      <c r="G1029"/>
      <c r="H1029"/>
      <c r="I1029"/>
      <c r="J1029"/>
      <c r="K1029"/>
      <c r="L1029"/>
      <c r="M1029"/>
      <c r="N1029"/>
      <c r="O1029"/>
    </row>
    <row r="1030" spans="6:15">
      <c r="F1030"/>
      <c r="G1030"/>
      <c r="H1030"/>
      <c r="I1030"/>
      <c r="J1030"/>
      <c r="K1030"/>
      <c r="L1030"/>
      <c r="M1030"/>
      <c r="N1030"/>
      <c r="O1030"/>
    </row>
    <row r="1031" spans="6:15">
      <c r="F1031"/>
      <c r="G1031"/>
      <c r="H1031"/>
      <c r="I1031"/>
      <c r="J1031"/>
      <c r="K1031"/>
      <c r="L1031"/>
      <c r="M1031"/>
      <c r="N1031"/>
      <c r="O1031"/>
    </row>
    <row r="1032" spans="6:15">
      <c r="F1032"/>
      <c r="G1032"/>
      <c r="H1032"/>
      <c r="I1032"/>
      <c r="J1032"/>
      <c r="K1032"/>
      <c r="L1032"/>
      <c r="M1032"/>
      <c r="N1032"/>
      <c r="O1032"/>
    </row>
    <row r="1033" spans="6:15">
      <c r="F1033"/>
      <c r="G1033"/>
      <c r="H1033"/>
      <c r="I1033"/>
      <c r="J1033"/>
      <c r="K1033"/>
      <c r="L1033"/>
      <c r="M1033"/>
      <c r="N1033"/>
      <c r="O1033"/>
    </row>
    <row r="1034" spans="6:15">
      <c r="F1034"/>
      <c r="G1034"/>
      <c r="H1034"/>
      <c r="I1034"/>
      <c r="J1034"/>
      <c r="K1034"/>
      <c r="L1034"/>
      <c r="M1034"/>
      <c r="N1034"/>
      <c r="O1034"/>
    </row>
    <row r="1035" spans="6:15">
      <c r="F1035"/>
      <c r="G1035"/>
      <c r="H1035"/>
      <c r="I1035"/>
      <c r="J1035"/>
      <c r="K1035"/>
      <c r="L1035"/>
      <c r="M1035"/>
      <c r="N1035"/>
      <c r="O1035"/>
    </row>
    <row r="1036" spans="6:15">
      <c r="F1036"/>
      <c r="G1036"/>
      <c r="H1036"/>
      <c r="I1036"/>
      <c r="J1036"/>
      <c r="K1036"/>
      <c r="L1036"/>
      <c r="M1036"/>
      <c r="N1036"/>
      <c r="O1036"/>
    </row>
    <row r="1037" spans="6:15">
      <c r="F1037"/>
      <c r="G1037"/>
      <c r="H1037"/>
      <c r="I1037"/>
      <c r="J1037"/>
      <c r="K1037"/>
      <c r="L1037"/>
      <c r="M1037"/>
      <c r="N1037"/>
      <c r="O1037"/>
    </row>
    <row r="1038" spans="6:15">
      <c r="F1038"/>
      <c r="G1038"/>
      <c r="H1038"/>
      <c r="I1038"/>
      <c r="J1038"/>
      <c r="K1038"/>
      <c r="L1038"/>
      <c r="M1038"/>
      <c r="N1038"/>
      <c r="O1038"/>
    </row>
    <row r="1039" spans="6:15">
      <c r="F1039"/>
      <c r="G1039"/>
      <c r="H1039"/>
      <c r="I1039"/>
      <c r="J1039"/>
      <c r="K1039"/>
      <c r="L1039"/>
      <c r="M1039"/>
      <c r="N1039"/>
      <c r="O1039"/>
    </row>
    <row r="1040" spans="6:15">
      <c r="F1040"/>
      <c r="G1040"/>
      <c r="H1040"/>
      <c r="I1040"/>
      <c r="J1040"/>
      <c r="K1040"/>
      <c r="L1040"/>
      <c r="M1040"/>
      <c r="N1040"/>
      <c r="O1040"/>
    </row>
    <row r="1041" spans="6:15">
      <c r="F1041"/>
      <c r="G1041"/>
      <c r="H1041"/>
      <c r="I1041"/>
      <c r="J1041"/>
      <c r="K1041"/>
      <c r="L1041"/>
      <c r="M1041"/>
      <c r="N1041"/>
      <c r="O1041"/>
    </row>
    <row r="1042" spans="6:15">
      <c r="F1042"/>
      <c r="G1042"/>
      <c r="H1042"/>
      <c r="I1042"/>
      <c r="J1042"/>
      <c r="K1042"/>
      <c r="L1042"/>
      <c r="M1042"/>
      <c r="N1042"/>
      <c r="O1042"/>
    </row>
    <row r="1043" spans="6:15">
      <c r="F1043"/>
      <c r="G1043"/>
      <c r="H1043"/>
      <c r="I1043"/>
      <c r="J1043"/>
      <c r="K1043"/>
      <c r="L1043"/>
      <c r="M1043"/>
      <c r="N1043"/>
      <c r="O1043"/>
    </row>
    <row r="1044" spans="6:15">
      <c r="F1044"/>
      <c r="G1044"/>
      <c r="H1044"/>
      <c r="I1044"/>
      <c r="J1044"/>
      <c r="K1044"/>
      <c r="L1044"/>
      <c r="M1044"/>
      <c r="N1044"/>
      <c r="O1044"/>
    </row>
    <row r="1045" spans="6:15">
      <c r="F1045"/>
      <c r="G1045"/>
      <c r="H1045"/>
      <c r="I1045"/>
      <c r="J1045"/>
      <c r="K1045"/>
      <c r="L1045"/>
      <c r="M1045"/>
      <c r="N1045"/>
      <c r="O1045"/>
    </row>
    <row r="1046" spans="6:15">
      <c r="F1046"/>
      <c r="G1046"/>
      <c r="H1046"/>
      <c r="I1046"/>
      <c r="J1046"/>
      <c r="K1046"/>
      <c r="L1046"/>
      <c r="M1046"/>
      <c r="N1046"/>
      <c r="O1046"/>
    </row>
    <row r="1047" spans="6:15">
      <c r="F1047"/>
      <c r="G1047"/>
      <c r="H1047"/>
      <c r="I1047"/>
      <c r="J1047"/>
      <c r="K1047"/>
      <c r="L1047"/>
      <c r="M1047"/>
      <c r="N1047"/>
      <c r="O1047"/>
    </row>
    <row r="1048" spans="6:15">
      <c r="F1048"/>
      <c r="G1048"/>
      <c r="H1048"/>
      <c r="I1048"/>
      <c r="J1048"/>
      <c r="K1048"/>
      <c r="L1048"/>
      <c r="M1048"/>
      <c r="N1048"/>
      <c r="O1048"/>
    </row>
    <row r="1049" spans="6:15">
      <c r="F1049"/>
      <c r="G1049"/>
      <c r="H1049"/>
      <c r="I1049"/>
      <c r="J1049"/>
      <c r="K1049"/>
      <c r="L1049"/>
      <c r="M1049"/>
      <c r="N1049"/>
      <c r="O1049"/>
    </row>
    <row r="1050" spans="6:15">
      <c r="F1050"/>
      <c r="G1050"/>
      <c r="H1050"/>
      <c r="I1050"/>
      <c r="J1050"/>
      <c r="K1050"/>
      <c r="L1050"/>
      <c r="M1050"/>
      <c r="N1050"/>
      <c r="O1050"/>
    </row>
    <row r="1051" spans="6:15">
      <c r="F1051"/>
      <c r="G1051"/>
      <c r="H1051"/>
      <c r="I1051"/>
      <c r="J1051"/>
      <c r="K1051"/>
      <c r="L1051"/>
      <c r="M1051"/>
      <c r="N1051"/>
      <c r="O1051"/>
    </row>
    <row r="1052" spans="6:15">
      <c r="F1052"/>
      <c r="G1052"/>
      <c r="H1052"/>
      <c r="I1052"/>
      <c r="J1052"/>
      <c r="K1052"/>
      <c r="L1052"/>
      <c r="M1052"/>
      <c r="N1052"/>
      <c r="O1052"/>
    </row>
    <row r="1053" spans="6:15">
      <c r="F1053"/>
      <c r="G1053"/>
      <c r="H1053"/>
      <c r="I1053"/>
      <c r="J1053"/>
      <c r="K1053"/>
      <c r="L1053"/>
      <c r="M1053"/>
      <c r="N1053"/>
      <c r="O1053"/>
    </row>
    <row r="1054" spans="6:15">
      <c r="F1054"/>
      <c r="G1054"/>
      <c r="H1054"/>
      <c r="I1054"/>
      <c r="J1054"/>
      <c r="K1054"/>
      <c r="L1054"/>
      <c r="M1054"/>
      <c r="N1054"/>
      <c r="O1054"/>
    </row>
    <row r="1055" spans="6:15">
      <c r="F1055"/>
      <c r="G1055"/>
      <c r="H1055"/>
      <c r="I1055"/>
      <c r="J1055"/>
      <c r="K1055"/>
      <c r="L1055"/>
      <c r="M1055"/>
      <c r="N1055"/>
      <c r="O1055"/>
    </row>
    <row r="1056" spans="6:15">
      <c r="F1056"/>
      <c r="G1056"/>
      <c r="H1056"/>
      <c r="I1056"/>
      <c r="J1056"/>
      <c r="K1056"/>
      <c r="L1056"/>
      <c r="M1056"/>
      <c r="N1056"/>
      <c r="O1056"/>
    </row>
    <row r="1057" spans="6:15">
      <c r="F1057"/>
      <c r="G1057"/>
      <c r="H1057"/>
      <c r="I1057"/>
      <c r="J1057"/>
      <c r="K1057"/>
      <c r="L1057"/>
      <c r="M1057"/>
      <c r="N1057"/>
      <c r="O1057"/>
    </row>
    <row r="1058" spans="6:15">
      <c r="F1058"/>
      <c r="G1058"/>
      <c r="H1058"/>
      <c r="I1058"/>
      <c r="J1058"/>
      <c r="K1058"/>
      <c r="L1058"/>
      <c r="M1058"/>
      <c r="N1058"/>
      <c r="O1058"/>
    </row>
    <row r="1059" spans="6:15">
      <c r="F1059"/>
      <c r="G1059"/>
      <c r="H1059"/>
      <c r="I1059"/>
      <c r="J1059"/>
      <c r="K1059"/>
      <c r="L1059"/>
      <c r="M1059"/>
      <c r="N1059"/>
      <c r="O1059"/>
    </row>
    <row r="1060" spans="6:15">
      <c r="F1060"/>
      <c r="G1060"/>
      <c r="H1060"/>
      <c r="I1060"/>
      <c r="J1060"/>
      <c r="K1060"/>
      <c r="L1060"/>
      <c r="M1060"/>
      <c r="N1060"/>
      <c r="O1060"/>
    </row>
    <row r="1061" spans="6:15">
      <c r="F1061"/>
      <c r="G1061"/>
      <c r="H1061"/>
      <c r="I1061"/>
      <c r="J1061"/>
      <c r="K1061"/>
      <c r="L1061"/>
      <c r="M1061"/>
      <c r="N1061"/>
      <c r="O1061"/>
    </row>
    <row r="1062" spans="6:15">
      <c r="F1062"/>
      <c r="G1062"/>
      <c r="H1062"/>
      <c r="I1062"/>
      <c r="J1062"/>
      <c r="K1062"/>
      <c r="L1062"/>
      <c r="M1062"/>
      <c r="N1062"/>
      <c r="O1062"/>
    </row>
    <row r="1063" spans="6:15">
      <c r="F1063"/>
      <c r="G1063"/>
      <c r="H1063"/>
      <c r="I1063"/>
      <c r="J1063"/>
      <c r="K1063"/>
      <c r="L1063"/>
      <c r="M1063"/>
      <c r="N1063"/>
      <c r="O1063"/>
    </row>
    <row r="1064" spans="6:15">
      <c r="F1064"/>
      <c r="G1064"/>
      <c r="H1064"/>
      <c r="I1064"/>
      <c r="J1064"/>
      <c r="K1064"/>
      <c r="L1064"/>
      <c r="M1064"/>
      <c r="N1064"/>
      <c r="O1064"/>
    </row>
    <row r="1065" spans="6:15">
      <c r="F1065"/>
      <c r="G1065"/>
      <c r="H1065"/>
      <c r="I1065"/>
      <c r="J1065"/>
      <c r="K1065"/>
      <c r="L1065"/>
      <c r="M1065"/>
      <c r="N1065"/>
      <c r="O1065"/>
    </row>
    <row r="1066" spans="6:15">
      <c r="F1066"/>
      <c r="G1066"/>
      <c r="H1066"/>
      <c r="I1066"/>
      <c r="J1066"/>
      <c r="K1066"/>
      <c r="L1066"/>
      <c r="M1066"/>
      <c r="N1066"/>
      <c r="O1066"/>
    </row>
    <row r="1067" spans="6:15">
      <c r="F1067"/>
      <c r="G1067"/>
      <c r="H1067"/>
      <c r="I1067"/>
      <c r="J1067"/>
      <c r="K1067"/>
      <c r="L1067"/>
      <c r="M1067"/>
      <c r="N1067"/>
      <c r="O1067"/>
    </row>
    <row r="1068" spans="6:15">
      <c r="F1068"/>
      <c r="G1068"/>
      <c r="H1068"/>
      <c r="I1068"/>
      <c r="J1068"/>
      <c r="K1068"/>
      <c r="L1068"/>
      <c r="M1068"/>
      <c r="N1068"/>
      <c r="O1068"/>
    </row>
    <row r="1069" spans="6:15">
      <c r="F1069"/>
      <c r="G1069"/>
      <c r="H1069"/>
      <c r="I1069"/>
      <c r="J1069"/>
      <c r="K1069"/>
      <c r="L1069"/>
      <c r="M1069"/>
      <c r="N1069"/>
      <c r="O1069"/>
    </row>
    <row r="1070" spans="6:15">
      <c r="F1070"/>
      <c r="G1070"/>
      <c r="H1070"/>
      <c r="I1070"/>
      <c r="J1070"/>
      <c r="K1070"/>
      <c r="L1070"/>
      <c r="M1070"/>
      <c r="N1070"/>
      <c r="O1070"/>
    </row>
    <row r="1071" spans="6:15">
      <c r="F1071"/>
      <c r="G1071"/>
      <c r="H1071"/>
      <c r="I1071"/>
      <c r="J1071"/>
      <c r="K1071"/>
      <c r="L1071"/>
      <c r="M1071"/>
      <c r="N1071"/>
      <c r="O1071"/>
    </row>
    <row r="1072" spans="6:15">
      <c r="F1072"/>
      <c r="G1072"/>
      <c r="H1072"/>
      <c r="I1072"/>
      <c r="J1072"/>
      <c r="K1072"/>
      <c r="L1072"/>
      <c r="M1072"/>
      <c r="N1072"/>
      <c r="O1072"/>
    </row>
    <row r="1073" spans="6:15">
      <c r="F1073"/>
      <c r="G1073"/>
      <c r="H1073"/>
      <c r="I1073"/>
      <c r="J1073"/>
      <c r="K1073"/>
      <c r="L1073"/>
      <c r="M1073"/>
      <c r="N1073"/>
      <c r="O1073"/>
    </row>
    <row r="1074" spans="6:15">
      <c r="F1074"/>
      <c r="G1074"/>
      <c r="H1074"/>
      <c r="I1074"/>
      <c r="J1074"/>
      <c r="K1074"/>
      <c r="L1074"/>
      <c r="M1074"/>
      <c r="N1074"/>
      <c r="O1074"/>
    </row>
    <row r="1075" spans="6:15">
      <c r="F1075"/>
      <c r="G1075"/>
      <c r="H1075"/>
      <c r="I1075"/>
      <c r="J1075"/>
      <c r="K1075"/>
      <c r="L1075"/>
      <c r="M1075"/>
      <c r="N1075"/>
      <c r="O1075"/>
    </row>
    <row r="1076" spans="6:15">
      <c r="F1076"/>
      <c r="G1076"/>
      <c r="H1076"/>
      <c r="I1076"/>
      <c r="J1076"/>
      <c r="K1076"/>
      <c r="L1076"/>
      <c r="M1076"/>
      <c r="N1076"/>
      <c r="O1076"/>
    </row>
    <row r="1077" spans="6:15">
      <c r="F1077"/>
      <c r="G1077"/>
      <c r="H1077"/>
      <c r="I1077"/>
      <c r="J1077"/>
      <c r="K1077"/>
      <c r="L1077"/>
      <c r="M1077"/>
      <c r="N1077"/>
      <c r="O1077"/>
    </row>
    <row r="1078" spans="6:15">
      <c r="F1078"/>
      <c r="G1078"/>
      <c r="H1078"/>
      <c r="I1078"/>
      <c r="J1078"/>
      <c r="K1078"/>
      <c r="L1078"/>
      <c r="M1078"/>
      <c r="N1078"/>
      <c r="O1078"/>
    </row>
    <row r="1079" spans="6:15">
      <c r="F1079"/>
      <c r="G1079"/>
      <c r="H1079"/>
      <c r="I1079"/>
      <c r="J1079"/>
      <c r="K1079"/>
      <c r="L1079"/>
      <c r="M1079"/>
      <c r="N1079"/>
      <c r="O1079"/>
    </row>
    <row r="1080" spans="6:15">
      <c r="F1080"/>
      <c r="G1080"/>
      <c r="H1080"/>
      <c r="I1080"/>
      <c r="J1080"/>
      <c r="K1080"/>
      <c r="L1080"/>
      <c r="M1080"/>
      <c r="N1080"/>
      <c r="O1080"/>
    </row>
    <row r="1081" spans="6:15">
      <c r="F1081"/>
      <c r="G1081"/>
      <c r="H1081"/>
      <c r="I1081"/>
      <c r="J1081"/>
      <c r="K1081"/>
      <c r="L1081"/>
      <c r="M1081"/>
      <c r="N1081"/>
      <c r="O1081"/>
    </row>
    <row r="1082" spans="6:15">
      <c r="F1082"/>
      <c r="G1082"/>
      <c r="H1082"/>
      <c r="I1082"/>
      <c r="J1082"/>
      <c r="K1082"/>
      <c r="L1082"/>
      <c r="M1082"/>
      <c r="N1082"/>
      <c r="O1082"/>
    </row>
    <row r="1083" spans="6:15">
      <c r="F1083"/>
      <c r="G1083"/>
      <c r="H1083"/>
      <c r="I1083"/>
      <c r="J1083"/>
      <c r="K1083"/>
      <c r="L1083"/>
      <c r="M1083"/>
      <c r="N1083"/>
      <c r="O1083"/>
    </row>
    <row r="1084" spans="6:15">
      <c r="F1084"/>
      <c r="G1084"/>
      <c r="H1084"/>
      <c r="I1084"/>
      <c r="J1084"/>
      <c r="K1084"/>
      <c r="L1084"/>
      <c r="M1084"/>
      <c r="N1084"/>
      <c r="O1084"/>
    </row>
    <row r="1085" spans="6:15">
      <c r="F1085"/>
      <c r="G1085"/>
      <c r="H1085"/>
      <c r="I1085"/>
      <c r="J1085"/>
      <c r="K1085"/>
      <c r="L1085"/>
      <c r="M1085"/>
      <c r="N1085"/>
      <c r="O1085"/>
    </row>
    <row r="1086" spans="6:15">
      <c r="F1086"/>
      <c r="G1086"/>
      <c r="H1086"/>
      <c r="I1086"/>
      <c r="J1086"/>
      <c r="K1086"/>
      <c r="L1086"/>
      <c r="M1086"/>
      <c r="N1086"/>
      <c r="O1086"/>
    </row>
    <row r="1087" spans="6:15">
      <c r="F1087"/>
      <c r="G1087"/>
      <c r="H1087"/>
      <c r="I1087"/>
      <c r="J1087"/>
      <c r="K1087"/>
      <c r="L1087"/>
      <c r="M1087"/>
      <c r="N1087"/>
      <c r="O1087"/>
    </row>
    <row r="1088" spans="6:15">
      <c r="F1088"/>
      <c r="G1088"/>
      <c r="H1088"/>
      <c r="I1088"/>
      <c r="J1088"/>
      <c r="K1088"/>
      <c r="L1088"/>
      <c r="M1088"/>
      <c r="N1088"/>
      <c r="O1088"/>
    </row>
    <row r="1089" spans="6:15">
      <c r="F1089"/>
      <c r="G1089"/>
      <c r="H1089"/>
      <c r="I1089"/>
      <c r="J1089"/>
      <c r="K1089"/>
      <c r="L1089"/>
      <c r="M1089"/>
      <c r="N1089"/>
      <c r="O1089"/>
    </row>
    <row r="1090" spans="6:15">
      <c r="F1090"/>
      <c r="G1090"/>
      <c r="H1090"/>
      <c r="I1090"/>
      <c r="J1090"/>
      <c r="K1090"/>
      <c r="L1090"/>
      <c r="M1090"/>
      <c r="N1090"/>
      <c r="O1090"/>
    </row>
    <row r="1091" spans="6:15">
      <c r="F1091"/>
      <c r="G1091"/>
      <c r="H1091"/>
      <c r="I1091"/>
      <c r="J1091"/>
      <c r="K1091"/>
      <c r="L1091"/>
      <c r="M1091"/>
      <c r="N1091"/>
      <c r="O1091"/>
    </row>
    <row r="1092" spans="6:15">
      <c r="F1092"/>
      <c r="G1092"/>
      <c r="H1092"/>
      <c r="I1092"/>
      <c r="J1092"/>
      <c r="K1092"/>
      <c r="L1092"/>
      <c r="M1092"/>
      <c r="N1092"/>
      <c r="O1092"/>
    </row>
    <row r="1093" spans="6:15">
      <c r="F1093"/>
      <c r="G1093"/>
      <c r="H1093"/>
      <c r="I1093"/>
      <c r="J1093"/>
      <c r="K1093"/>
      <c r="L1093"/>
      <c r="M1093"/>
      <c r="N1093"/>
      <c r="O1093"/>
    </row>
    <row r="1094" spans="6:15">
      <c r="F1094"/>
      <c r="G1094"/>
      <c r="H1094"/>
      <c r="I1094"/>
      <c r="J1094"/>
      <c r="K1094"/>
      <c r="L1094"/>
      <c r="M1094"/>
      <c r="N1094"/>
      <c r="O1094"/>
    </row>
    <row r="1095" spans="6:15">
      <c r="F1095"/>
      <c r="G1095"/>
      <c r="H1095"/>
      <c r="I1095"/>
      <c r="J1095"/>
      <c r="K1095"/>
      <c r="L1095"/>
      <c r="M1095"/>
      <c r="N1095"/>
      <c r="O1095"/>
    </row>
    <row r="1096" spans="6:15">
      <c r="F1096"/>
      <c r="G1096"/>
      <c r="H1096"/>
      <c r="I1096"/>
      <c r="J1096"/>
      <c r="K1096"/>
      <c r="L1096"/>
      <c r="M1096"/>
      <c r="N1096"/>
      <c r="O1096"/>
    </row>
    <row r="1097" spans="6:15">
      <c r="F1097"/>
      <c r="G1097"/>
      <c r="H1097"/>
      <c r="I1097"/>
      <c r="J1097"/>
      <c r="K1097"/>
      <c r="L1097"/>
      <c r="M1097"/>
      <c r="N1097"/>
      <c r="O1097"/>
    </row>
    <row r="1098" spans="6:15">
      <c r="F1098"/>
      <c r="G1098"/>
      <c r="H1098"/>
      <c r="I1098"/>
      <c r="J1098"/>
      <c r="K1098"/>
      <c r="L1098"/>
      <c r="M1098"/>
      <c r="N1098"/>
      <c r="O1098"/>
    </row>
    <row r="1099" spans="6:15">
      <c r="F1099"/>
      <c r="G1099"/>
      <c r="H1099"/>
      <c r="I1099"/>
      <c r="J1099"/>
      <c r="K1099"/>
      <c r="L1099"/>
      <c r="M1099"/>
      <c r="N1099"/>
      <c r="O1099"/>
    </row>
    <row r="1100" spans="6:15">
      <c r="F1100"/>
      <c r="G1100"/>
      <c r="H1100"/>
      <c r="I1100"/>
      <c r="J1100"/>
      <c r="K1100"/>
      <c r="L1100"/>
      <c r="M1100"/>
      <c r="N1100"/>
      <c r="O1100"/>
    </row>
    <row r="1101" spans="6:15">
      <c r="F1101"/>
      <c r="G1101"/>
      <c r="H1101"/>
      <c r="I1101"/>
      <c r="J1101"/>
      <c r="K1101"/>
      <c r="L1101"/>
      <c r="M1101"/>
      <c r="N1101"/>
      <c r="O1101"/>
    </row>
    <row r="1102" spans="6:15">
      <c r="F1102"/>
      <c r="G1102"/>
      <c r="H1102"/>
      <c r="I1102"/>
      <c r="J1102"/>
      <c r="K1102"/>
      <c r="L1102"/>
      <c r="M1102"/>
      <c r="N1102"/>
      <c r="O1102"/>
    </row>
    <row r="1103" spans="6:15">
      <c r="F1103"/>
      <c r="G1103"/>
      <c r="H1103"/>
      <c r="I1103"/>
      <c r="J1103"/>
      <c r="K1103"/>
      <c r="L1103"/>
      <c r="M1103"/>
      <c r="N1103"/>
      <c r="O1103"/>
    </row>
    <row r="1104" spans="6:15">
      <c r="F1104"/>
      <c r="G1104"/>
      <c r="H1104"/>
      <c r="I1104"/>
      <c r="J1104"/>
      <c r="K1104"/>
      <c r="L1104"/>
      <c r="M1104"/>
      <c r="N1104"/>
      <c r="O1104"/>
    </row>
    <row r="1105" spans="6:15">
      <c r="F1105"/>
      <c r="G1105"/>
      <c r="H1105"/>
      <c r="I1105"/>
      <c r="J1105"/>
      <c r="K1105"/>
      <c r="L1105"/>
      <c r="M1105"/>
      <c r="N1105"/>
      <c r="O1105"/>
    </row>
    <row r="1106" spans="6:15">
      <c r="F1106"/>
      <c r="G1106"/>
      <c r="H1106"/>
      <c r="I1106"/>
      <c r="J1106"/>
      <c r="K1106"/>
      <c r="L1106"/>
      <c r="M1106"/>
      <c r="N1106"/>
      <c r="O1106"/>
    </row>
    <row r="1107" spans="6:15">
      <c r="F1107"/>
      <c r="G1107"/>
      <c r="H1107"/>
      <c r="I1107"/>
      <c r="J1107"/>
      <c r="K1107"/>
      <c r="L1107"/>
      <c r="M1107"/>
      <c r="N1107"/>
      <c r="O1107"/>
    </row>
    <row r="1108" spans="6:15">
      <c r="F1108"/>
      <c r="G1108"/>
      <c r="H1108"/>
      <c r="I1108"/>
      <c r="J1108"/>
      <c r="K1108"/>
      <c r="L1108"/>
      <c r="M1108"/>
      <c r="N1108"/>
      <c r="O1108"/>
    </row>
    <row r="1109" spans="6:15">
      <c r="F1109"/>
      <c r="G1109"/>
      <c r="H1109"/>
      <c r="I1109"/>
      <c r="J1109"/>
      <c r="K1109"/>
      <c r="L1109"/>
      <c r="M1109"/>
      <c r="N1109"/>
      <c r="O1109"/>
    </row>
    <row r="1110" spans="6:15">
      <c r="F1110"/>
      <c r="G1110"/>
      <c r="H1110"/>
      <c r="I1110"/>
      <c r="J1110"/>
      <c r="K1110"/>
      <c r="L1110"/>
      <c r="M1110"/>
      <c r="N1110"/>
      <c r="O1110"/>
    </row>
    <row r="1111" spans="6:15">
      <c r="F1111"/>
      <c r="G1111"/>
      <c r="H1111"/>
      <c r="I1111"/>
      <c r="J1111"/>
      <c r="K1111"/>
      <c r="L1111"/>
      <c r="M1111"/>
      <c r="N1111"/>
      <c r="O1111"/>
    </row>
    <row r="1112" spans="6:15">
      <c r="F1112"/>
      <c r="G1112"/>
      <c r="H1112"/>
      <c r="I1112"/>
      <c r="J1112"/>
      <c r="K1112"/>
      <c r="L1112"/>
      <c r="M1112"/>
      <c r="N1112"/>
      <c r="O1112"/>
    </row>
    <row r="1113" spans="6:15">
      <c r="F1113"/>
      <c r="G1113"/>
      <c r="H1113"/>
      <c r="I1113"/>
      <c r="J1113"/>
      <c r="K1113"/>
      <c r="L1113"/>
      <c r="M1113"/>
      <c r="N1113"/>
      <c r="O1113"/>
    </row>
    <row r="1114" spans="6:15">
      <c r="F1114"/>
      <c r="G1114"/>
      <c r="H1114"/>
      <c r="I1114"/>
      <c r="J1114"/>
      <c r="K1114"/>
      <c r="L1114"/>
      <c r="M1114"/>
      <c r="N1114"/>
      <c r="O1114"/>
    </row>
    <row r="1115" spans="6:15">
      <c r="F1115"/>
      <c r="G1115"/>
      <c r="H1115"/>
      <c r="I1115"/>
      <c r="J1115"/>
      <c r="K1115"/>
      <c r="L1115"/>
      <c r="M1115"/>
      <c r="N1115"/>
      <c r="O1115"/>
    </row>
    <row r="1116" spans="6:15">
      <c r="F1116"/>
      <c r="G1116"/>
      <c r="H1116"/>
      <c r="I1116"/>
      <c r="J1116"/>
      <c r="K1116"/>
      <c r="L1116"/>
      <c r="M1116"/>
      <c r="N1116"/>
      <c r="O1116"/>
    </row>
    <row r="1117" spans="6:15">
      <c r="F1117"/>
      <c r="G1117"/>
      <c r="H1117"/>
      <c r="I1117"/>
      <c r="J1117"/>
      <c r="K1117"/>
      <c r="L1117"/>
      <c r="M1117"/>
      <c r="N1117"/>
      <c r="O1117"/>
    </row>
    <row r="1118" spans="6:15">
      <c r="F1118"/>
      <c r="G1118"/>
      <c r="H1118"/>
      <c r="I1118"/>
      <c r="J1118"/>
      <c r="K1118"/>
      <c r="L1118"/>
      <c r="M1118"/>
      <c r="N1118"/>
      <c r="O1118"/>
    </row>
    <row r="1119" spans="6:15">
      <c r="F1119"/>
      <c r="G1119"/>
      <c r="H1119"/>
      <c r="I1119"/>
      <c r="J1119"/>
      <c r="K1119"/>
      <c r="L1119"/>
      <c r="M1119"/>
      <c r="N1119"/>
      <c r="O1119"/>
    </row>
    <row r="1120" spans="6:15">
      <c r="F1120"/>
      <c r="G1120"/>
      <c r="H1120"/>
      <c r="I1120"/>
      <c r="J1120"/>
      <c r="K1120"/>
      <c r="L1120"/>
      <c r="M1120"/>
      <c r="N1120"/>
      <c r="O1120"/>
    </row>
    <row r="1121" spans="6:15">
      <c r="F1121"/>
      <c r="G1121"/>
      <c r="H1121"/>
      <c r="I1121"/>
      <c r="J1121"/>
      <c r="K1121"/>
      <c r="L1121"/>
      <c r="M1121"/>
      <c r="N1121"/>
      <c r="O1121"/>
    </row>
    <row r="1122" spans="6:15">
      <c r="F1122"/>
      <c r="G1122"/>
      <c r="H1122"/>
      <c r="I1122"/>
      <c r="J1122"/>
      <c r="K1122"/>
      <c r="L1122"/>
      <c r="M1122"/>
      <c r="N1122"/>
      <c r="O1122"/>
    </row>
    <row r="1123" spans="6:15">
      <c r="F1123"/>
      <c r="G1123"/>
      <c r="H1123"/>
      <c r="I1123"/>
      <c r="J1123"/>
      <c r="K1123"/>
      <c r="L1123"/>
      <c r="M1123"/>
      <c r="N1123"/>
      <c r="O1123"/>
    </row>
    <row r="1124" spans="6:15">
      <c r="F1124"/>
      <c r="G1124"/>
      <c r="H1124"/>
      <c r="I1124"/>
      <c r="J1124"/>
      <c r="K1124"/>
      <c r="L1124"/>
      <c r="M1124"/>
      <c r="N1124"/>
      <c r="O1124"/>
    </row>
    <row r="1125" spans="6:15">
      <c r="F1125"/>
      <c r="G1125"/>
      <c r="H1125"/>
      <c r="I1125"/>
      <c r="J1125"/>
      <c r="K1125"/>
      <c r="L1125"/>
      <c r="M1125"/>
      <c r="N1125"/>
      <c r="O1125"/>
    </row>
    <row r="1126" spans="6:15">
      <c r="F1126"/>
      <c r="G1126"/>
      <c r="H1126"/>
      <c r="I1126"/>
      <c r="J1126"/>
      <c r="K1126"/>
      <c r="L1126"/>
      <c r="M1126"/>
      <c r="N1126"/>
      <c r="O1126"/>
    </row>
    <row r="1127" spans="6:15">
      <c r="F1127"/>
      <c r="G1127"/>
      <c r="H1127"/>
      <c r="I1127"/>
      <c r="J1127"/>
      <c r="K1127"/>
      <c r="L1127"/>
      <c r="M1127"/>
      <c r="N1127"/>
      <c r="O1127"/>
    </row>
    <row r="1128" spans="6:15">
      <c r="F1128"/>
      <c r="G1128"/>
      <c r="H1128"/>
      <c r="I1128"/>
      <c r="J1128"/>
      <c r="K1128"/>
      <c r="L1128"/>
      <c r="M1128"/>
      <c r="N1128"/>
      <c r="O1128"/>
    </row>
    <row r="1129" spans="6:15">
      <c r="F1129"/>
      <c r="G1129"/>
      <c r="H1129"/>
      <c r="I1129"/>
      <c r="J1129"/>
      <c r="K1129"/>
      <c r="L1129"/>
      <c r="M1129"/>
      <c r="N1129"/>
      <c r="O1129"/>
    </row>
    <row r="1130" spans="6:15">
      <c r="F1130"/>
      <c r="G1130"/>
      <c r="H1130"/>
      <c r="I1130"/>
      <c r="J1130"/>
      <c r="K1130"/>
      <c r="L1130"/>
      <c r="M1130"/>
      <c r="N1130"/>
      <c r="O1130"/>
    </row>
    <row r="1131" spans="6:15">
      <c r="F1131"/>
      <c r="G1131"/>
      <c r="H1131"/>
      <c r="I1131"/>
      <c r="J1131"/>
      <c r="K1131"/>
      <c r="L1131"/>
      <c r="M1131"/>
      <c r="N1131"/>
      <c r="O1131"/>
    </row>
    <row r="1132" spans="6:15">
      <c r="F1132"/>
      <c r="G1132"/>
      <c r="H1132"/>
      <c r="I1132"/>
      <c r="J1132"/>
      <c r="K1132"/>
      <c r="L1132"/>
      <c r="M1132"/>
      <c r="N1132"/>
      <c r="O1132"/>
    </row>
    <row r="1133" spans="6:15">
      <c r="F1133"/>
      <c r="G1133"/>
      <c r="H1133"/>
      <c r="I1133"/>
      <c r="J1133"/>
      <c r="K1133"/>
      <c r="L1133"/>
      <c r="M1133"/>
      <c r="N1133"/>
      <c r="O1133"/>
    </row>
    <row r="1134" spans="6:15">
      <c r="F1134"/>
      <c r="G1134"/>
      <c r="H1134"/>
      <c r="I1134"/>
      <c r="J1134"/>
      <c r="K1134"/>
      <c r="L1134"/>
      <c r="M1134"/>
      <c r="N1134"/>
      <c r="O1134"/>
    </row>
    <row r="1135" spans="6:15">
      <c r="F1135"/>
      <c r="G1135"/>
      <c r="H1135"/>
      <c r="I1135"/>
      <c r="J1135"/>
      <c r="K1135"/>
      <c r="L1135"/>
      <c r="M1135"/>
      <c r="N1135"/>
      <c r="O1135"/>
    </row>
    <row r="1136" spans="6:15">
      <c r="F1136"/>
      <c r="G1136"/>
      <c r="H1136"/>
      <c r="I1136"/>
      <c r="J1136"/>
      <c r="K1136"/>
      <c r="L1136"/>
      <c r="M1136"/>
      <c r="N1136"/>
      <c r="O1136"/>
    </row>
    <row r="1137" spans="6:15">
      <c r="F1137"/>
      <c r="G1137"/>
      <c r="H1137"/>
      <c r="I1137"/>
      <c r="J1137"/>
      <c r="K1137"/>
      <c r="L1137"/>
      <c r="M1137"/>
      <c r="N1137"/>
      <c r="O1137"/>
    </row>
    <row r="1138" spans="6:15">
      <c r="F1138"/>
      <c r="G1138"/>
      <c r="H1138"/>
      <c r="I1138"/>
      <c r="J1138"/>
      <c r="K1138"/>
      <c r="L1138"/>
      <c r="M1138"/>
      <c r="N1138"/>
      <c r="O1138"/>
    </row>
    <row r="1139" spans="6:15">
      <c r="F1139"/>
      <c r="G1139"/>
      <c r="H1139"/>
      <c r="I1139"/>
      <c r="J1139"/>
      <c r="K1139"/>
      <c r="L1139"/>
      <c r="M1139"/>
      <c r="N1139"/>
      <c r="O1139"/>
    </row>
    <row r="1140" spans="6:15">
      <c r="F1140"/>
      <c r="G1140"/>
      <c r="H1140"/>
      <c r="I1140"/>
      <c r="J1140"/>
      <c r="K1140"/>
      <c r="L1140"/>
      <c r="M1140"/>
      <c r="N1140"/>
      <c r="O1140"/>
    </row>
    <row r="1141" spans="6:15">
      <c r="F1141"/>
      <c r="G1141"/>
      <c r="H1141"/>
      <c r="I1141"/>
      <c r="J1141"/>
      <c r="K1141"/>
      <c r="L1141"/>
      <c r="M1141"/>
      <c r="N1141"/>
      <c r="O1141"/>
    </row>
    <row r="1142" spans="6:15">
      <c r="F1142"/>
      <c r="G1142"/>
      <c r="H1142"/>
      <c r="I1142"/>
      <c r="J1142"/>
      <c r="K1142"/>
      <c r="L1142"/>
      <c r="M1142"/>
      <c r="N1142"/>
      <c r="O1142"/>
    </row>
    <row r="1143" spans="6:15">
      <c r="F1143"/>
      <c r="G1143"/>
      <c r="H1143"/>
      <c r="I1143"/>
      <c r="J1143"/>
      <c r="K1143"/>
      <c r="L1143"/>
      <c r="M1143"/>
      <c r="N1143"/>
      <c r="O1143"/>
    </row>
    <row r="1144" spans="6:15">
      <c r="F1144"/>
      <c r="G1144"/>
      <c r="H1144"/>
      <c r="I1144"/>
      <c r="J1144"/>
      <c r="K1144"/>
      <c r="L1144"/>
      <c r="M1144"/>
      <c r="N1144"/>
      <c r="O1144"/>
    </row>
    <row r="1145" spans="6:15">
      <c r="F1145"/>
      <c r="G1145"/>
      <c r="H1145"/>
      <c r="I1145"/>
      <c r="J1145"/>
      <c r="K1145"/>
      <c r="L1145"/>
      <c r="M1145"/>
      <c r="N1145"/>
      <c r="O1145"/>
    </row>
    <row r="1146" spans="6:15">
      <c r="F1146"/>
      <c r="G1146"/>
      <c r="H1146"/>
      <c r="I1146"/>
      <c r="J1146"/>
      <c r="K1146"/>
      <c r="L1146"/>
      <c r="M1146"/>
      <c r="N1146"/>
      <c r="O1146"/>
    </row>
    <row r="1147" spans="6:15">
      <c r="F1147"/>
      <c r="G1147"/>
      <c r="H1147"/>
      <c r="I1147"/>
      <c r="J1147"/>
      <c r="K1147"/>
      <c r="L1147"/>
      <c r="M1147"/>
      <c r="N1147"/>
      <c r="O1147"/>
    </row>
    <row r="1148" spans="6:15">
      <c r="F1148"/>
      <c r="G1148"/>
      <c r="H1148"/>
      <c r="I1148"/>
      <c r="J1148"/>
      <c r="K1148"/>
      <c r="L1148"/>
      <c r="M1148"/>
      <c r="N1148"/>
      <c r="O1148"/>
    </row>
    <row r="1149" spans="6:15">
      <c r="F1149"/>
      <c r="G1149"/>
      <c r="H1149"/>
      <c r="I1149"/>
      <c r="J1149"/>
      <c r="K1149"/>
      <c r="L1149"/>
      <c r="M1149"/>
      <c r="N1149"/>
      <c r="O1149"/>
    </row>
    <row r="1150" spans="6:15">
      <c r="F1150"/>
      <c r="G1150"/>
      <c r="H1150"/>
      <c r="I1150"/>
      <c r="J1150"/>
      <c r="K1150"/>
      <c r="L1150"/>
      <c r="M1150"/>
      <c r="N1150"/>
      <c r="O1150"/>
    </row>
    <row r="1151" spans="6:15">
      <c r="F1151"/>
      <c r="G1151"/>
      <c r="H1151"/>
      <c r="I1151"/>
      <c r="J1151"/>
      <c r="K1151"/>
      <c r="L1151"/>
      <c r="M1151"/>
      <c r="N1151"/>
      <c r="O1151"/>
    </row>
    <row r="1152" spans="6:15">
      <c r="F1152"/>
      <c r="G1152"/>
      <c r="H1152"/>
      <c r="I1152"/>
      <c r="J1152"/>
      <c r="K1152"/>
      <c r="L1152"/>
      <c r="M1152"/>
      <c r="N1152"/>
      <c r="O1152"/>
    </row>
    <row r="1153" spans="6:15">
      <c r="F1153"/>
      <c r="G1153"/>
      <c r="H1153"/>
      <c r="I1153"/>
      <c r="J1153"/>
      <c r="K1153"/>
      <c r="L1153"/>
      <c r="M1153"/>
      <c r="N1153"/>
      <c r="O1153"/>
    </row>
    <row r="1154" spans="6:15">
      <c r="F1154"/>
      <c r="G1154"/>
      <c r="H1154"/>
      <c r="I1154"/>
      <c r="J1154"/>
      <c r="K1154"/>
      <c r="L1154"/>
      <c r="M1154"/>
      <c r="N1154"/>
      <c r="O1154"/>
    </row>
    <row r="1155" spans="6:15">
      <c r="F1155"/>
      <c r="G1155"/>
      <c r="H1155"/>
      <c r="I1155"/>
      <c r="J1155"/>
      <c r="K1155"/>
      <c r="L1155"/>
      <c r="M1155"/>
      <c r="N1155"/>
      <c r="O1155"/>
    </row>
    <row r="1156" spans="6:15">
      <c r="F1156"/>
      <c r="G1156"/>
      <c r="H1156"/>
      <c r="I1156"/>
      <c r="J1156"/>
      <c r="K1156"/>
      <c r="L1156"/>
      <c r="M1156"/>
      <c r="N1156"/>
      <c r="O1156"/>
    </row>
    <row r="1157" spans="6:15">
      <c r="F1157"/>
      <c r="G1157"/>
      <c r="H1157"/>
      <c r="I1157"/>
      <c r="J1157"/>
      <c r="K1157"/>
      <c r="L1157"/>
      <c r="M1157"/>
      <c r="N1157"/>
      <c r="O1157"/>
    </row>
    <row r="1158" spans="6:15">
      <c r="F1158"/>
      <c r="G1158"/>
      <c r="H1158"/>
      <c r="I1158"/>
      <c r="J1158"/>
      <c r="K1158"/>
      <c r="L1158"/>
      <c r="M1158"/>
      <c r="N1158"/>
      <c r="O1158"/>
    </row>
    <row r="1159" spans="6:15">
      <c r="F1159"/>
      <c r="G1159"/>
      <c r="H1159"/>
      <c r="I1159"/>
      <c r="J1159"/>
      <c r="K1159"/>
      <c r="L1159"/>
      <c r="M1159"/>
      <c r="N1159"/>
      <c r="O1159"/>
    </row>
    <row r="1160" spans="6:15">
      <c r="F1160"/>
      <c r="G1160"/>
      <c r="H1160"/>
      <c r="I1160"/>
      <c r="J1160"/>
      <c r="K1160"/>
      <c r="L1160"/>
      <c r="M1160"/>
      <c r="N1160"/>
      <c r="O1160"/>
    </row>
    <row r="1161" spans="6:15">
      <c r="F1161"/>
      <c r="G1161"/>
      <c r="H1161"/>
      <c r="I1161"/>
      <c r="J1161"/>
      <c r="K1161"/>
      <c r="L1161"/>
      <c r="M1161"/>
      <c r="N1161"/>
      <c r="O1161"/>
    </row>
    <row r="1162" spans="6:15">
      <c r="F1162"/>
      <c r="G1162"/>
      <c r="H1162"/>
      <c r="I1162"/>
      <c r="J1162"/>
      <c r="K1162"/>
      <c r="L1162"/>
      <c r="M1162"/>
      <c r="N1162"/>
      <c r="O1162"/>
    </row>
    <row r="1163" spans="6:15">
      <c r="F1163"/>
      <c r="G1163"/>
      <c r="H1163"/>
      <c r="I1163"/>
      <c r="J1163"/>
      <c r="K1163"/>
      <c r="L1163"/>
      <c r="M1163"/>
      <c r="N1163"/>
      <c r="O1163"/>
    </row>
    <row r="1164" spans="6:15">
      <c r="F1164"/>
      <c r="G1164"/>
      <c r="H1164"/>
      <c r="I1164"/>
      <c r="J1164"/>
      <c r="K1164"/>
      <c r="L1164"/>
      <c r="M1164"/>
      <c r="N1164"/>
      <c r="O1164"/>
    </row>
    <row r="1165" spans="6:15">
      <c r="F1165"/>
      <c r="G1165"/>
      <c r="H1165"/>
      <c r="I1165"/>
      <c r="J1165"/>
      <c r="K1165"/>
      <c r="L1165"/>
      <c r="M1165"/>
      <c r="N1165"/>
      <c r="O1165"/>
    </row>
    <row r="1166" spans="6:15">
      <c r="F1166"/>
      <c r="G1166"/>
      <c r="H1166"/>
      <c r="I1166"/>
      <c r="J1166"/>
      <c r="K1166"/>
      <c r="L1166"/>
      <c r="M1166"/>
      <c r="N1166"/>
      <c r="O1166"/>
    </row>
    <row r="1167" spans="6:15">
      <c r="F1167"/>
      <c r="G1167"/>
      <c r="H1167"/>
      <c r="I1167"/>
      <c r="J1167"/>
      <c r="K1167"/>
      <c r="L1167"/>
      <c r="M1167"/>
      <c r="N1167"/>
      <c r="O1167"/>
    </row>
    <row r="1168" spans="6:15">
      <c r="F1168"/>
      <c r="G1168"/>
      <c r="H1168"/>
      <c r="I1168"/>
      <c r="J1168"/>
      <c r="K1168"/>
      <c r="L1168"/>
      <c r="M1168"/>
      <c r="N1168"/>
      <c r="O1168"/>
    </row>
    <row r="1169" spans="6:15">
      <c r="F1169"/>
      <c r="G1169"/>
      <c r="H1169"/>
      <c r="I1169"/>
      <c r="J1169"/>
      <c r="K1169"/>
      <c r="L1169"/>
      <c r="M1169"/>
      <c r="N1169"/>
      <c r="O1169"/>
    </row>
    <row r="1170" spans="6:15">
      <c r="F1170"/>
      <c r="G1170"/>
      <c r="H1170"/>
      <c r="I1170"/>
      <c r="J1170"/>
      <c r="K1170"/>
      <c r="L1170"/>
      <c r="M1170"/>
      <c r="N1170"/>
      <c r="O1170"/>
    </row>
    <row r="1171" spans="6:15">
      <c r="F1171"/>
      <c r="G1171"/>
      <c r="H1171"/>
      <c r="I1171"/>
      <c r="J1171"/>
      <c r="K1171"/>
      <c r="L1171"/>
      <c r="M1171"/>
      <c r="N1171"/>
      <c r="O1171"/>
    </row>
    <row r="1172" spans="6:15">
      <c r="F1172"/>
      <c r="G1172"/>
      <c r="H1172"/>
      <c r="I1172"/>
      <c r="J1172"/>
      <c r="K1172"/>
      <c r="L1172"/>
      <c r="M1172"/>
      <c r="N1172"/>
      <c r="O1172"/>
    </row>
    <row r="1173" spans="6:15">
      <c r="F1173"/>
      <c r="G1173"/>
      <c r="H1173"/>
      <c r="I1173"/>
      <c r="J1173"/>
      <c r="K1173"/>
      <c r="L1173"/>
      <c r="M1173"/>
      <c r="N1173"/>
      <c r="O1173"/>
    </row>
    <row r="1174" spans="6:15">
      <c r="F1174"/>
      <c r="G1174"/>
      <c r="H1174"/>
      <c r="I1174"/>
      <c r="J1174"/>
      <c r="K1174"/>
      <c r="L1174"/>
      <c r="M1174"/>
      <c r="N1174"/>
      <c r="O1174"/>
    </row>
    <row r="1175" spans="6:15">
      <c r="F1175"/>
      <c r="G1175"/>
      <c r="H1175"/>
      <c r="I1175"/>
      <c r="J1175"/>
      <c r="K1175"/>
      <c r="L1175"/>
      <c r="M1175"/>
      <c r="N1175"/>
      <c r="O1175"/>
    </row>
    <row r="1176" spans="6:15">
      <c r="F1176"/>
      <c r="G1176"/>
      <c r="H1176"/>
      <c r="I1176"/>
      <c r="J1176"/>
      <c r="K1176"/>
      <c r="L1176"/>
      <c r="M1176"/>
      <c r="N1176"/>
      <c r="O1176"/>
    </row>
    <row r="1177" spans="6:15">
      <c r="F1177"/>
      <c r="G1177"/>
      <c r="H1177"/>
      <c r="I1177"/>
      <c r="J1177"/>
      <c r="K1177"/>
      <c r="L1177"/>
      <c r="M1177"/>
      <c r="N1177"/>
      <c r="O1177"/>
    </row>
    <row r="1178" spans="6:15">
      <c r="F1178"/>
      <c r="G1178"/>
      <c r="H1178"/>
      <c r="I1178"/>
      <c r="J1178"/>
      <c r="K1178"/>
      <c r="L1178"/>
      <c r="M1178"/>
      <c r="N1178"/>
      <c r="O1178"/>
    </row>
    <row r="1179" spans="6:15">
      <c r="F1179"/>
      <c r="G1179"/>
      <c r="H1179"/>
      <c r="I1179"/>
      <c r="J1179"/>
      <c r="K1179"/>
      <c r="L1179"/>
      <c r="M1179"/>
      <c r="N1179"/>
      <c r="O1179"/>
    </row>
    <row r="1180" spans="6:15">
      <c r="F1180"/>
      <c r="G1180"/>
      <c r="H1180"/>
      <c r="I1180"/>
      <c r="J1180"/>
      <c r="K1180"/>
      <c r="L1180"/>
      <c r="M1180"/>
      <c r="N1180"/>
      <c r="O1180"/>
    </row>
    <row r="1181" spans="6:15">
      <c r="F1181"/>
      <c r="G1181"/>
      <c r="H1181"/>
      <c r="I1181"/>
      <c r="J1181"/>
      <c r="K1181"/>
      <c r="L1181"/>
      <c r="M1181"/>
      <c r="N1181"/>
      <c r="O1181"/>
    </row>
    <row r="1182" spans="6:15">
      <c r="F1182"/>
      <c r="G1182"/>
      <c r="H1182"/>
      <c r="I1182"/>
      <c r="J1182"/>
      <c r="K1182"/>
      <c r="L1182"/>
      <c r="M1182"/>
      <c r="N1182"/>
      <c r="O1182"/>
    </row>
    <row r="1183" spans="6:15">
      <c r="F1183"/>
      <c r="G1183"/>
      <c r="H1183"/>
      <c r="I1183"/>
      <c r="J1183"/>
      <c r="K1183"/>
      <c r="L1183"/>
      <c r="M1183"/>
      <c r="N1183"/>
      <c r="O1183"/>
    </row>
    <row r="1184" spans="6:15">
      <c r="F1184"/>
      <c r="G1184"/>
      <c r="H1184"/>
      <c r="I1184"/>
      <c r="J1184"/>
      <c r="K1184"/>
      <c r="L1184"/>
      <c r="M1184"/>
      <c r="N1184"/>
      <c r="O1184"/>
    </row>
    <row r="1185" spans="6:15">
      <c r="F1185"/>
      <c r="G1185"/>
      <c r="H1185"/>
      <c r="I1185"/>
      <c r="J1185"/>
      <c r="K1185"/>
      <c r="L1185"/>
      <c r="M1185"/>
      <c r="N1185"/>
      <c r="O1185"/>
    </row>
    <row r="1186" spans="6:15">
      <c r="F1186"/>
      <c r="G1186"/>
      <c r="H1186"/>
      <c r="I1186"/>
      <c r="J1186"/>
      <c r="K1186"/>
      <c r="L1186"/>
      <c r="M1186"/>
      <c r="N1186"/>
      <c r="O1186"/>
    </row>
    <row r="1187" spans="6:15">
      <c r="F1187"/>
      <c r="G1187"/>
      <c r="H1187"/>
      <c r="I1187"/>
      <c r="J1187"/>
      <c r="K1187"/>
      <c r="L1187"/>
      <c r="M1187"/>
      <c r="N1187"/>
      <c r="O1187"/>
    </row>
    <row r="1188" spans="6:15">
      <c r="F1188"/>
      <c r="G1188"/>
      <c r="H1188"/>
      <c r="I1188"/>
      <c r="J1188"/>
      <c r="K1188"/>
      <c r="L1188"/>
      <c r="M1188"/>
      <c r="N1188"/>
      <c r="O1188"/>
    </row>
    <row r="1189" spans="6:15">
      <c r="F1189"/>
      <c r="G1189"/>
      <c r="H1189"/>
      <c r="I1189"/>
      <c r="J1189"/>
      <c r="K1189"/>
      <c r="L1189"/>
      <c r="M1189"/>
      <c r="N1189"/>
      <c r="O1189"/>
    </row>
    <row r="1190" spans="6:15">
      <c r="F1190"/>
      <c r="G1190"/>
      <c r="H1190"/>
      <c r="I1190"/>
      <c r="J1190"/>
      <c r="K1190"/>
      <c r="L1190"/>
      <c r="M1190"/>
      <c r="N1190"/>
      <c r="O1190"/>
    </row>
    <row r="1191" spans="6:15">
      <c r="F1191"/>
      <c r="G1191"/>
      <c r="H1191"/>
      <c r="I1191"/>
      <c r="J1191"/>
      <c r="K1191"/>
      <c r="L1191"/>
      <c r="M1191"/>
      <c r="N1191"/>
      <c r="O1191"/>
    </row>
    <row r="1192" spans="6:15">
      <c r="F1192"/>
      <c r="G1192"/>
      <c r="H1192"/>
      <c r="I1192"/>
      <c r="J1192"/>
      <c r="K1192"/>
      <c r="L1192"/>
      <c r="M1192"/>
      <c r="N1192"/>
      <c r="O1192"/>
    </row>
    <row r="1193" spans="6:15">
      <c r="F1193"/>
      <c r="G1193"/>
      <c r="H1193"/>
      <c r="I1193"/>
      <c r="J1193"/>
      <c r="K1193"/>
      <c r="L1193"/>
      <c r="M1193"/>
      <c r="N1193"/>
      <c r="O1193"/>
    </row>
    <row r="1194" spans="6:15">
      <c r="F1194"/>
      <c r="G1194"/>
      <c r="H1194"/>
      <c r="I1194"/>
      <c r="J1194"/>
      <c r="K1194"/>
      <c r="L1194"/>
      <c r="M1194"/>
      <c r="N1194"/>
      <c r="O1194"/>
    </row>
    <row r="1195" spans="6:15">
      <c r="F1195"/>
      <c r="G1195"/>
      <c r="H1195"/>
      <c r="I1195"/>
      <c r="J1195"/>
      <c r="K1195"/>
      <c r="L1195"/>
      <c r="M1195"/>
      <c r="N1195"/>
      <c r="O1195"/>
    </row>
    <row r="1196" spans="6:15">
      <c r="F1196"/>
      <c r="G1196"/>
      <c r="H1196"/>
      <c r="I1196"/>
      <c r="J1196"/>
      <c r="K1196"/>
      <c r="L1196"/>
      <c r="M1196"/>
      <c r="N1196"/>
      <c r="O1196"/>
    </row>
    <row r="1197" spans="6:15">
      <c r="F1197"/>
      <c r="G1197"/>
      <c r="H1197"/>
      <c r="I1197"/>
      <c r="J1197"/>
      <c r="K1197"/>
      <c r="L1197"/>
      <c r="M1197"/>
      <c r="N1197"/>
      <c r="O1197"/>
    </row>
    <row r="1198" spans="6:15">
      <c r="F1198"/>
      <c r="G1198"/>
      <c r="H1198"/>
      <c r="I1198"/>
      <c r="J1198"/>
      <c r="K1198"/>
      <c r="L1198"/>
      <c r="M1198"/>
      <c r="N1198"/>
      <c r="O1198"/>
    </row>
    <row r="1199" spans="6:15">
      <c r="F1199"/>
      <c r="G1199"/>
      <c r="H1199"/>
      <c r="I1199"/>
      <c r="J1199"/>
      <c r="K1199"/>
      <c r="L1199"/>
      <c r="M1199"/>
      <c r="N1199"/>
      <c r="O1199"/>
    </row>
    <row r="1200" spans="6:15">
      <c r="F1200"/>
      <c r="G1200"/>
      <c r="H1200"/>
      <c r="I1200"/>
      <c r="J1200"/>
      <c r="K1200"/>
      <c r="L1200"/>
      <c r="M1200"/>
      <c r="N1200"/>
      <c r="O1200"/>
    </row>
    <row r="1201" spans="6:15">
      <c r="F1201"/>
      <c r="G1201"/>
      <c r="H1201"/>
      <c r="I1201"/>
      <c r="J1201"/>
      <c r="K1201"/>
      <c r="L1201"/>
      <c r="M1201"/>
      <c r="N1201"/>
      <c r="O1201"/>
    </row>
    <row r="1202" spans="6:15">
      <c r="F1202"/>
      <c r="G1202"/>
      <c r="H1202"/>
      <c r="I1202"/>
      <c r="J1202"/>
      <c r="K1202"/>
      <c r="L1202"/>
      <c r="M1202"/>
      <c r="N1202"/>
      <c r="O1202"/>
    </row>
    <row r="1203" spans="6:15">
      <c r="F1203"/>
      <c r="G1203"/>
      <c r="H1203"/>
      <c r="I1203"/>
      <c r="J1203"/>
      <c r="K1203"/>
      <c r="L1203"/>
      <c r="M1203"/>
      <c r="N1203"/>
      <c r="O1203"/>
    </row>
    <row r="1204" spans="6:15">
      <c r="F1204"/>
      <c r="G1204"/>
      <c r="H1204"/>
      <c r="I1204"/>
      <c r="J1204"/>
      <c r="K1204"/>
      <c r="L1204"/>
      <c r="M1204"/>
      <c r="N1204"/>
      <c r="O1204"/>
    </row>
    <row r="1205" spans="6:15">
      <c r="F1205"/>
      <c r="G1205"/>
      <c r="H1205"/>
      <c r="I1205"/>
      <c r="J1205"/>
      <c r="K1205"/>
      <c r="L1205"/>
      <c r="M1205"/>
      <c r="N1205"/>
      <c r="O1205"/>
    </row>
    <row r="1206" spans="6:15">
      <c r="F1206"/>
      <c r="G1206"/>
      <c r="H1206"/>
      <c r="I1206"/>
      <c r="J1206"/>
      <c r="K1206"/>
      <c r="L1206"/>
      <c r="M1206"/>
      <c r="N1206"/>
      <c r="O1206"/>
    </row>
    <row r="1207" spans="6:15">
      <c r="F1207"/>
      <c r="G1207"/>
      <c r="H1207"/>
      <c r="I1207"/>
      <c r="J1207"/>
      <c r="K1207"/>
      <c r="L1207"/>
      <c r="M1207"/>
      <c r="N1207"/>
      <c r="O1207"/>
    </row>
    <row r="1208" spans="6:15">
      <c r="F1208"/>
      <c r="G1208"/>
      <c r="H1208"/>
      <c r="I1208"/>
      <c r="J1208"/>
      <c r="K1208"/>
      <c r="L1208"/>
      <c r="M1208"/>
      <c r="N1208"/>
      <c r="O1208"/>
    </row>
    <row r="1209" spans="6:15">
      <c r="F1209"/>
      <c r="G1209"/>
      <c r="H1209"/>
      <c r="I1209"/>
      <c r="J1209"/>
      <c r="K1209"/>
      <c r="L1209"/>
      <c r="M1209"/>
      <c r="N1209"/>
      <c r="O1209"/>
    </row>
    <row r="1210" spans="6:15">
      <c r="F1210"/>
      <c r="G1210"/>
      <c r="H1210"/>
      <c r="I1210"/>
      <c r="J1210"/>
      <c r="K1210"/>
      <c r="L1210"/>
      <c r="M1210"/>
      <c r="N1210"/>
      <c r="O1210"/>
    </row>
    <row r="1211" spans="6:15">
      <c r="F1211"/>
      <c r="G1211"/>
      <c r="H1211"/>
      <c r="I1211"/>
      <c r="J1211"/>
      <c r="K1211"/>
      <c r="L1211"/>
      <c r="M1211"/>
      <c r="N1211"/>
      <c r="O1211"/>
    </row>
    <row r="1212" spans="6:15">
      <c r="F1212"/>
      <c r="G1212"/>
      <c r="H1212"/>
      <c r="I1212"/>
      <c r="J1212"/>
      <c r="K1212"/>
      <c r="L1212"/>
      <c r="M1212"/>
      <c r="N1212"/>
      <c r="O1212"/>
    </row>
    <row r="1213" spans="6:15">
      <c r="F1213"/>
      <c r="G1213"/>
      <c r="H1213"/>
      <c r="I1213"/>
      <c r="J1213"/>
      <c r="K1213"/>
      <c r="L1213"/>
      <c r="M1213"/>
      <c r="N1213"/>
      <c r="O1213"/>
    </row>
    <row r="1214" spans="6:15">
      <c r="F1214"/>
      <c r="G1214"/>
      <c r="H1214"/>
      <c r="I1214"/>
      <c r="J1214"/>
      <c r="K1214"/>
      <c r="L1214"/>
      <c r="M1214"/>
      <c r="N1214"/>
      <c r="O1214"/>
    </row>
    <row r="1215" spans="6:15">
      <c r="F1215"/>
      <c r="G1215"/>
      <c r="H1215"/>
      <c r="I1215"/>
      <c r="J1215"/>
      <c r="K1215"/>
      <c r="L1215"/>
      <c r="M1215"/>
      <c r="N1215"/>
      <c r="O1215"/>
    </row>
    <row r="1216" spans="6:15">
      <c r="F1216"/>
      <c r="G1216"/>
      <c r="H1216"/>
      <c r="I1216"/>
      <c r="J1216"/>
      <c r="K1216"/>
      <c r="L1216"/>
      <c r="M1216"/>
      <c r="N1216"/>
      <c r="O1216"/>
    </row>
    <row r="1217" spans="6:15">
      <c r="F1217"/>
      <c r="G1217"/>
      <c r="H1217"/>
      <c r="I1217"/>
      <c r="J1217"/>
      <c r="K1217"/>
      <c r="L1217"/>
      <c r="M1217"/>
      <c r="N1217"/>
      <c r="O1217"/>
    </row>
    <row r="1218" spans="6:15">
      <c r="F1218"/>
      <c r="G1218"/>
      <c r="H1218"/>
      <c r="I1218"/>
      <c r="J1218"/>
      <c r="K1218"/>
      <c r="L1218"/>
      <c r="M1218"/>
      <c r="N1218"/>
      <c r="O1218"/>
    </row>
    <row r="1219" spans="6:15">
      <c r="F1219"/>
      <c r="G1219"/>
      <c r="H1219"/>
      <c r="I1219"/>
      <c r="J1219"/>
      <c r="K1219"/>
      <c r="L1219"/>
      <c r="M1219"/>
      <c r="N1219"/>
      <c r="O1219"/>
    </row>
    <row r="1220" spans="6:15">
      <c r="F1220"/>
      <c r="G1220"/>
      <c r="H1220"/>
      <c r="I1220"/>
      <c r="J1220"/>
      <c r="K1220"/>
      <c r="L1220"/>
      <c r="M1220"/>
      <c r="N1220"/>
      <c r="O1220"/>
    </row>
    <row r="1221" spans="6:15">
      <c r="F1221"/>
      <c r="G1221"/>
      <c r="H1221"/>
      <c r="I1221"/>
      <c r="J1221"/>
      <c r="K1221"/>
      <c r="L1221"/>
      <c r="M1221"/>
      <c r="N1221"/>
      <c r="O1221"/>
    </row>
    <row r="1222" spans="6:15">
      <c r="F1222"/>
      <c r="G1222"/>
      <c r="H1222"/>
      <c r="I1222"/>
      <c r="J1222"/>
      <c r="K1222"/>
      <c r="L1222"/>
      <c r="M1222"/>
      <c r="N1222"/>
      <c r="O1222"/>
    </row>
    <row r="1223" spans="6:15">
      <c r="F1223"/>
      <c r="G1223"/>
      <c r="H1223"/>
      <c r="I1223"/>
      <c r="J1223"/>
      <c r="K1223"/>
      <c r="L1223"/>
      <c r="M1223"/>
      <c r="N1223"/>
      <c r="O1223"/>
    </row>
    <row r="1224" spans="6:15">
      <c r="F1224"/>
      <c r="G1224"/>
      <c r="H1224"/>
      <c r="I1224"/>
      <c r="J1224"/>
      <c r="K1224"/>
      <c r="L1224"/>
      <c r="M1224"/>
      <c r="N1224"/>
      <c r="O1224"/>
    </row>
    <row r="1225" spans="6:15">
      <c r="F1225"/>
      <c r="G1225"/>
      <c r="H1225"/>
      <c r="I1225"/>
      <c r="J1225"/>
      <c r="K1225"/>
      <c r="L1225"/>
      <c r="M1225"/>
      <c r="N1225"/>
      <c r="O1225"/>
    </row>
    <row r="1226" spans="6:15">
      <c r="F1226"/>
      <c r="G1226"/>
      <c r="H1226"/>
      <c r="I1226"/>
      <c r="J1226"/>
      <c r="K1226"/>
      <c r="L1226"/>
      <c r="M1226"/>
      <c r="N1226"/>
      <c r="O1226"/>
    </row>
    <row r="1227" spans="6:15">
      <c r="F1227"/>
      <c r="G1227"/>
      <c r="H1227"/>
      <c r="I1227"/>
      <c r="J1227"/>
      <c r="K1227"/>
      <c r="L1227"/>
      <c r="M1227"/>
      <c r="N1227"/>
      <c r="O1227"/>
    </row>
    <row r="1228" spans="6:15">
      <c r="F1228"/>
      <c r="G1228"/>
      <c r="H1228"/>
      <c r="I1228"/>
      <c r="J1228"/>
      <c r="K1228"/>
      <c r="L1228"/>
      <c r="M1228"/>
      <c r="N1228"/>
      <c r="O1228"/>
    </row>
    <row r="1229" spans="6:15">
      <c r="F1229"/>
      <c r="G1229"/>
      <c r="H1229"/>
      <c r="I1229"/>
      <c r="J1229"/>
      <c r="K1229"/>
      <c r="L1229"/>
      <c r="M1229"/>
      <c r="N1229"/>
      <c r="O1229"/>
    </row>
    <row r="1230" spans="6:15">
      <c r="F1230"/>
      <c r="G1230"/>
      <c r="H1230"/>
      <c r="I1230"/>
      <c r="J1230"/>
      <c r="K1230"/>
      <c r="L1230"/>
      <c r="M1230"/>
      <c r="N1230"/>
      <c r="O1230"/>
    </row>
    <row r="1231" spans="6:15">
      <c r="F1231"/>
      <c r="G1231"/>
      <c r="H1231"/>
      <c r="I1231"/>
      <c r="J1231"/>
      <c r="K1231"/>
      <c r="L1231"/>
      <c r="M1231"/>
      <c r="N1231"/>
      <c r="O1231"/>
    </row>
    <row r="1232" spans="6:15">
      <c r="F1232"/>
      <c r="G1232"/>
      <c r="H1232"/>
      <c r="I1232"/>
      <c r="J1232"/>
      <c r="K1232"/>
      <c r="L1232"/>
      <c r="M1232"/>
      <c r="N1232"/>
      <c r="O1232"/>
    </row>
    <row r="1233" spans="6:15">
      <c r="F1233"/>
      <c r="G1233"/>
      <c r="H1233"/>
      <c r="I1233"/>
      <c r="J1233"/>
      <c r="K1233"/>
      <c r="L1233"/>
      <c r="M1233"/>
      <c r="N1233"/>
      <c r="O1233"/>
    </row>
    <row r="1234" spans="6:15">
      <c r="F1234"/>
      <c r="G1234"/>
      <c r="H1234"/>
      <c r="I1234"/>
      <c r="J1234"/>
      <c r="K1234"/>
      <c r="L1234"/>
      <c r="M1234"/>
      <c r="N1234"/>
      <c r="O1234"/>
    </row>
    <row r="1235" spans="6:15">
      <c r="F1235"/>
      <c r="G1235"/>
      <c r="H1235"/>
      <c r="I1235"/>
      <c r="J1235"/>
      <c r="K1235"/>
      <c r="L1235"/>
      <c r="M1235"/>
      <c r="N1235"/>
      <c r="O1235"/>
    </row>
    <row r="1236" spans="6:15">
      <c r="F1236"/>
      <c r="G1236"/>
      <c r="H1236"/>
      <c r="I1236"/>
      <c r="J1236"/>
      <c r="K1236"/>
      <c r="L1236"/>
      <c r="M1236"/>
      <c r="N1236"/>
      <c r="O1236"/>
    </row>
    <row r="1237" spans="6:15">
      <c r="F1237"/>
      <c r="G1237"/>
      <c r="H1237"/>
      <c r="I1237"/>
      <c r="J1237"/>
      <c r="K1237"/>
      <c r="L1237"/>
      <c r="M1237"/>
      <c r="N1237"/>
      <c r="O1237"/>
    </row>
    <row r="1238" spans="6:15">
      <c r="F1238"/>
      <c r="G1238"/>
      <c r="H1238"/>
      <c r="I1238"/>
      <c r="J1238"/>
      <c r="K1238"/>
      <c r="L1238"/>
      <c r="M1238"/>
      <c r="N1238"/>
      <c r="O1238"/>
    </row>
    <row r="1239" spans="6:15">
      <c r="F1239"/>
      <c r="G1239"/>
      <c r="H1239"/>
      <c r="I1239"/>
      <c r="J1239"/>
      <c r="K1239"/>
      <c r="L1239"/>
      <c r="M1239"/>
      <c r="N1239"/>
      <c r="O1239"/>
    </row>
    <row r="1240" spans="6:15">
      <c r="F1240"/>
      <c r="G1240"/>
      <c r="H1240"/>
      <c r="I1240"/>
      <c r="J1240"/>
      <c r="K1240"/>
      <c r="L1240"/>
      <c r="M1240"/>
      <c r="N1240"/>
      <c r="O1240"/>
    </row>
    <row r="1241" spans="6:15">
      <c r="F1241"/>
      <c r="G1241"/>
      <c r="H1241"/>
      <c r="I1241"/>
      <c r="J1241"/>
      <c r="K1241"/>
      <c r="L1241"/>
      <c r="M1241"/>
      <c r="N1241"/>
      <c r="O1241"/>
    </row>
    <row r="1242" spans="6:15">
      <c r="F1242"/>
      <c r="G1242"/>
      <c r="H1242"/>
      <c r="I1242"/>
      <c r="J1242"/>
      <c r="K1242"/>
      <c r="L1242"/>
      <c r="M1242"/>
      <c r="N1242"/>
      <c r="O1242"/>
    </row>
    <row r="1243" spans="6:15">
      <c r="F1243"/>
      <c r="G1243"/>
      <c r="H1243"/>
      <c r="I1243"/>
      <c r="J1243"/>
      <c r="K1243"/>
      <c r="L1243"/>
      <c r="M1243"/>
      <c r="N1243"/>
      <c r="O1243"/>
    </row>
    <row r="1244" spans="6:15">
      <c r="F1244"/>
      <c r="G1244"/>
      <c r="H1244"/>
      <c r="I1244"/>
      <c r="J1244"/>
      <c r="K1244"/>
      <c r="L1244"/>
      <c r="M1244"/>
      <c r="N1244"/>
      <c r="O1244"/>
    </row>
    <row r="1245" spans="6:15">
      <c r="F1245"/>
      <c r="G1245"/>
      <c r="H1245"/>
      <c r="I1245"/>
      <c r="J1245"/>
      <c r="K1245"/>
      <c r="L1245"/>
      <c r="M1245"/>
      <c r="N1245"/>
      <c r="O1245"/>
    </row>
    <row r="1246" spans="6:15">
      <c r="F1246"/>
      <c r="G1246"/>
      <c r="H1246"/>
      <c r="I1246"/>
      <c r="J1246"/>
      <c r="K1246"/>
      <c r="L1246"/>
      <c r="M1246"/>
      <c r="N1246"/>
      <c r="O1246"/>
    </row>
    <row r="1247" spans="6:15">
      <c r="F1247"/>
      <c r="G1247"/>
      <c r="H1247"/>
      <c r="I1247"/>
      <c r="J1247"/>
      <c r="K1247"/>
      <c r="L1247"/>
      <c r="M1247"/>
      <c r="N1247"/>
      <c r="O1247"/>
    </row>
    <row r="1248" spans="6:15">
      <c r="F1248"/>
      <c r="G1248"/>
      <c r="H1248"/>
      <c r="I1248"/>
      <c r="J1248"/>
      <c r="K1248"/>
      <c r="L1248"/>
      <c r="M1248"/>
      <c r="N1248"/>
      <c r="O1248"/>
    </row>
    <row r="1249" spans="6:15">
      <c r="F1249"/>
      <c r="G1249"/>
      <c r="H1249"/>
      <c r="I1249"/>
      <c r="J1249"/>
      <c r="K1249"/>
      <c r="L1249"/>
      <c r="M1249"/>
      <c r="N1249"/>
      <c r="O1249"/>
    </row>
    <row r="1250" spans="6:15">
      <c r="F1250"/>
      <c r="G1250"/>
      <c r="H1250"/>
      <c r="I1250"/>
      <c r="J1250"/>
      <c r="K1250"/>
      <c r="L1250"/>
      <c r="M1250"/>
      <c r="N1250"/>
      <c r="O1250"/>
    </row>
    <row r="1251" spans="6:15">
      <c r="F1251"/>
      <c r="G1251"/>
      <c r="H1251"/>
      <c r="I1251"/>
      <c r="J1251"/>
      <c r="K1251"/>
      <c r="L1251"/>
      <c r="M1251"/>
      <c r="N1251"/>
      <c r="O1251"/>
    </row>
    <row r="1252" spans="6:15">
      <c r="F1252"/>
      <c r="G1252"/>
      <c r="H1252"/>
      <c r="I1252"/>
      <c r="J1252"/>
      <c r="K1252"/>
      <c r="L1252"/>
      <c r="M1252"/>
      <c r="N1252"/>
      <c r="O1252"/>
    </row>
    <row r="1253" spans="6:15">
      <c r="F1253"/>
      <c r="G1253"/>
      <c r="H1253"/>
      <c r="I1253"/>
      <c r="J1253"/>
      <c r="K1253"/>
      <c r="L1253"/>
      <c r="M1253"/>
      <c r="N1253"/>
      <c r="O1253"/>
    </row>
    <row r="1254" spans="6:15">
      <c r="F1254"/>
      <c r="G1254"/>
      <c r="H1254"/>
      <c r="I1254"/>
      <c r="J1254"/>
      <c r="K1254"/>
      <c r="L1254"/>
      <c r="M1254"/>
      <c r="N1254"/>
      <c r="O1254"/>
    </row>
    <row r="1255" spans="6:15">
      <c r="F1255"/>
      <c r="G1255"/>
      <c r="H1255"/>
      <c r="I1255"/>
      <c r="J1255"/>
      <c r="K1255"/>
      <c r="L1255"/>
      <c r="M1255"/>
      <c r="N1255"/>
      <c r="O1255"/>
    </row>
    <row r="1256" spans="6:15">
      <c r="F1256"/>
      <c r="G1256"/>
      <c r="H1256"/>
      <c r="I1256"/>
      <c r="J1256"/>
      <c r="K1256"/>
      <c r="L1256"/>
      <c r="M1256"/>
      <c r="N1256"/>
      <c r="O1256"/>
    </row>
    <row r="1257" spans="6:15">
      <c r="F1257"/>
      <c r="G1257"/>
      <c r="H1257"/>
      <c r="I1257"/>
      <c r="J1257"/>
      <c r="K1257"/>
      <c r="L1257"/>
      <c r="M1257"/>
      <c r="N1257"/>
      <c r="O1257"/>
    </row>
    <row r="1258" spans="6:15">
      <c r="F1258"/>
      <c r="G1258"/>
      <c r="H1258"/>
      <c r="I1258"/>
      <c r="J1258"/>
      <c r="K1258"/>
      <c r="L1258"/>
      <c r="M1258"/>
      <c r="N1258"/>
      <c r="O1258"/>
    </row>
    <row r="1259" spans="6:15">
      <c r="F1259"/>
      <c r="G1259"/>
      <c r="H1259"/>
      <c r="I1259"/>
      <c r="J1259"/>
      <c r="K1259"/>
      <c r="L1259"/>
      <c r="M1259"/>
      <c r="N1259"/>
      <c r="O1259"/>
    </row>
    <row r="1260" spans="6:15">
      <c r="F1260"/>
      <c r="G1260"/>
      <c r="H1260"/>
      <c r="I1260"/>
      <c r="J1260"/>
      <c r="K1260"/>
      <c r="L1260"/>
      <c r="M1260"/>
      <c r="N1260"/>
      <c r="O1260"/>
    </row>
    <row r="1261" spans="6:15">
      <c r="F1261"/>
      <c r="G1261"/>
      <c r="H1261"/>
      <c r="I1261"/>
      <c r="J1261"/>
      <c r="K1261"/>
      <c r="L1261"/>
      <c r="M1261"/>
      <c r="N1261"/>
      <c r="O1261"/>
    </row>
    <row r="1262" spans="6:15">
      <c r="F1262"/>
      <c r="G1262"/>
      <c r="H1262"/>
      <c r="I1262"/>
      <c r="J1262"/>
      <c r="K1262"/>
      <c r="L1262"/>
      <c r="M1262"/>
      <c r="N1262"/>
      <c r="O1262"/>
    </row>
    <row r="1263" spans="6:15">
      <c r="F1263"/>
      <c r="G1263"/>
      <c r="H1263"/>
      <c r="I1263"/>
      <c r="J1263"/>
      <c r="K1263"/>
      <c r="L1263"/>
      <c r="M1263"/>
      <c r="N1263"/>
      <c r="O1263"/>
    </row>
    <row r="1264" spans="6:15">
      <c r="F1264"/>
      <c r="G1264"/>
      <c r="H1264"/>
      <c r="I1264"/>
      <c r="J1264"/>
      <c r="K1264"/>
      <c r="L1264"/>
      <c r="M1264"/>
      <c r="N1264"/>
      <c r="O1264"/>
    </row>
    <row r="1265" spans="6:15">
      <c r="F1265"/>
      <c r="G1265"/>
      <c r="H1265"/>
      <c r="I1265"/>
      <c r="J1265"/>
      <c r="K1265"/>
      <c r="L1265"/>
      <c r="M1265"/>
      <c r="N1265"/>
      <c r="O1265"/>
    </row>
    <row r="1266" spans="6:15">
      <c r="F1266"/>
      <c r="G1266"/>
      <c r="H1266"/>
      <c r="I1266"/>
      <c r="J1266"/>
      <c r="K1266"/>
      <c r="L1266"/>
      <c r="M1266"/>
      <c r="N1266"/>
      <c r="O1266"/>
    </row>
    <row r="1267" spans="6:15">
      <c r="F1267"/>
      <c r="G1267"/>
      <c r="H1267"/>
      <c r="I1267"/>
      <c r="J1267"/>
      <c r="K1267"/>
      <c r="L1267"/>
      <c r="M1267"/>
      <c r="N1267"/>
      <c r="O1267"/>
    </row>
    <row r="1268" spans="6:15">
      <c r="F1268"/>
      <c r="G1268"/>
      <c r="H1268"/>
      <c r="I1268"/>
      <c r="J1268"/>
      <c r="K1268"/>
      <c r="L1268"/>
      <c r="M1268"/>
      <c r="N1268"/>
      <c r="O1268"/>
    </row>
    <row r="1269" spans="6:15">
      <c r="F1269"/>
      <c r="G1269"/>
      <c r="H1269"/>
      <c r="I1269"/>
      <c r="J1269"/>
      <c r="K1269"/>
      <c r="L1269"/>
      <c r="M1269"/>
      <c r="N1269"/>
      <c r="O1269"/>
    </row>
    <row r="1270" spans="6:15">
      <c r="F1270"/>
      <c r="G1270"/>
      <c r="H1270"/>
      <c r="I1270"/>
      <c r="J1270"/>
      <c r="K1270"/>
      <c r="L1270"/>
      <c r="M1270"/>
      <c r="N1270"/>
      <c r="O1270"/>
    </row>
    <row r="1271" spans="6:15">
      <c r="F1271"/>
      <c r="G1271"/>
      <c r="H1271"/>
      <c r="I1271"/>
      <c r="J1271"/>
      <c r="K1271"/>
      <c r="L1271"/>
      <c r="M1271"/>
      <c r="N1271"/>
      <c r="O1271"/>
    </row>
    <row r="1272" spans="6:15">
      <c r="F1272"/>
      <c r="G1272"/>
      <c r="H1272"/>
      <c r="I1272"/>
      <c r="J1272"/>
      <c r="K1272"/>
      <c r="L1272"/>
      <c r="M1272"/>
      <c r="N1272"/>
      <c r="O1272"/>
    </row>
    <row r="1273" spans="6:15">
      <c r="F1273"/>
      <c r="G1273"/>
      <c r="H1273"/>
      <c r="I1273"/>
      <c r="J1273"/>
      <c r="K1273"/>
      <c r="L1273"/>
      <c r="M1273"/>
      <c r="N1273"/>
      <c r="O1273"/>
    </row>
    <row r="1274" spans="6:15">
      <c r="F1274"/>
      <c r="G1274"/>
      <c r="H1274"/>
      <c r="I1274"/>
      <c r="J1274"/>
      <c r="K1274"/>
      <c r="L1274"/>
      <c r="M1274"/>
      <c r="N1274"/>
      <c r="O1274"/>
    </row>
    <row r="1275" spans="6:15">
      <c r="F1275"/>
      <c r="G1275"/>
      <c r="H1275"/>
      <c r="I1275"/>
      <c r="J1275"/>
      <c r="K1275"/>
      <c r="L1275"/>
      <c r="M1275"/>
      <c r="N1275"/>
      <c r="O1275"/>
    </row>
    <row r="1276" spans="6:15">
      <c r="F1276"/>
      <c r="G1276"/>
      <c r="H1276"/>
      <c r="I1276"/>
      <c r="J1276"/>
      <c r="K1276"/>
      <c r="L1276"/>
      <c r="M1276"/>
      <c r="N1276"/>
      <c r="O1276"/>
    </row>
    <row r="1277" spans="6:15">
      <c r="F1277"/>
      <c r="G1277"/>
      <c r="H1277"/>
      <c r="I1277"/>
      <c r="J1277"/>
      <c r="K1277"/>
      <c r="L1277"/>
      <c r="M1277"/>
      <c r="N1277"/>
      <c r="O1277"/>
    </row>
    <row r="1278" spans="6:15">
      <c r="F1278"/>
      <c r="G1278"/>
      <c r="H1278"/>
      <c r="I1278"/>
      <c r="J1278"/>
      <c r="K1278"/>
      <c r="L1278"/>
      <c r="M1278"/>
      <c r="N1278"/>
      <c r="O1278"/>
    </row>
    <row r="1279" spans="6:15">
      <c r="F1279"/>
      <c r="G1279"/>
      <c r="H1279"/>
      <c r="I1279"/>
      <c r="J1279"/>
      <c r="K1279"/>
      <c r="L1279"/>
      <c r="M1279"/>
      <c r="N1279"/>
      <c r="O1279"/>
    </row>
    <row r="1280" spans="6:15">
      <c r="F1280"/>
      <c r="G1280"/>
      <c r="H1280"/>
      <c r="I1280"/>
      <c r="J1280"/>
      <c r="K1280"/>
      <c r="L1280"/>
      <c r="M1280"/>
      <c r="N1280"/>
      <c r="O1280"/>
    </row>
    <row r="1281" spans="6:15">
      <c r="F1281"/>
      <c r="G1281"/>
      <c r="H1281"/>
      <c r="I1281"/>
      <c r="J1281"/>
      <c r="K1281"/>
      <c r="L1281"/>
      <c r="M1281"/>
      <c r="N1281"/>
      <c r="O1281"/>
    </row>
    <row r="1282" spans="6:15">
      <c r="F1282"/>
      <c r="G1282"/>
      <c r="H1282"/>
      <c r="I1282"/>
      <c r="J1282"/>
      <c r="K1282"/>
      <c r="L1282"/>
      <c r="M1282"/>
      <c r="N1282"/>
      <c r="O1282"/>
    </row>
    <row r="1283" spans="6:15">
      <c r="F1283"/>
      <c r="G1283"/>
      <c r="H1283"/>
      <c r="I1283"/>
      <c r="J1283"/>
      <c r="K1283"/>
      <c r="L1283"/>
      <c r="M1283"/>
      <c r="N1283"/>
      <c r="O1283"/>
    </row>
    <row r="1284" spans="6:15">
      <c r="F1284"/>
      <c r="G1284"/>
      <c r="H1284"/>
      <c r="I1284"/>
      <c r="J1284"/>
      <c r="K1284"/>
      <c r="L1284"/>
      <c r="M1284"/>
      <c r="N1284"/>
      <c r="O1284"/>
    </row>
    <row r="1285" spans="6:15">
      <c r="F1285"/>
      <c r="G1285"/>
      <c r="H1285"/>
      <c r="I1285"/>
      <c r="J1285"/>
      <c r="K1285"/>
      <c r="L1285"/>
      <c r="M1285"/>
      <c r="N1285"/>
      <c r="O1285"/>
    </row>
    <row r="1286" spans="6:15">
      <c r="F1286"/>
      <c r="G1286"/>
      <c r="H1286"/>
      <c r="I1286"/>
      <c r="J1286"/>
      <c r="K1286"/>
      <c r="L1286"/>
      <c r="M1286"/>
      <c r="N1286"/>
      <c r="O1286"/>
    </row>
    <row r="1287" spans="6:15">
      <c r="F1287"/>
      <c r="G1287"/>
      <c r="H1287"/>
      <c r="I1287"/>
      <c r="J1287"/>
      <c r="K1287"/>
      <c r="L1287"/>
      <c r="M1287"/>
      <c r="N1287"/>
      <c r="O1287"/>
    </row>
    <row r="1288" spans="6:15">
      <c r="F1288"/>
      <c r="G1288"/>
      <c r="H1288"/>
      <c r="I1288"/>
      <c r="J1288"/>
      <c r="K1288"/>
      <c r="L1288"/>
      <c r="M1288"/>
      <c r="N1288"/>
      <c r="O1288"/>
    </row>
    <row r="1289" spans="6:15">
      <c r="F1289"/>
      <c r="G1289"/>
      <c r="H1289"/>
      <c r="I1289"/>
      <c r="J1289"/>
      <c r="K1289"/>
      <c r="L1289"/>
      <c r="M1289"/>
      <c r="N1289"/>
      <c r="O1289"/>
    </row>
    <row r="1290" spans="6:15">
      <c r="F1290"/>
      <c r="G1290"/>
      <c r="H1290"/>
      <c r="I1290"/>
      <c r="J1290"/>
      <c r="K1290"/>
      <c r="L1290"/>
      <c r="M1290"/>
      <c r="N1290"/>
      <c r="O1290"/>
    </row>
    <row r="1291" spans="6:15">
      <c r="F1291"/>
      <c r="G1291"/>
      <c r="H1291"/>
      <c r="I1291"/>
      <c r="J1291"/>
      <c r="K1291"/>
      <c r="L1291"/>
      <c r="M1291"/>
      <c r="N1291"/>
      <c r="O1291"/>
    </row>
    <row r="1292" spans="6:15">
      <c r="F1292"/>
      <c r="G1292"/>
      <c r="H1292"/>
      <c r="I1292"/>
      <c r="J1292"/>
      <c r="K1292"/>
      <c r="L1292"/>
      <c r="M1292"/>
      <c r="N1292"/>
      <c r="O1292"/>
    </row>
    <row r="1293" spans="6:15">
      <c r="F1293"/>
      <c r="G1293"/>
      <c r="H1293"/>
      <c r="I1293"/>
      <c r="J1293"/>
      <c r="K1293"/>
      <c r="L1293"/>
      <c r="M1293"/>
      <c r="N1293"/>
      <c r="O1293"/>
    </row>
    <row r="1294" spans="6:15">
      <c r="F1294"/>
      <c r="G1294"/>
      <c r="H1294"/>
      <c r="I1294"/>
      <c r="J1294"/>
      <c r="K1294"/>
      <c r="L1294"/>
      <c r="M1294"/>
      <c r="N1294"/>
      <c r="O1294"/>
    </row>
    <row r="1295" spans="6:15">
      <c r="F1295"/>
      <c r="G1295"/>
      <c r="H1295"/>
      <c r="I1295"/>
      <c r="J1295"/>
      <c r="K1295"/>
      <c r="L1295"/>
      <c r="M1295"/>
      <c r="N1295"/>
      <c r="O1295"/>
    </row>
    <row r="1296" spans="6:15">
      <c r="F1296"/>
      <c r="G1296"/>
      <c r="H1296"/>
      <c r="I1296"/>
      <c r="J1296"/>
      <c r="K1296"/>
      <c r="L1296"/>
      <c r="M1296"/>
      <c r="N1296"/>
      <c r="O1296"/>
    </row>
    <row r="1297" spans="6:15">
      <c r="F1297"/>
      <c r="G1297"/>
      <c r="H1297"/>
      <c r="I1297"/>
      <c r="J1297"/>
      <c r="K1297"/>
      <c r="L1297"/>
      <c r="M1297"/>
      <c r="N1297"/>
      <c r="O1297"/>
    </row>
    <row r="1298" spans="6:15">
      <c r="F1298"/>
      <c r="G1298"/>
      <c r="H1298"/>
      <c r="I1298"/>
      <c r="J1298"/>
      <c r="K1298"/>
      <c r="L1298"/>
      <c r="M1298"/>
      <c r="N1298"/>
      <c r="O1298"/>
    </row>
    <row r="1299" spans="6:15">
      <c r="F1299"/>
      <c r="G1299"/>
      <c r="H1299"/>
      <c r="I1299"/>
      <c r="J1299"/>
      <c r="K1299"/>
      <c r="L1299"/>
      <c r="M1299"/>
      <c r="N1299"/>
      <c r="O1299"/>
    </row>
    <row r="1300" spans="6:15">
      <c r="F1300"/>
      <c r="G1300"/>
      <c r="H1300"/>
      <c r="I1300"/>
      <c r="J1300"/>
      <c r="K1300"/>
      <c r="L1300"/>
      <c r="M1300"/>
      <c r="N1300"/>
      <c r="O1300"/>
    </row>
    <row r="1301" spans="6:15">
      <c r="F1301"/>
      <c r="G1301"/>
      <c r="H1301"/>
      <c r="I1301"/>
      <c r="J1301"/>
      <c r="K1301"/>
      <c r="L1301"/>
      <c r="M1301"/>
      <c r="N1301"/>
      <c r="O1301"/>
    </row>
    <row r="1302" spans="6:15">
      <c r="F1302"/>
      <c r="G1302"/>
      <c r="H1302"/>
      <c r="I1302"/>
      <c r="J1302"/>
      <c r="K1302"/>
      <c r="L1302"/>
      <c r="M1302"/>
      <c r="N1302"/>
      <c r="O1302"/>
    </row>
    <row r="1303" spans="6:15">
      <c r="F1303"/>
      <c r="G1303"/>
      <c r="H1303"/>
      <c r="I1303"/>
      <c r="J1303"/>
      <c r="K1303"/>
      <c r="L1303"/>
      <c r="M1303"/>
      <c r="N1303"/>
      <c r="O1303"/>
    </row>
    <row r="1304" spans="6:15">
      <c r="F1304"/>
      <c r="G1304"/>
      <c r="H1304"/>
      <c r="I1304"/>
      <c r="J1304"/>
      <c r="K1304"/>
      <c r="L1304"/>
      <c r="M1304"/>
      <c r="N1304"/>
      <c r="O1304"/>
    </row>
    <row r="1305" spans="6:15">
      <c r="F1305"/>
      <c r="G1305"/>
      <c r="H1305"/>
      <c r="I1305"/>
      <c r="J1305"/>
      <c r="K1305"/>
      <c r="L1305"/>
      <c r="M1305"/>
      <c r="N1305"/>
      <c r="O1305"/>
    </row>
    <row r="1306" spans="6:15">
      <c r="F1306"/>
      <c r="G1306"/>
      <c r="H1306"/>
      <c r="I1306"/>
      <c r="J1306"/>
      <c r="K1306"/>
      <c r="L1306"/>
      <c r="M1306"/>
      <c r="N1306"/>
      <c r="O1306"/>
    </row>
    <row r="1307" spans="6:15">
      <c r="F1307"/>
      <c r="G1307"/>
      <c r="H1307"/>
      <c r="I1307"/>
      <c r="J1307"/>
      <c r="K1307"/>
      <c r="L1307"/>
      <c r="M1307"/>
      <c r="N1307"/>
      <c r="O1307"/>
    </row>
    <row r="1308" spans="6:15">
      <c r="F1308"/>
      <c r="G1308"/>
      <c r="H1308"/>
      <c r="I1308"/>
      <c r="J1308"/>
      <c r="K1308"/>
      <c r="L1308"/>
      <c r="M1308"/>
      <c r="N1308"/>
      <c r="O1308"/>
    </row>
    <row r="1309" spans="6:15">
      <c r="F1309"/>
      <c r="G1309"/>
      <c r="H1309"/>
      <c r="I1309"/>
      <c r="J1309"/>
      <c r="K1309"/>
      <c r="L1309"/>
      <c r="M1309"/>
      <c r="N1309"/>
      <c r="O1309"/>
    </row>
    <row r="1310" spans="6:15">
      <c r="F1310"/>
      <c r="G1310"/>
      <c r="H1310"/>
      <c r="I1310"/>
      <c r="J1310"/>
      <c r="K1310"/>
      <c r="L1310"/>
      <c r="M1310"/>
      <c r="N1310"/>
      <c r="O1310"/>
    </row>
    <row r="1311" spans="6:15">
      <c r="F1311"/>
      <c r="G1311"/>
      <c r="H1311"/>
      <c r="I1311"/>
      <c r="J1311"/>
      <c r="K1311"/>
      <c r="L1311"/>
      <c r="M1311"/>
      <c r="N1311"/>
      <c r="O1311"/>
    </row>
    <row r="1312" spans="6:15">
      <c r="F1312"/>
      <c r="G1312"/>
      <c r="H1312"/>
      <c r="I1312"/>
      <c r="J1312"/>
      <c r="K1312"/>
      <c r="L1312"/>
      <c r="M1312"/>
      <c r="N1312"/>
      <c r="O1312"/>
    </row>
    <row r="1313" spans="6:15">
      <c r="F1313"/>
      <c r="G1313"/>
      <c r="H1313"/>
      <c r="I1313"/>
      <c r="J1313"/>
      <c r="K1313"/>
      <c r="L1313"/>
      <c r="M1313"/>
      <c r="N1313"/>
      <c r="O1313"/>
    </row>
    <row r="1314" spans="6:15">
      <c r="F1314"/>
      <c r="G1314"/>
      <c r="H1314"/>
      <c r="I1314"/>
      <c r="J1314"/>
      <c r="K1314"/>
      <c r="L1314"/>
      <c r="M1314"/>
      <c r="N1314"/>
      <c r="O1314"/>
    </row>
    <row r="1315" spans="6:15">
      <c r="F1315"/>
      <c r="G1315"/>
      <c r="H1315"/>
      <c r="I1315"/>
      <c r="J1315"/>
      <c r="K1315"/>
      <c r="L1315"/>
      <c r="M1315"/>
      <c r="N1315"/>
      <c r="O1315"/>
    </row>
    <row r="1316" spans="6:15">
      <c r="F1316"/>
      <c r="G1316"/>
      <c r="H1316"/>
      <c r="I1316"/>
      <c r="J1316"/>
      <c r="K1316"/>
      <c r="L1316"/>
      <c r="M1316"/>
      <c r="N1316"/>
      <c r="O1316"/>
    </row>
    <row r="1317" spans="6:15">
      <c r="F1317"/>
      <c r="G1317"/>
      <c r="H1317"/>
      <c r="I1317"/>
      <c r="J1317"/>
      <c r="K1317"/>
      <c r="L1317"/>
      <c r="M1317"/>
      <c r="N1317"/>
      <c r="O1317"/>
    </row>
    <row r="1318" spans="6:15">
      <c r="F1318"/>
      <c r="G1318"/>
      <c r="H1318"/>
      <c r="I1318"/>
      <c r="J1318"/>
      <c r="K1318"/>
      <c r="L1318"/>
      <c r="M1318"/>
      <c r="N1318"/>
      <c r="O1318"/>
    </row>
    <row r="1319" spans="6:15">
      <c r="F1319"/>
      <c r="G1319"/>
      <c r="H1319"/>
      <c r="I1319"/>
      <c r="J1319"/>
      <c r="K1319"/>
      <c r="L1319"/>
      <c r="M1319"/>
      <c r="N1319"/>
      <c r="O1319"/>
    </row>
    <row r="1320" spans="6:15">
      <c r="F1320"/>
      <c r="G1320"/>
      <c r="H1320"/>
      <c r="I1320"/>
      <c r="J1320"/>
      <c r="K1320"/>
      <c r="L1320"/>
      <c r="M1320"/>
      <c r="N1320"/>
      <c r="O1320"/>
    </row>
    <row r="1321" spans="6:15">
      <c r="F1321"/>
      <c r="G1321"/>
      <c r="H1321"/>
      <c r="I1321"/>
      <c r="J1321"/>
      <c r="K1321"/>
      <c r="L1321"/>
      <c r="M1321"/>
      <c r="N1321"/>
      <c r="O1321"/>
    </row>
    <row r="1322" spans="6:15">
      <c r="F1322"/>
      <c r="G1322"/>
      <c r="H1322"/>
      <c r="I1322"/>
      <c r="J1322"/>
      <c r="K1322"/>
      <c r="L1322"/>
      <c r="M1322"/>
      <c r="N1322"/>
      <c r="O1322"/>
    </row>
    <row r="1323" spans="6:15">
      <c r="F1323"/>
      <c r="G1323"/>
      <c r="H1323"/>
      <c r="I1323"/>
      <c r="J1323"/>
      <c r="K1323"/>
      <c r="L1323"/>
      <c r="M1323"/>
      <c r="N1323"/>
      <c r="O1323"/>
    </row>
    <row r="1324" spans="6:15">
      <c r="F1324"/>
      <c r="G1324"/>
      <c r="H1324"/>
      <c r="I1324"/>
      <c r="J1324"/>
      <c r="K1324"/>
      <c r="L1324"/>
      <c r="M1324"/>
      <c r="N1324"/>
      <c r="O1324"/>
    </row>
    <row r="1325" spans="6:15">
      <c r="F1325"/>
      <c r="G1325"/>
      <c r="H1325"/>
      <c r="I1325"/>
      <c r="J1325"/>
      <c r="K1325"/>
      <c r="L1325"/>
      <c r="M1325"/>
      <c r="N1325"/>
      <c r="O1325"/>
    </row>
    <row r="1326" spans="6:15">
      <c r="F1326"/>
      <c r="G1326"/>
      <c r="H1326"/>
      <c r="I1326"/>
      <c r="J1326"/>
      <c r="K1326"/>
      <c r="L1326"/>
      <c r="M1326"/>
      <c r="N1326"/>
      <c r="O1326"/>
    </row>
    <row r="1327" spans="6:15">
      <c r="F1327"/>
      <c r="G1327"/>
      <c r="H1327"/>
      <c r="I1327"/>
      <c r="J1327"/>
      <c r="K1327"/>
      <c r="L1327"/>
      <c r="M1327"/>
      <c r="N1327"/>
      <c r="O1327"/>
    </row>
    <row r="1328" spans="6:15">
      <c r="F1328"/>
      <c r="G1328"/>
      <c r="H1328"/>
      <c r="I1328"/>
      <c r="J1328"/>
      <c r="K1328"/>
      <c r="L1328"/>
      <c r="M1328"/>
      <c r="N1328"/>
      <c r="O1328"/>
    </row>
    <row r="1329" spans="6:15">
      <c r="F1329"/>
      <c r="G1329"/>
      <c r="H1329"/>
      <c r="I1329"/>
      <c r="J1329"/>
      <c r="K1329"/>
      <c r="L1329"/>
      <c r="M1329"/>
      <c r="N1329"/>
      <c r="O1329"/>
    </row>
    <row r="1330" spans="6:15">
      <c r="F1330"/>
      <c r="G1330"/>
      <c r="H1330"/>
      <c r="I1330"/>
      <c r="J1330"/>
      <c r="K1330"/>
      <c r="L1330"/>
      <c r="M1330"/>
      <c r="N1330"/>
      <c r="O1330"/>
    </row>
    <row r="1331" spans="6:15">
      <c r="F1331"/>
      <c r="G1331"/>
      <c r="H1331"/>
      <c r="I1331"/>
      <c r="J1331"/>
      <c r="K1331"/>
      <c r="L1331"/>
      <c r="M1331"/>
      <c r="N1331"/>
      <c r="O1331"/>
    </row>
    <row r="1332" spans="6:15">
      <c r="F1332"/>
      <c r="G1332"/>
      <c r="H1332"/>
      <c r="I1332"/>
      <c r="J1332"/>
      <c r="K1332"/>
      <c r="L1332"/>
      <c r="M1332"/>
      <c r="N1332"/>
      <c r="O1332"/>
    </row>
    <row r="1333" spans="6:15">
      <c r="F1333"/>
      <c r="G1333"/>
      <c r="H1333"/>
      <c r="I1333"/>
      <c r="J1333"/>
      <c r="K1333"/>
      <c r="L1333"/>
      <c r="M1333"/>
      <c r="N1333"/>
      <c r="O1333"/>
    </row>
    <row r="1334" spans="6:15">
      <c r="F1334"/>
      <c r="G1334"/>
      <c r="H1334"/>
      <c r="I1334"/>
      <c r="J1334"/>
      <c r="K1334"/>
      <c r="L1334"/>
      <c r="M1334"/>
      <c r="N1334"/>
      <c r="O1334"/>
    </row>
    <row r="1335" spans="6:15">
      <c r="F1335"/>
      <c r="G1335"/>
      <c r="H1335"/>
      <c r="I1335"/>
      <c r="J1335"/>
      <c r="K1335"/>
      <c r="L1335"/>
      <c r="M1335"/>
      <c r="N1335"/>
      <c r="O1335"/>
    </row>
    <row r="1336" spans="6:15">
      <c r="F1336"/>
      <c r="G1336"/>
      <c r="H1336"/>
      <c r="I1336"/>
      <c r="J1336"/>
      <c r="K1336"/>
      <c r="L1336"/>
      <c r="M1336"/>
      <c r="N1336"/>
      <c r="O1336"/>
    </row>
    <row r="1337" spans="6:15">
      <c r="F1337"/>
      <c r="G1337"/>
      <c r="H1337"/>
      <c r="I1337"/>
      <c r="J1337"/>
      <c r="K1337"/>
      <c r="L1337"/>
      <c r="M1337"/>
      <c r="N1337"/>
      <c r="O1337"/>
    </row>
    <row r="1338" spans="6:15">
      <c r="F1338"/>
      <c r="G1338"/>
      <c r="H1338"/>
      <c r="I1338"/>
      <c r="J1338"/>
      <c r="K1338"/>
      <c r="L1338"/>
      <c r="M1338"/>
      <c r="N1338"/>
      <c r="O1338"/>
    </row>
    <row r="1339" spans="6:15">
      <c r="F1339"/>
      <c r="G1339"/>
      <c r="H1339"/>
      <c r="I1339"/>
      <c r="J1339"/>
      <c r="K1339"/>
      <c r="L1339"/>
      <c r="M1339"/>
      <c r="N1339"/>
      <c r="O1339"/>
    </row>
    <row r="1340" spans="6:15">
      <c r="F1340"/>
      <c r="G1340"/>
      <c r="H1340"/>
      <c r="I1340"/>
      <c r="J1340"/>
      <c r="K1340"/>
      <c r="L1340"/>
      <c r="M1340"/>
      <c r="N1340"/>
      <c r="O1340"/>
    </row>
    <row r="1341" spans="6:15">
      <c r="F1341"/>
      <c r="G1341"/>
      <c r="H1341"/>
      <c r="I1341"/>
      <c r="J1341"/>
      <c r="K1341"/>
      <c r="L1341"/>
      <c r="M1341"/>
      <c r="N1341"/>
      <c r="O1341"/>
    </row>
    <row r="1342" spans="6:15">
      <c r="F1342"/>
      <c r="G1342"/>
      <c r="H1342"/>
      <c r="I1342"/>
      <c r="J1342"/>
      <c r="K1342"/>
      <c r="L1342"/>
      <c r="M1342"/>
      <c r="N1342"/>
      <c r="O1342"/>
    </row>
    <row r="1343" spans="6:15">
      <c r="F1343"/>
      <c r="G1343"/>
      <c r="H1343"/>
      <c r="I1343"/>
      <c r="J1343"/>
      <c r="K1343"/>
      <c r="L1343"/>
      <c r="M1343"/>
      <c r="N1343"/>
      <c r="O1343"/>
    </row>
    <row r="1344" spans="6:15">
      <c r="F1344"/>
      <c r="G1344"/>
      <c r="H1344"/>
      <c r="I1344"/>
      <c r="J1344"/>
      <c r="K1344"/>
      <c r="L1344"/>
      <c r="M1344"/>
      <c r="N1344"/>
      <c r="O1344"/>
    </row>
    <row r="1345" spans="6:15">
      <c r="F1345"/>
      <c r="G1345"/>
      <c r="H1345"/>
      <c r="I1345"/>
      <c r="J1345"/>
      <c r="K1345"/>
      <c r="L1345"/>
      <c r="M1345"/>
      <c r="N1345"/>
      <c r="O1345"/>
    </row>
    <row r="1346" spans="6:15">
      <c r="F1346"/>
      <c r="G1346"/>
      <c r="H1346"/>
      <c r="I1346"/>
      <c r="J1346"/>
      <c r="K1346"/>
      <c r="L1346"/>
      <c r="M1346"/>
      <c r="N1346"/>
      <c r="O1346"/>
    </row>
    <row r="1347" spans="6:15">
      <c r="F1347"/>
      <c r="G1347"/>
      <c r="H1347"/>
      <c r="I1347"/>
      <c r="J1347"/>
      <c r="K1347"/>
      <c r="L1347"/>
      <c r="M1347"/>
      <c r="N1347"/>
      <c r="O1347"/>
    </row>
    <row r="1348" spans="6:15">
      <c r="F1348"/>
      <c r="G1348"/>
      <c r="H1348"/>
      <c r="I1348"/>
      <c r="J1348"/>
      <c r="K1348"/>
      <c r="L1348"/>
      <c r="M1348"/>
      <c r="N1348"/>
      <c r="O1348"/>
    </row>
    <row r="1349" spans="6:15">
      <c r="F1349"/>
      <c r="G1349"/>
      <c r="H1349"/>
      <c r="I1349"/>
      <c r="J1349"/>
      <c r="K1349"/>
      <c r="L1349"/>
      <c r="M1349"/>
      <c r="N1349"/>
      <c r="O1349"/>
    </row>
    <row r="1350" spans="6:15">
      <c r="F1350"/>
      <c r="G1350"/>
      <c r="H1350"/>
      <c r="I1350"/>
      <c r="J1350"/>
      <c r="K1350"/>
      <c r="L1350"/>
      <c r="M1350"/>
      <c r="N1350"/>
      <c r="O1350"/>
    </row>
    <row r="1351" spans="6:15">
      <c r="F1351"/>
      <c r="G1351"/>
      <c r="H1351"/>
      <c r="I1351"/>
      <c r="J1351"/>
      <c r="K1351"/>
      <c r="L1351"/>
      <c r="M1351"/>
      <c r="N1351"/>
      <c r="O1351"/>
    </row>
    <row r="1352" spans="6:15">
      <c r="F1352"/>
      <c r="G1352"/>
      <c r="H1352"/>
      <c r="I1352"/>
      <c r="J1352"/>
      <c r="K1352"/>
      <c r="L1352"/>
      <c r="M1352"/>
      <c r="N1352"/>
      <c r="O1352"/>
    </row>
    <row r="1353" spans="6:15">
      <c r="F1353"/>
      <c r="G1353"/>
      <c r="H1353"/>
      <c r="I1353"/>
      <c r="J1353"/>
      <c r="K1353"/>
      <c r="L1353"/>
      <c r="M1353"/>
      <c r="N1353"/>
      <c r="O1353"/>
    </row>
    <row r="1354" spans="6:15">
      <c r="F1354"/>
      <c r="G1354"/>
      <c r="H1354"/>
      <c r="I1354"/>
      <c r="J1354"/>
      <c r="K1354"/>
      <c r="L1354"/>
      <c r="M1354"/>
      <c r="N1354"/>
      <c r="O1354"/>
    </row>
    <row r="1355" spans="6:15">
      <c r="F1355"/>
      <c r="G1355"/>
      <c r="H1355"/>
      <c r="I1355"/>
      <c r="J1355"/>
      <c r="K1355"/>
      <c r="L1355"/>
      <c r="M1355"/>
      <c r="N1355"/>
      <c r="O1355"/>
    </row>
    <row r="1356" spans="6:15">
      <c r="F1356"/>
      <c r="G1356"/>
      <c r="H1356"/>
      <c r="I1356"/>
      <c r="J1356"/>
      <c r="K1356"/>
      <c r="L1356"/>
      <c r="M1356"/>
      <c r="N1356"/>
      <c r="O1356"/>
    </row>
    <row r="1357" spans="6:15">
      <c r="F1357"/>
      <c r="G1357"/>
      <c r="H1357"/>
      <c r="I1357"/>
      <c r="J1357"/>
      <c r="K1357"/>
      <c r="L1357"/>
      <c r="M1357"/>
      <c r="N1357"/>
      <c r="O1357"/>
    </row>
    <row r="1358" spans="6:15">
      <c r="F1358"/>
      <c r="G1358"/>
      <c r="H1358"/>
      <c r="I1358"/>
      <c r="J1358"/>
      <c r="K1358"/>
      <c r="L1358"/>
      <c r="M1358"/>
      <c r="N1358"/>
      <c r="O1358"/>
    </row>
    <row r="1359" spans="6:15">
      <c r="F1359"/>
      <c r="G1359"/>
      <c r="H1359"/>
      <c r="I1359"/>
      <c r="J1359"/>
      <c r="K1359"/>
      <c r="L1359"/>
      <c r="M1359"/>
      <c r="N1359"/>
      <c r="O1359"/>
    </row>
    <row r="1360" spans="6:15">
      <c r="F1360"/>
      <c r="G1360"/>
      <c r="H1360"/>
      <c r="I1360"/>
      <c r="J1360"/>
      <c r="K1360"/>
      <c r="L1360"/>
      <c r="M1360"/>
      <c r="N1360"/>
      <c r="O1360"/>
    </row>
    <row r="1361" spans="6:15">
      <c r="F1361"/>
      <c r="G1361"/>
      <c r="H1361"/>
      <c r="I1361"/>
      <c r="J1361"/>
      <c r="K1361"/>
      <c r="L1361"/>
      <c r="M1361"/>
      <c r="N1361"/>
      <c r="O1361"/>
    </row>
    <row r="1362" spans="6:15">
      <c r="F1362"/>
      <c r="G1362"/>
      <c r="H1362"/>
      <c r="I1362"/>
      <c r="J1362"/>
      <c r="K1362"/>
      <c r="L1362"/>
      <c r="M1362"/>
      <c r="N1362"/>
      <c r="O1362"/>
    </row>
    <row r="1363" spans="6:15">
      <c r="F1363"/>
      <c r="G1363"/>
      <c r="H1363"/>
      <c r="I1363"/>
      <c r="J1363"/>
      <c r="K1363"/>
      <c r="L1363"/>
      <c r="M1363"/>
      <c r="N1363"/>
      <c r="O1363"/>
    </row>
    <row r="1364" spans="6:15">
      <c r="F1364"/>
      <c r="G1364"/>
      <c r="H1364"/>
      <c r="I1364"/>
      <c r="J1364"/>
      <c r="K1364"/>
      <c r="L1364"/>
      <c r="M1364"/>
      <c r="N1364"/>
      <c r="O1364"/>
    </row>
    <row r="1365" spans="6:15">
      <c r="F1365"/>
      <c r="G1365"/>
      <c r="H1365"/>
      <c r="I1365"/>
      <c r="J1365"/>
      <c r="K1365"/>
      <c r="L1365"/>
      <c r="M1365"/>
      <c r="N1365"/>
      <c r="O1365"/>
    </row>
    <row r="1366" spans="6:15">
      <c r="F1366"/>
      <c r="G1366"/>
      <c r="H1366"/>
      <c r="I1366"/>
      <c r="J1366"/>
      <c r="K1366"/>
      <c r="L1366"/>
      <c r="M1366"/>
      <c r="N1366"/>
      <c r="O1366"/>
    </row>
    <row r="1367" spans="6:15">
      <c r="F1367"/>
      <c r="G1367"/>
      <c r="H1367"/>
      <c r="I1367"/>
      <c r="J1367"/>
      <c r="K1367"/>
      <c r="L1367"/>
      <c r="M1367"/>
      <c r="N1367"/>
      <c r="O1367"/>
    </row>
    <row r="1368" spans="6:15">
      <c r="F1368"/>
      <c r="G1368"/>
      <c r="H1368"/>
      <c r="I1368"/>
      <c r="J1368"/>
      <c r="K1368"/>
      <c r="L1368"/>
      <c r="M1368"/>
      <c r="N1368"/>
      <c r="O1368"/>
    </row>
    <row r="1369" spans="6:15">
      <c r="F1369"/>
      <c r="G1369"/>
      <c r="H1369"/>
      <c r="I1369"/>
      <c r="J1369"/>
      <c r="K1369"/>
      <c r="L1369"/>
      <c r="M1369"/>
      <c r="N1369"/>
      <c r="O1369"/>
    </row>
    <row r="1370" spans="6:15">
      <c r="F1370"/>
      <c r="G1370"/>
      <c r="H1370"/>
      <c r="I1370"/>
      <c r="J1370"/>
      <c r="K1370"/>
      <c r="L1370"/>
      <c r="M1370"/>
      <c r="N1370"/>
      <c r="O1370"/>
    </row>
    <row r="1371" spans="6:15">
      <c r="F1371"/>
      <c r="G1371"/>
      <c r="H1371"/>
      <c r="I1371"/>
      <c r="J1371"/>
      <c r="K1371"/>
      <c r="L1371"/>
      <c r="M1371"/>
      <c r="N1371"/>
      <c r="O1371"/>
    </row>
    <row r="1372" spans="6:15">
      <c r="F1372"/>
      <c r="G1372"/>
      <c r="H1372"/>
      <c r="I1372"/>
      <c r="J1372"/>
      <c r="K1372"/>
      <c r="L1372"/>
      <c r="M1372"/>
      <c r="N1372"/>
      <c r="O1372"/>
    </row>
    <row r="1373" spans="6:15">
      <c r="F1373"/>
      <c r="G1373"/>
      <c r="H1373"/>
      <c r="I1373"/>
      <c r="J1373"/>
      <c r="K1373"/>
      <c r="L1373"/>
      <c r="M1373"/>
      <c r="N1373"/>
      <c r="O1373"/>
    </row>
    <row r="1374" spans="6:15">
      <c r="F1374"/>
      <c r="G1374"/>
      <c r="H1374"/>
      <c r="I1374"/>
      <c r="J1374"/>
      <c r="K1374"/>
      <c r="L1374"/>
      <c r="M1374"/>
      <c r="N1374"/>
      <c r="O1374"/>
    </row>
    <row r="1375" spans="6:15">
      <c r="F1375"/>
      <c r="G1375"/>
      <c r="H1375"/>
      <c r="I1375"/>
      <c r="J1375"/>
      <c r="K1375"/>
      <c r="L1375"/>
      <c r="M1375"/>
      <c r="N1375"/>
      <c r="O1375"/>
    </row>
    <row r="1376" spans="6:15">
      <c r="F1376"/>
      <c r="G1376"/>
      <c r="H1376"/>
      <c r="I1376"/>
      <c r="J1376"/>
      <c r="K1376"/>
      <c r="L1376"/>
      <c r="M1376"/>
      <c r="N1376"/>
      <c r="O1376"/>
    </row>
    <row r="1377" spans="6:15">
      <c r="F1377"/>
      <c r="G1377"/>
      <c r="H1377"/>
      <c r="I1377"/>
      <c r="J1377"/>
      <c r="K1377"/>
      <c r="L1377"/>
      <c r="M1377"/>
      <c r="N1377"/>
      <c r="O1377"/>
    </row>
    <row r="1378" spans="6:15">
      <c r="F1378"/>
      <c r="G1378"/>
      <c r="H1378"/>
      <c r="I1378"/>
      <c r="J1378"/>
      <c r="K1378"/>
      <c r="L1378"/>
      <c r="M1378"/>
      <c r="N1378"/>
      <c r="O1378"/>
    </row>
    <row r="1379" spans="6:15">
      <c r="F1379"/>
      <c r="G1379"/>
      <c r="H1379"/>
      <c r="I1379"/>
      <c r="J1379"/>
      <c r="K1379"/>
      <c r="L1379"/>
      <c r="M1379"/>
      <c r="N1379"/>
      <c r="O1379"/>
    </row>
    <row r="1380" spans="6:15">
      <c r="F1380"/>
      <c r="G1380"/>
      <c r="H1380"/>
      <c r="I1380"/>
      <c r="J1380"/>
      <c r="K1380"/>
      <c r="L1380"/>
      <c r="M1380"/>
      <c r="N1380"/>
      <c r="O1380"/>
    </row>
    <row r="1381" spans="6:15">
      <c r="F1381"/>
      <c r="G1381"/>
      <c r="H1381"/>
      <c r="I1381"/>
      <c r="J1381"/>
      <c r="K1381"/>
      <c r="L1381"/>
      <c r="M1381"/>
      <c r="N1381"/>
      <c r="O1381"/>
    </row>
    <row r="1382" spans="6:15">
      <c r="F1382"/>
      <c r="G1382"/>
      <c r="H1382"/>
      <c r="I1382"/>
      <c r="J1382"/>
      <c r="K1382"/>
      <c r="L1382"/>
      <c r="M1382"/>
      <c r="N1382"/>
      <c r="O1382"/>
    </row>
    <row r="1383" spans="6:15">
      <c r="F1383"/>
      <c r="G1383"/>
      <c r="H1383"/>
      <c r="I1383"/>
      <c r="J1383"/>
      <c r="K1383"/>
      <c r="L1383"/>
      <c r="M1383"/>
      <c r="N1383"/>
      <c r="O1383"/>
    </row>
    <row r="1384" spans="6:15">
      <c r="F1384"/>
      <c r="G1384"/>
      <c r="H1384"/>
      <c r="I1384"/>
      <c r="J1384"/>
      <c r="K1384"/>
      <c r="L1384"/>
      <c r="M1384"/>
      <c r="N1384"/>
      <c r="O1384"/>
    </row>
    <row r="1385" spans="6:15">
      <c r="F1385"/>
      <c r="G1385"/>
      <c r="H1385"/>
      <c r="I1385"/>
      <c r="J1385"/>
      <c r="K1385"/>
      <c r="L1385"/>
      <c r="M1385"/>
      <c r="N1385"/>
      <c r="O1385"/>
    </row>
    <row r="1386" spans="6:15">
      <c r="F1386"/>
      <c r="G1386"/>
      <c r="H1386"/>
      <c r="I1386"/>
      <c r="J1386"/>
      <c r="K1386"/>
      <c r="L1386"/>
      <c r="M1386"/>
      <c r="N1386"/>
      <c r="O1386"/>
    </row>
    <row r="1387" spans="6:15">
      <c r="F1387"/>
      <c r="G1387"/>
      <c r="H1387"/>
      <c r="I1387"/>
      <c r="J1387"/>
      <c r="K1387"/>
      <c r="L1387"/>
      <c r="M1387"/>
      <c r="N1387"/>
      <c r="O1387"/>
    </row>
    <row r="1388" spans="6:15">
      <c r="F1388"/>
      <c r="G1388"/>
      <c r="H1388"/>
      <c r="I1388"/>
      <c r="J1388"/>
      <c r="K1388"/>
      <c r="L1388"/>
      <c r="M1388"/>
      <c r="N1388"/>
      <c r="O1388"/>
    </row>
    <row r="1389" spans="6:15">
      <c r="F1389"/>
      <c r="G1389"/>
      <c r="H1389"/>
      <c r="I1389"/>
      <c r="J1389"/>
      <c r="K1389"/>
      <c r="L1389"/>
      <c r="M1389"/>
      <c r="N1389"/>
      <c r="O1389"/>
    </row>
    <row r="1390" spans="6:15">
      <c r="F1390"/>
      <c r="G1390"/>
      <c r="H1390"/>
      <c r="I1390"/>
      <c r="J1390"/>
      <c r="K1390"/>
      <c r="L1390"/>
      <c r="M1390"/>
      <c r="N1390"/>
      <c r="O1390"/>
    </row>
    <row r="1391" spans="6:15">
      <c r="F1391"/>
      <c r="G1391"/>
      <c r="H1391"/>
      <c r="I1391"/>
      <c r="J1391"/>
      <c r="K1391"/>
      <c r="L1391"/>
      <c r="M1391"/>
      <c r="N1391"/>
      <c r="O1391"/>
    </row>
    <row r="1392" spans="6:15">
      <c r="F1392"/>
      <c r="G1392"/>
      <c r="H1392"/>
      <c r="I1392"/>
      <c r="J1392"/>
      <c r="K1392"/>
      <c r="L1392"/>
      <c r="M1392"/>
      <c r="N1392"/>
      <c r="O1392"/>
    </row>
    <row r="1393" spans="6:15">
      <c r="F1393"/>
      <c r="G1393"/>
      <c r="H1393"/>
      <c r="I1393"/>
      <c r="J1393"/>
      <c r="K1393"/>
      <c r="L1393"/>
      <c r="M1393"/>
      <c r="N1393"/>
      <c r="O1393"/>
    </row>
    <row r="1394" spans="6:15">
      <c r="F1394"/>
      <c r="G1394"/>
      <c r="H1394"/>
      <c r="I1394"/>
      <c r="J1394"/>
      <c r="K1394"/>
      <c r="L1394"/>
      <c r="M1394"/>
      <c r="N1394"/>
      <c r="O1394"/>
    </row>
    <row r="1395" spans="6:15">
      <c r="F1395"/>
      <c r="G1395"/>
      <c r="H1395"/>
      <c r="I1395"/>
      <c r="J1395"/>
      <c r="K1395"/>
      <c r="L1395"/>
      <c r="M1395"/>
      <c r="N1395"/>
      <c r="O1395"/>
    </row>
    <row r="1396" spans="6:15">
      <c r="F1396"/>
      <c r="G1396"/>
      <c r="H1396"/>
      <c r="I1396"/>
      <c r="J1396"/>
      <c r="K1396"/>
      <c r="L1396"/>
      <c r="M1396"/>
      <c r="N1396"/>
      <c r="O1396"/>
    </row>
    <row r="1397" spans="6:15">
      <c r="F1397"/>
      <c r="G1397"/>
      <c r="H1397"/>
      <c r="I1397"/>
      <c r="J1397"/>
      <c r="K1397"/>
      <c r="L1397"/>
      <c r="M1397"/>
      <c r="N1397"/>
      <c r="O1397"/>
    </row>
    <row r="1398" spans="6:15">
      <c r="F1398"/>
      <c r="G1398"/>
      <c r="H1398"/>
      <c r="I1398"/>
      <c r="J1398"/>
      <c r="K1398"/>
      <c r="L1398"/>
      <c r="M1398"/>
      <c r="N1398"/>
      <c r="O1398"/>
    </row>
    <row r="1399" spans="6:15">
      <c r="F1399"/>
      <c r="G1399"/>
      <c r="H1399"/>
      <c r="I1399"/>
      <c r="J1399"/>
      <c r="K1399"/>
      <c r="L1399"/>
      <c r="M1399"/>
      <c r="N1399"/>
      <c r="O1399"/>
    </row>
    <row r="1400" spans="6:15">
      <c r="F1400"/>
      <c r="G1400"/>
      <c r="H1400"/>
      <c r="I1400"/>
      <c r="J1400"/>
      <c r="K1400"/>
      <c r="L1400"/>
      <c r="M1400"/>
      <c r="N1400"/>
      <c r="O1400"/>
    </row>
    <row r="1401" spans="6:15">
      <c r="F1401"/>
      <c r="G1401"/>
      <c r="H1401"/>
      <c r="I1401"/>
      <c r="J1401"/>
      <c r="K1401"/>
      <c r="L1401"/>
      <c r="M1401"/>
      <c r="N1401"/>
      <c r="O1401"/>
    </row>
    <row r="1402" spans="6:15">
      <c r="F1402"/>
      <c r="G1402"/>
      <c r="H1402"/>
      <c r="I1402"/>
      <c r="J1402"/>
      <c r="K1402"/>
      <c r="L1402"/>
      <c r="M1402"/>
      <c r="N1402"/>
      <c r="O1402"/>
    </row>
    <row r="1403" spans="6:15">
      <c r="F1403"/>
      <c r="G1403"/>
      <c r="H1403"/>
      <c r="I1403"/>
      <c r="J1403"/>
      <c r="K1403"/>
      <c r="L1403"/>
      <c r="M1403"/>
      <c r="N1403"/>
      <c r="O1403"/>
    </row>
    <row r="1404" spans="6:15">
      <c r="F1404"/>
      <c r="G1404"/>
      <c r="H1404"/>
      <c r="I1404"/>
      <c r="J1404"/>
      <c r="K1404"/>
      <c r="L1404"/>
      <c r="M1404"/>
      <c r="N1404"/>
      <c r="O1404"/>
    </row>
    <row r="1405" spans="6:15">
      <c r="F1405"/>
      <c r="G1405"/>
      <c r="H1405"/>
      <c r="I1405"/>
      <c r="J1405"/>
      <c r="K1405"/>
      <c r="L1405"/>
      <c r="M1405"/>
      <c r="N1405"/>
      <c r="O1405"/>
    </row>
    <row r="1406" spans="6:15">
      <c r="F1406"/>
      <c r="G1406"/>
      <c r="H1406"/>
      <c r="I1406"/>
      <c r="J1406"/>
      <c r="K1406"/>
      <c r="L1406"/>
      <c r="M1406"/>
      <c r="N1406"/>
      <c r="O1406"/>
    </row>
    <row r="1407" spans="6:15">
      <c r="F1407"/>
      <c r="G1407"/>
      <c r="H1407"/>
      <c r="I1407"/>
      <c r="J1407"/>
      <c r="K1407"/>
      <c r="L1407"/>
      <c r="M1407"/>
      <c r="N1407"/>
      <c r="O1407"/>
    </row>
    <row r="1408" spans="6:15">
      <c r="F1408"/>
      <c r="G1408"/>
      <c r="H1408"/>
      <c r="I1408"/>
      <c r="J1408"/>
      <c r="K1408"/>
      <c r="L1408"/>
      <c r="M1408"/>
      <c r="N1408"/>
      <c r="O1408"/>
    </row>
    <row r="1409" spans="6:15">
      <c r="F1409"/>
      <c r="G1409"/>
      <c r="H1409"/>
      <c r="I1409"/>
      <c r="J1409"/>
      <c r="K1409"/>
      <c r="L1409"/>
      <c r="M1409"/>
      <c r="N1409"/>
      <c r="O1409"/>
    </row>
    <row r="1410" spans="6:15">
      <c r="F1410"/>
      <c r="G1410"/>
      <c r="H1410"/>
      <c r="I1410"/>
      <c r="J1410"/>
      <c r="K1410"/>
      <c r="L1410"/>
      <c r="M1410"/>
      <c r="N1410"/>
      <c r="O1410"/>
    </row>
    <row r="1411" spans="6:15">
      <c r="F1411"/>
      <c r="G1411"/>
      <c r="H1411"/>
      <c r="I1411"/>
      <c r="J1411"/>
      <c r="K1411"/>
      <c r="L1411"/>
      <c r="M1411"/>
      <c r="N1411"/>
      <c r="O1411"/>
    </row>
    <row r="1412" spans="6:15">
      <c r="F1412"/>
      <c r="G1412"/>
      <c r="H1412"/>
      <c r="I1412"/>
      <c r="J1412"/>
      <c r="K1412"/>
      <c r="L1412"/>
      <c r="M1412"/>
      <c r="N1412"/>
      <c r="O1412"/>
    </row>
    <row r="1413" spans="6:15">
      <c r="F1413"/>
      <c r="G1413"/>
      <c r="H1413"/>
      <c r="I1413"/>
      <c r="J1413"/>
      <c r="K1413"/>
      <c r="L1413"/>
      <c r="M1413"/>
      <c r="N1413"/>
      <c r="O1413"/>
    </row>
    <row r="1414" spans="6:15">
      <c r="F1414"/>
      <c r="G1414"/>
      <c r="H1414"/>
      <c r="I1414"/>
      <c r="J1414"/>
      <c r="K1414"/>
      <c r="L1414"/>
      <c r="M1414"/>
      <c r="N1414"/>
      <c r="O1414"/>
    </row>
    <row r="1415" spans="6:15">
      <c r="F1415"/>
      <c r="G1415"/>
      <c r="H1415"/>
      <c r="I1415"/>
      <c r="J1415"/>
      <c r="K1415"/>
      <c r="L1415"/>
      <c r="M1415"/>
      <c r="N1415"/>
      <c r="O1415"/>
    </row>
    <row r="1416" spans="6:15">
      <c r="F1416"/>
      <c r="G1416"/>
      <c r="H1416"/>
      <c r="I1416"/>
      <c r="J1416"/>
      <c r="K1416"/>
      <c r="L1416"/>
      <c r="M1416"/>
      <c r="N1416"/>
      <c r="O1416"/>
    </row>
    <row r="1417" spans="6:15">
      <c r="F1417"/>
      <c r="G1417"/>
      <c r="H1417"/>
      <c r="I1417"/>
      <c r="J1417"/>
      <c r="K1417"/>
      <c r="L1417"/>
      <c r="M1417"/>
      <c r="N1417"/>
      <c r="O1417"/>
    </row>
    <row r="1418" spans="6:15">
      <c r="F1418"/>
      <c r="G1418"/>
      <c r="H1418"/>
      <c r="I1418"/>
      <c r="J1418"/>
      <c r="K1418"/>
      <c r="L1418"/>
      <c r="M1418"/>
      <c r="N1418"/>
      <c r="O1418"/>
    </row>
    <row r="1419" spans="6:15">
      <c r="F1419"/>
      <c r="G1419"/>
      <c r="H1419"/>
      <c r="I1419"/>
      <c r="J1419"/>
      <c r="K1419"/>
      <c r="L1419"/>
      <c r="M1419"/>
      <c r="N1419"/>
      <c r="O1419"/>
    </row>
    <row r="1420" spans="6:15">
      <c r="F1420"/>
      <c r="G1420"/>
      <c r="H1420"/>
      <c r="I1420"/>
      <c r="J1420"/>
      <c r="K1420"/>
      <c r="L1420"/>
      <c r="M1420"/>
      <c r="N1420"/>
      <c r="O1420"/>
    </row>
    <row r="1421" spans="6:15">
      <c r="F1421"/>
      <c r="G1421"/>
      <c r="H1421"/>
      <c r="I1421"/>
      <c r="J1421"/>
      <c r="K1421"/>
      <c r="L1421"/>
      <c r="M1421"/>
      <c r="N1421"/>
      <c r="O1421"/>
    </row>
    <row r="1422" spans="6:15">
      <c r="F1422"/>
      <c r="G1422"/>
      <c r="H1422"/>
      <c r="I1422"/>
      <c r="J1422"/>
      <c r="K1422"/>
      <c r="L1422"/>
      <c r="M1422"/>
      <c r="N1422"/>
      <c r="O1422"/>
    </row>
    <row r="1423" spans="6:15">
      <c r="F1423"/>
      <c r="G1423"/>
      <c r="H1423"/>
      <c r="I1423"/>
      <c r="J1423"/>
      <c r="K1423"/>
      <c r="L1423"/>
      <c r="M1423"/>
      <c r="N1423"/>
      <c r="O1423"/>
    </row>
    <row r="1424" spans="6:15">
      <c r="F1424"/>
      <c r="G1424"/>
      <c r="H1424"/>
      <c r="I1424"/>
      <c r="J1424"/>
      <c r="K1424"/>
      <c r="L1424"/>
      <c r="M1424"/>
      <c r="N1424"/>
      <c r="O1424"/>
    </row>
    <row r="1425" spans="6:15">
      <c r="F1425"/>
      <c r="G1425"/>
      <c r="H1425"/>
      <c r="I1425"/>
      <c r="J1425"/>
      <c r="K1425"/>
      <c r="L1425"/>
      <c r="M1425"/>
      <c r="N1425"/>
      <c r="O1425"/>
    </row>
    <row r="1426" spans="6:15">
      <c r="F1426"/>
      <c r="G1426"/>
      <c r="H1426"/>
      <c r="I1426"/>
      <c r="J1426"/>
      <c r="K1426"/>
      <c r="L1426"/>
      <c r="M1426"/>
      <c r="N1426"/>
      <c r="O1426"/>
    </row>
    <row r="1427" spans="6:15">
      <c r="F1427"/>
      <c r="G1427"/>
      <c r="H1427"/>
      <c r="I1427"/>
      <c r="J1427"/>
      <c r="K1427"/>
      <c r="L1427"/>
      <c r="M1427"/>
      <c r="N1427"/>
      <c r="O1427"/>
    </row>
    <row r="1428" spans="6:15">
      <c r="F1428"/>
      <c r="G1428"/>
      <c r="H1428"/>
      <c r="I1428"/>
      <c r="J1428"/>
      <c r="K1428"/>
      <c r="L1428"/>
      <c r="M1428"/>
      <c r="N1428"/>
      <c r="O1428"/>
    </row>
    <row r="1429" spans="6:15">
      <c r="F1429"/>
      <c r="G1429"/>
      <c r="H1429"/>
      <c r="I1429"/>
      <c r="J1429"/>
      <c r="K1429"/>
      <c r="L1429"/>
      <c r="M1429"/>
      <c r="N1429"/>
      <c r="O1429"/>
    </row>
    <row r="1430" spans="6:15">
      <c r="F1430"/>
      <c r="G1430"/>
      <c r="H1430"/>
      <c r="I1430"/>
      <c r="J1430"/>
      <c r="K1430"/>
      <c r="L1430"/>
      <c r="M1430"/>
      <c r="N1430"/>
      <c r="O1430"/>
    </row>
    <row r="1431" spans="6:15">
      <c r="F1431"/>
      <c r="G1431"/>
      <c r="H1431"/>
      <c r="I1431"/>
      <c r="J1431"/>
      <c r="K1431"/>
      <c r="L1431"/>
      <c r="M1431"/>
      <c r="N1431"/>
      <c r="O1431"/>
    </row>
    <row r="1432" spans="6:15">
      <c r="F1432"/>
      <c r="G1432"/>
      <c r="H1432"/>
      <c r="I1432"/>
      <c r="J1432"/>
      <c r="K1432"/>
      <c r="L1432"/>
      <c r="M1432"/>
      <c r="N1432"/>
      <c r="O1432"/>
    </row>
    <row r="1433" spans="6:15">
      <c r="F1433"/>
      <c r="G1433"/>
      <c r="H1433"/>
      <c r="I1433"/>
      <c r="J1433"/>
      <c r="K1433"/>
      <c r="L1433"/>
      <c r="M1433"/>
      <c r="N1433"/>
      <c r="O1433"/>
    </row>
    <row r="1434" spans="6:15">
      <c r="F1434"/>
      <c r="G1434"/>
      <c r="H1434"/>
      <c r="I1434"/>
      <c r="J1434"/>
      <c r="K1434"/>
      <c r="L1434"/>
      <c r="M1434"/>
      <c r="N1434"/>
      <c r="O1434"/>
    </row>
    <row r="1435" spans="6:15">
      <c r="F1435"/>
      <c r="G1435"/>
      <c r="H1435"/>
      <c r="I1435"/>
      <c r="J1435"/>
      <c r="K1435"/>
      <c r="L1435"/>
      <c r="M1435"/>
      <c r="N1435"/>
      <c r="O1435"/>
    </row>
    <row r="1436" spans="6:15">
      <c r="F1436"/>
      <c r="G1436"/>
      <c r="H1436"/>
      <c r="I1436"/>
      <c r="J1436"/>
      <c r="K1436"/>
      <c r="L1436"/>
      <c r="M1436"/>
      <c r="N1436"/>
      <c r="O1436"/>
    </row>
    <row r="1437" spans="6:15">
      <c r="F1437"/>
      <c r="G1437"/>
      <c r="H1437"/>
      <c r="I1437"/>
      <c r="J1437"/>
      <c r="K1437"/>
      <c r="L1437"/>
      <c r="M1437"/>
      <c r="N1437"/>
      <c r="O1437"/>
    </row>
    <row r="1438" spans="6:15">
      <c r="F1438"/>
      <c r="G1438"/>
      <c r="H1438"/>
      <c r="I1438"/>
      <c r="J1438"/>
      <c r="K1438"/>
      <c r="L1438"/>
      <c r="M1438"/>
      <c r="N1438"/>
      <c r="O1438"/>
    </row>
    <row r="1439" spans="6:15">
      <c r="F1439"/>
      <c r="G1439"/>
      <c r="H1439"/>
      <c r="I1439"/>
      <c r="J1439"/>
      <c r="K1439"/>
      <c r="L1439"/>
      <c r="M1439"/>
      <c r="N1439"/>
      <c r="O1439"/>
    </row>
    <row r="1440" spans="6:15">
      <c r="F1440"/>
      <c r="G1440"/>
      <c r="H1440"/>
      <c r="I1440"/>
      <c r="J1440"/>
      <c r="K1440"/>
      <c r="L1440"/>
      <c r="M1440"/>
      <c r="N1440"/>
      <c r="O1440"/>
    </row>
    <row r="1441" spans="6:15">
      <c r="F1441"/>
      <c r="G1441"/>
      <c r="H1441"/>
      <c r="I1441"/>
      <c r="J1441"/>
      <c r="K1441"/>
      <c r="L1441"/>
      <c r="M1441"/>
      <c r="N1441"/>
      <c r="O1441"/>
    </row>
    <row r="1442" spans="6:15">
      <c r="F1442"/>
      <c r="G1442"/>
      <c r="H1442"/>
      <c r="I1442"/>
      <c r="J1442"/>
      <c r="K1442"/>
      <c r="L1442"/>
      <c r="M1442"/>
      <c r="N1442"/>
      <c r="O1442"/>
    </row>
    <row r="1443" spans="6:15">
      <c r="F1443"/>
      <c r="G1443"/>
      <c r="H1443"/>
      <c r="I1443"/>
      <c r="J1443"/>
      <c r="K1443"/>
      <c r="L1443"/>
      <c r="M1443"/>
      <c r="N1443"/>
      <c r="O1443"/>
    </row>
    <row r="1444" spans="6:15">
      <c r="F1444"/>
      <c r="G1444"/>
      <c r="H1444"/>
      <c r="I1444"/>
      <c r="J1444"/>
      <c r="K1444"/>
      <c r="L1444"/>
      <c r="M1444"/>
      <c r="N1444"/>
      <c r="O1444"/>
    </row>
  </sheetData>
  <mergeCells count="8">
    <mergeCell ref="A15:F15"/>
    <mergeCell ref="A4:F4"/>
    <mergeCell ref="G4:I4"/>
    <mergeCell ref="J4:L4"/>
    <mergeCell ref="M4:O4"/>
    <mergeCell ref="G15:I15"/>
    <mergeCell ref="J15:L15"/>
    <mergeCell ref="M15:O15"/>
  </mergeCells>
  <hyperlinks>
    <hyperlink ref="P6" location="'Mixed conifer Even '!A1" display="View Details"/>
    <hyperlink ref="P7" location="'FuelsHealth Tmt at Yr40'!A1" display="View Details"/>
    <hyperlink ref="P8" location="'Even MixConT@40H@80U00'!A1" display="View Details"/>
    <hyperlink ref="P9" location="'MixCon Even T40H80U25'!A1" display="View Details"/>
    <hyperlink ref="P10" location="' MixCon Even T40H80U75'!A1" display="View Details"/>
    <hyperlink ref="P11" location="'Uneven Mixed Conifer'!A1" display="View Details"/>
    <hyperlink ref="P17" location="'Mixed conifer Even '!A1" display="View Details"/>
    <hyperlink ref="P18" location="'FuelsHealth Tmt at Yr40'!A1" display="View Details"/>
    <hyperlink ref="P19" location="'Even MixConT@40H@80U00'!A1" display="View Details"/>
    <hyperlink ref="P20" location="'MixCon Even T40H80U25'!A1" display="View Details"/>
    <hyperlink ref="P21" location="' MixCon Even T40H80U75'!A1" display="View Details"/>
    <hyperlink ref="P22" location="'Uneven Mixed Conifer'!A1" display="View Details"/>
  </hyperlink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 enableFormatConditionsCalculation="0"/>
  <dimension ref="A1:AP323"/>
  <sheetViews>
    <sheetView workbookViewId="0">
      <selection activeCell="B19" sqref="B19"/>
    </sheetView>
  </sheetViews>
  <sheetFormatPr baseColWidth="10" defaultColWidth="11.5" defaultRowHeight="12" x14ac:dyDescent="0"/>
  <cols>
    <col min="1" max="1" width="27.5" customWidth="1"/>
    <col min="2" max="2" width="9" style="19" customWidth="1"/>
    <col min="3" max="3" width="8.1640625" customWidth="1"/>
    <col min="4" max="4" width="12" customWidth="1"/>
    <col min="17" max="17" width="12.5" customWidth="1"/>
    <col min="21" max="21" width="4" customWidth="1"/>
    <col min="30" max="30" width="2.33203125" customWidth="1"/>
  </cols>
  <sheetData>
    <row r="1" spans="1:17">
      <c r="A1" t="s">
        <v>212</v>
      </c>
    </row>
    <row r="2" spans="1:17">
      <c r="A2" s="65" t="s">
        <v>22</v>
      </c>
      <c r="B2" s="65"/>
      <c r="C2" s="65"/>
      <c r="D2" s="65"/>
      <c r="E2" s="65"/>
      <c r="G2" s="306" t="s">
        <v>72</v>
      </c>
      <c r="H2" s="307"/>
      <c r="I2" s="307"/>
      <c r="J2" s="308"/>
    </row>
    <row r="3" spans="1:17" ht="14">
      <c r="A3" s="65" t="s">
        <v>101</v>
      </c>
      <c r="B3" s="66"/>
      <c r="C3" s="65"/>
      <c r="D3" s="65"/>
      <c r="E3" s="65"/>
      <c r="G3" s="61" t="s">
        <v>68</v>
      </c>
      <c r="H3" s="303" t="s">
        <v>100</v>
      </c>
      <c r="I3" s="304"/>
      <c r="J3" s="305"/>
      <c r="Q3" s="4"/>
    </row>
    <row r="4" spans="1:17" ht="14">
      <c r="A4" t="s">
        <v>107</v>
      </c>
      <c r="C4" s="15" t="s">
        <v>106</v>
      </c>
      <c r="E4" s="65"/>
      <c r="G4" s="67" t="s">
        <v>69</v>
      </c>
      <c r="H4" s="128" t="s">
        <v>99</v>
      </c>
      <c r="I4" s="129"/>
      <c r="J4" s="130"/>
      <c r="Q4" s="4"/>
    </row>
    <row r="5" spans="1:17" ht="14">
      <c r="A5" s="19"/>
      <c r="B5" s="76" t="s">
        <v>23</v>
      </c>
      <c r="C5" t="s">
        <v>24</v>
      </c>
      <c r="D5" t="s">
        <v>211</v>
      </c>
      <c r="G5" s="68" t="s">
        <v>70</v>
      </c>
      <c r="H5" s="128" t="s">
        <v>98</v>
      </c>
      <c r="I5" s="129"/>
      <c r="J5" s="130"/>
      <c r="Q5" s="4"/>
    </row>
    <row r="6" spans="1:17" ht="14">
      <c r="A6" s="117" t="s">
        <v>138</v>
      </c>
      <c r="B6" s="118">
        <v>121.4</v>
      </c>
      <c r="C6" s="117">
        <v>84.4</v>
      </c>
      <c r="G6" s="69" t="s">
        <v>71</v>
      </c>
      <c r="H6" s="128" t="s">
        <v>97</v>
      </c>
      <c r="I6" s="129"/>
      <c r="J6" s="130"/>
      <c r="Q6" s="4"/>
    </row>
    <row r="7" spans="1:17" ht="14">
      <c r="A7" s="116" t="s">
        <v>140</v>
      </c>
      <c r="B7" s="76"/>
      <c r="G7" s="70" t="s">
        <v>103</v>
      </c>
      <c r="H7" s="303" t="s">
        <v>96</v>
      </c>
      <c r="I7" s="304"/>
      <c r="J7" s="305"/>
      <c r="Q7" s="4"/>
    </row>
    <row r="8" spans="1:17" ht="14">
      <c r="A8" s="116" t="s">
        <v>6</v>
      </c>
      <c r="B8" s="27">
        <v>168.03</v>
      </c>
      <c r="C8" s="27">
        <v>110.94</v>
      </c>
      <c r="D8" s="160">
        <v>39.64</v>
      </c>
      <c r="Q8" s="4"/>
    </row>
    <row r="9" spans="1:17" ht="14">
      <c r="A9" s="116" t="s">
        <v>7</v>
      </c>
      <c r="B9" s="27">
        <v>0.02</v>
      </c>
      <c r="C9" s="27">
        <v>0.04</v>
      </c>
      <c r="D9" s="160">
        <v>0.04</v>
      </c>
      <c r="Q9" s="4"/>
    </row>
    <row r="10" spans="1:17" ht="14">
      <c r="A10" s="116" t="s">
        <v>8</v>
      </c>
      <c r="B10" s="27">
        <v>120.14</v>
      </c>
      <c r="C10" s="48">
        <v>77.91</v>
      </c>
      <c r="D10" s="160">
        <v>27.97</v>
      </c>
      <c r="Q10" s="4"/>
    </row>
    <row r="11" spans="1:17" s="40" customFormat="1" ht="14">
      <c r="A11" s="64" t="s">
        <v>132</v>
      </c>
      <c r="B11" s="27">
        <v>1374</v>
      </c>
      <c r="C11" s="48">
        <v>351</v>
      </c>
      <c r="D11" s="161">
        <v>241</v>
      </c>
      <c r="Q11" s="59"/>
    </row>
    <row r="12" spans="1:17" s="40" customFormat="1">
      <c r="A12" s="38" t="s">
        <v>234</v>
      </c>
      <c r="B12" s="74" t="s">
        <v>108</v>
      </c>
      <c r="C12" s="40" t="s">
        <v>109</v>
      </c>
      <c r="D12" s="36" t="s">
        <v>94</v>
      </c>
      <c r="E12" s="74" t="s">
        <v>134</v>
      </c>
      <c r="Q12" s="59"/>
    </row>
    <row r="13" spans="1:17" s="40" customFormat="1" ht="14">
      <c r="A13" s="24" t="s">
        <v>160</v>
      </c>
      <c r="B13" s="74">
        <v>0.72</v>
      </c>
      <c r="C13" s="77">
        <v>0.28000000000000003</v>
      </c>
      <c r="D13" s="36"/>
      <c r="E13" s="167" t="s">
        <v>161</v>
      </c>
      <c r="F13" s="168"/>
      <c r="G13" s="168"/>
      <c r="H13" s="168"/>
      <c r="I13" s="168"/>
      <c r="J13" s="168"/>
      <c r="K13" s="168"/>
      <c r="Q13" s="59"/>
    </row>
    <row r="14" spans="1:17" s="40" customFormat="1" ht="14">
      <c r="A14" s="36" t="s">
        <v>92</v>
      </c>
      <c r="B14" s="50">
        <v>0.25</v>
      </c>
      <c r="C14" s="77">
        <v>0</v>
      </c>
      <c r="D14" s="50">
        <v>0.75</v>
      </c>
      <c r="E14" s="169" t="s">
        <v>110</v>
      </c>
      <c r="F14" s="168"/>
      <c r="G14" s="168"/>
      <c r="H14" s="168"/>
      <c r="I14" s="168"/>
      <c r="J14" s="168"/>
      <c r="K14" s="168"/>
      <c r="Q14" s="59"/>
    </row>
    <row r="15" spans="1:17" s="40" customFormat="1" ht="14">
      <c r="A15" s="36" t="s">
        <v>93</v>
      </c>
      <c r="B15" s="50">
        <v>0.24</v>
      </c>
      <c r="C15" s="61">
        <v>0.75</v>
      </c>
      <c r="D15" s="40">
        <v>0.01</v>
      </c>
      <c r="E15" s="169" t="s">
        <v>235</v>
      </c>
      <c r="F15" s="168"/>
      <c r="G15" s="168"/>
      <c r="H15" s="168"/>
      <c r="I15" s="168"/>
      <c r="J15" s="168"/>
      <c r="K15" s="168"/>
      <c r="Q15" s="59"/>
    </row>
    <row r="16" spans="1:17" s="40" customFormat="1" ht="14">
      <c r="A16" s="120" t="s">
        <v>154</v>
      </c>
      <c r="B16" s="60"/>
      <c r="C16" s="30">
        <v>0.56999999999999995</v>
      </c>
      <c r="D16" s="30">
        <v>0.43</v>
      </c>
      <c r="E16" s="170" t="s">
        <v>156</v>
      </c>
      <c r="F16" s="168"/>
      <c r="G16" s="168"/>
      <c r="H16" s="168"/>
      <c r="I16" s="168"/>
      <c r="J16" s="168"/>
      <c r="K16" s="168"/>
      <c r="Q16" s="59"/>
    </row>
    <row r="17" spans="1:19" ht="14">
      <c r="A17" s="314" t="s">
        <v>90</v>
      </c>
      <c r="B17" s="316"/>
      <c r="C17" s="30"/>
      <c r="D17" s="30"/>
      <c r="E17" s="28"/>
      <c r="F17" s="28"/>
      <c r="G17" s="28"/>
      <c r="Q17" s="4"/>
    </row>
    <row r="18" spans="1:19" ht="25">
      <c r="A18" s="57" t="s">
        <v>113</v>
      </c>
      <c r="B18" s="57" t="s">
        <v>73</v>
      </c>
      <c r="C18" s="103" t="s">
        <v>67</v>
      </c>
      <c r="D18" s="30"/>
      <c r="Q18" s="4"/>
    </row>
    <row r="19" spans="1:19" ht="14">
      <c r="A19" s="173" t="s">
        <v>242</v>
      </c>
      <c r="B19" s="181">
        <f>SUM(C78:C198)</f>
        <v>6768.605372308004</v>
      </c>
      <c r="C19" s="176">
        <f>B19/120</f>
        <v>56.405044769233363</v>
      </c>
      <c r="D19" s="30"/>
      <c r="Q19" s="4"/>
    </row>
    <row r="20" spans="1:19" ht="14">
      <c r="A20" s="24" t="s">
        <v>58</v>
      </c>
      <c r="B20" s="75">
        <f>SUM(C78:C238)</f>
        <v>12322.529666674971</v>
      </c>
      <c r="C20" s="56">
        <f>B20/160</f>
        <v>77.015810416718566</v>
      </c>
      <c r="D20" s="30"/>
      <c r="Q20" s="4"/>
    </row>
    <row r="21" spans="1:19" ht="14">
      <c r="A21" s="24" t="s">
        <v>59</v>
      </c>
      <c r="B21" s="75">
        <f>SUM(C78:C318)</f>
        <v>24972.641927961311</v>
      </c>
      <c r="C21" s="56">
        <f>B21/240</f>
        <v>104.05267469983879</v>
      </c>
      <c r="D21" s="30"/>
      <c r="Q21" s="4"/>
    </row>
    <row r="22" spans="1:19">
      <c r="B22"/>
      <c r="Q22" s="4"/>
    </row>
    <row r="23" spans="1:19" s="1" customFormat="1" ht="24">
      <c r="A23" s="103" t="s">
        <v>120</v>
      </c>
      <c r="B23" s="103" t="s">
        <v>73</v>
      </c>
      <c r="C23" s="103" t="s">
        <v>67</v>
      </c>
      <c r="D23" s="103" t="s">
        <v>91</v>
      </c>
      <c r="E23" s="1" t="s">
        <v>243</v>
      </c>
      <c r="Q23" s="104"/>
    </row>
    <row r="24" spans="1:19" s="1" customFormat="1" ht="24">
      <c r="A24" s="174" t="s">
        <v>241</v>
      </c>
      <c r="B24" s="179">
        <f>SUM(C78:C158)+(SUM(AH78:AO198))</f>
        <v>7805.4311543601007</v>
      </c>
      <c r="C24" s="176">
        <f>B24/120</f>
        <v>65.045259619667505</v>
      </c>
      <c r="D24" s="177">
        <f>C24/C19</f>
        <v>1.1531815972451285</v>
      </c>
      <c r="E24" s="182">
        <f>(D24-D25)/D$25</f>
        <v>-2.7288684611052608E-2</v>
      </c>
      <c r="Q24" s="104"/>
    </row>
    <row r="25" spans="1:19" ht="14">
      <c r="A25" s="24" t="s">
        <v>111</v>
      </c>
      <c r="B25" s="75">
        <f>SUM(C78:C158)+SUM(AH78:AO238)</f>
        <v>14608.768519809684</v>
      </c>
      <c r="C25" s="56">
        <f>B25/160</f>
        <v>91.304803248810529</v>
      </c>
      <c r="D25" s="69">
        <f>B25/B20</f>
        <v>1.1855332399253713</v>
      </c>
      <c r="E25" s="22"/>
      <c r="Q25" s="4"/>
    </row>
    <row r="26" spans="1:19" ht="14">
      <c r="A26" s="24" t="s">
        <v>112</v>
      </c>
      <c r="B26" s="75">
        <f>SUM(AG78:AG158)+(SUM(AH78:AO318))</f>
        <v>32167.790523689811</v>
      </c>
      <c r="C26" s="56">
        <f>B26/240</f>
        <v>134.03246051537423</v>
      </c>
      <c r="D26" s="69">
        <f>B26/B21</f>
        <v>1.2881212414963694</v>
      </c>
      <c r="E26" s="22">
        <f>(D26-D25)/D$25</f>
        <v>8.6533214013852527E-2</v>
      </c>
      <c r="F26" s="28"/>
      <c r="G26" s="28"/>
      <c r="H26" s="31"/>
      <c r="Q26" s="4"/>
    </row>
    <row r="27" spans="1:19" s="40" customFormat="1" ht="14">
      <c r="A27" s="28"/>
      <c r="B27" s="31"/>
      <c r="C27" s="31"/>
      <c r="D27" s="58"/>
      <c r="F27" s="28"/>
      <c r="G27" s="28"/>
      <c r="H27" s="31"/>
      <c r="Q27" s="59"/>
    </row>
    <row r="28" spans="1:19" s="40" customFormat="1" ht="14">
      <c r="A28" s="63" t="s">
        <v>224</v>
      </c>
      <c r="B28" s="31"/>
      <c r="C28" s="62"/>
      <c r="G28" s="28"/>
      <c r="Q28" s="59"/>
    </row>
    <row r="29" spans="1:19" ht="48">
      <c r="A29" s="39" t="s">
        <v>89</v>
      </c>
      <c r="B29" s="39" t="s">
        <v>222</v>
      </c>
      <c r="C29" s="39" t="s">
        <v>220</v>
      </c>
      <c r="D29" s="39" t="s">
        <v>178</v>
      </c>
      <c r="E29" s="39" t="s">
        <v>127</v>
      </c>
      <c r="F29" s="39" t="s">
        <v>115</v>
      </c>
      <c r="G29" s="103" t="s">
        <v>116</v>
      </c>
      <c r="I29" s="28"/>
      <c r="S29" s="4"/>
    </row>
    <row r="30" spans="1:19" ht="25">
      <c r="A30" s="106" t="s">
        <v>240</v>
      </c>
      <c r="B30" s="75">
        <f>((SUM(AH78:AH198))+(SUM(AG78:AG158))+(SUM(AI78:AI198)))/120</f>
        <v>33.975734268780442</v>
      </c>
      <c r="C30" s="75">
        <f>((SUM(AL78:AL198)))/120</f>
        <v>10.728401952208829</v>
      </c>
      <c r="D30" s="75">
        <f>((SUM(AJ78:AJ198))+(SUM(AK78:AK198))+(SUM(AN78:AN198)))/120</f>
        <v>9.3941761885794843</v>
      </c>
      <c r="E30" s="75">
        <f>(SUM(AM78:AM198))/120</f>
        <v>2.5540471538451408</v>
      </c>
      <c r="F30" s="75">
        <f>(SUM(AO78:AO198))/120</f>
        <v>8.3929000562537137</v>
      </c>
      <c r="G30" s="102">
        <f>SUM(B30:F30)</f>
        <v>65.045259619667604</v>
      </c>
      <c r="I30" s="28"/>
      <c r="S30" s="4"/>
    </row>
    <row r="31" spans="1:19" ht="14">
      <c r="A31" s="74" t="s">
        <v>105</v>
      </c>
      <c r="B31" s="75">
        <f>((SUM(AH78:AH238))+(SUM(AG78:AG158))+(SUM(AI78:AI238)))/160</f>
        <v>46.837877020337736</v>
      </c>
      <c r="C31" s="75">
        <f>((SUM(AL78:AL238)))/160</f>
        <v>12.018122925868896</v>
      </c>
      <c r="D31" s="75">
        <f>((SUM(AJ78:AJ238))+(SUM(AK78:AK238)+(SUM(AN78:AN238))))/160</f>
        <v>14.346518683925591</v>
      </c>
      <c r="E31" s="75">
        <f>(SUM(AM78:AM238))/160</f>
        <v>5.9941310312273774</v>
      </c>
      <c r="F31" s="75">
        <f>(SUM(AO78:AO238))/160</f>
        <v>12.108153587451092</v>
      </c>
      <c r="G31" s="102">
        <f>SUM(B31:F31)</f>
        <v>91.304803248810686</v>
      </c>
      <c r="I31" s="28"/>
      <c r="J31" s="31"/>
      <c r="S31" s="4"/>
    </row>
    <row r="32" spans="1:19" ht="14">
      <c r="A32" s="74" t="s">
        <v>104</v>
      </c>
      <c r="B32" s="75">
        <f>((SUM(AH78:AH318))+(SUM(AG78:AG158))+(SUM(AI78:AI318)))/240</f>
        <v>51.745671545506369</v>
      </c>
      <c r="C32" s="75">
        <f>((SUM(AL78:AL318)))/240</f>
        <v>18.65217542474814</v>
      </c>
      <c r="D32" s="101">
        <f>(SUM(AJ78:AJ318)+(SUM(AK78:AK318))+(SUM(AN78:AN318)))/240</f>
        <v>28.262897438090665</v>
      </c>
      <c r="E32" s="101">
        <f>((SUM(AM78:AM318)))/240</f>
        <v>15.247929124718418</v>
      </c>
      <c r="F32" s="101">
        <f>(SUM(AO78:AO318))/240</f>
        <v>20.123786982310573</v>
      </c>
      <c r="G32" s="102">
        <f>SUM(B32:F32)</f>
        <v>134.03246051537417</v>
      </c>
      <c r="I32" s="28"/>
      <c r="J32" s="31"/>
      <c r="S32" s="4"/>
    </row>
    <row r="33" spans="1:41" ht="14">
      <c r="A33" s="28"/>
      <c r="B33" s="29"/>
      <c r="C33" s="29"/>
      <c r="D33" s="30"/>
      <c r="E33" s="30"/>
      <c r="F33" s="30"/>
      <c r="G33" s="114"/>
      <c r="H33" s="28"/>
      <c r="I33" s="28"/>
      <c r="J33" s="31"/>
    </row>
    <row r="34" spans="1:41" ht="49">
      <c r="A34" s="39" t="s">
        <v>89</v>
      </c>
      <c r="B34" s="39" t="s">
        <v>222</v>
      </c>
      <c r="C34" s="39" t="s">
        <v>220</v>
      </c>
      <c r="D34" s="39" t="s">
        <v>178</v>
      </c>
      <c r="E34" s="39" t="s">
        <v>127</v>
      </c>
      <c r="F34" s="39" t="s">
        <v>115</v>
      </c>
      <c r="G34" s="103" t="s">
        <v>116</v>
      </c>
      <c r="H34" s="28"/>
      <c r="I34" s="28"/>
      <c r="J34" s="31"/>
    </row>
    <row r="35" spans="1:41" ht="25">
      <c r="A35" s="106" t="s">
        <v>240</v>
      </c>
      <c r="B35" s="105">
        <f t="shared" ref="B35:G35" si="0">B30/$G30</f>
        <v>0.52233989790252555</v>
      </c>
      <c r="C35" s="105">
        <f t="shared" si="0"/>
        <v>0.16493749144733835</v>
      </c>
      <c r="D35" s="105">
        <f t="shared" si="0"/>
        <v>0.14442522396726643</v>
      </c>
      <c r="E35" s="105">
        <f t="shared" si="0"/>
        <v>3.9265692362197575E-2</v>
      </c>
      <c r="F35" s="105">
        <f t="shared" si="0"/>
        <v>0.12903169432067221</v>
      </c>
      <c r="G35" s="105">
        <f t="shared" si="0"/>
        <v>1</v>
      </c>
      <c r="H35" s="28"/>
      <c r="I35" s="28"/>
      <c r="J35" s="31"/>
    </row>
    <row r="36" spans="1:41">
      <c r="A36" s="74" t="s">
        <v>105</v>
      </c>
      <c r="B36" s="105">
        <f t="shared" ref="B36:G37" si="1">B31/$G31</f>
        <v>0.51298371338364213</v>
      </c>
      <c r="C36" s="105">
        <f t="shared" si="1"/>
        <v>0.13162640406900436</v>
      </c>
      <c r="D36" s="105">
        <f t="shared" si="1"/>
        <v>0.1571277542193539</v>
      </c>
      <c r="E36" s="105">
        <f t="shared" si="1"/>
        <v>6.5649679074309325E-2</v>
      </c>
      <c r="F36" s="105">
        <f t="shared" si="1"/>
        <v>0.1326124492536904</v>
      </c>
      <c r="G36" s="105">
        <f t="shared" si="1"/>
        <v>1</v>
      </c>
      <c r="H36" s="28"/>
      <c r="I36" s="28"/>
      <c r="J36" s="28"/>
    </row>
    <row r="37" spans="1:41">
      <c r="A37" s="74" t="s">
        <v>104</v>
      </c>
      <c r="B37" s="105">
        <f t="shared" si="1"/>
        <v>0.38606820576550477</v>
      </c>
      <c r="C37" s="105">
        <f t="shared" si="1"/>
        <v>0.13916162810880164</v>
      </c>
      <c r="D37" s="105">
        <f t="shared" si="1"/>
        <v>0.21086606430573415</v>
      </c>
      <c r="E37" s="105">
        <f t="shared" si="1"/>
        <v>0.11376295761555021</v>
      </c>
      <c r="F37" s="105">
        <f t="shared" si="1"/>
        <v>0.15014114420440919</v>
      </c>
      <c r="G37" s="105">
        <f t="shared" si="1"/>
        <v>1</v>
      </c>
    </row>
    <row r="38" spans="1:41">
      <c r="W38" s="2"/>
    </row>
    <row r="39" spans="1:41">
      <c r="A39" t="s">
        <v>162</v>
      </c>
      <c r="C39" s="22">
        <v>0.4</v>
      </c>
      <c r="W39" s="22"/>
      <c r="X39" s="22"/>
    </row>
    <row r="40" spans="1:41" ht="14">
      <c r="A40" t="s">
        <v>129</v>
      </c>
      <c r="C40" s="3"/>
      <c r="D40" s="22">
        <f>D14</f>
        <v>0.75</v>
      </c>
      <c r="E40" s="3"/>
      <c r="F40" s="22">
        <f>B14</f>
        <v>0.25</v>
      </c>
      <c r="G40" s="3"/>
      <c r="H40" s="3"/>
      <c r="I40" s="3"/>
      <c r="J40" s="3"/>
      <c r="K40" s="3"/>
      <c r="L40" s="3"/>
      <c r="M40" s="107">
        <f>D14</f>
        <v>0.75</v>
      </c>
      <c r="O40" s="107">
        <f>B14</f>
        <v>0.25</v>
      </c>
      <c r="Q40" s="3"/>
      <c r="S40" s="2"/>
      <c r="V40" s="109">
        <f>D14</f>
        <v>0.75</v>
      </c>
      <c r="X40" s="109">
        <f>B14</f>
        <v>0.25</v>
      </c>
      <c r="AH40" s="109">
        <f>D14</f>
        <v>0.75</v>
      </c>
      <c r="AJ40" s="109">
        <f>B14</f>
        <v>0.25</v>
      </c>
    </row>
    <row r="41" spans="1:41" ht="14">
      <c r="A41" t="s">
        <v>130</v>
      </c>
      <c r="C41" s="3"/>
      <c r="D41" s="3"/>
      <c r="E41" s="3"/>
      <c r="F41" s="3"/>
      <c r="G41" s="22">
        <f>B15</f>
        <v>0.24</v>
      </c>
      <c r="H41" s="22">
        <f>C15</f>
        <v>0.75</v>
      </c>
      <c r="I41" s="3"/>
      <c r="J41" s="3"/>
      <c r="K41" s="3"/>
      <c r="L41" s="3"/>
      <c r="P41" s="108">
        <f>B15</f>
        <v>0.24</v>
      </c>
      <c r="Q41" s="108">
        <f>C15</f>
        <v>0.75</v>
      </c>
      <c r="S41" s="2"/>
      <c r="T41" s="2"/>
      <c r="U41" s="4"/>
      <c r="X41" s="110"/>
      <c r="Y41" s="108">
        <f>B15</f>
        <v>0.24</v>
      </c>
      <c r="Z41" s="109">
        <f>C15</f>
        <v>0.75</v>
      </c>
      <c r="AJ41" s="110"/>
      <c r="AK41" s="108">
        <f>B15</f>
        <v>0.24</v>
      </c>
      <c r="AL41" s="109">
        <f>C15</f>
        <v>0.75</v>
      </c>
    </row>
    <row r="42" spans="1:41" ht="14">
      <c r="A42" t="s">
        <v>153</v>
      </c>
      <c r="C42" s="3"/>
      <c r="D42" s="3"/>
      <c r="E42" s="3"/>
      <c r="F42" s="3"/>
      <c r="G42" s="3"/>
      <c r="H42" s="3"/>
      <c r="I42" s="3"/>
      <c r="J42" s="3"/>
      <c r="K42" s="22">
        <f>C16</f>
        <v>0.56999999999999995</v>
      </c>
      <c r="L42" s="3"/>
      <c r="P42" s="108"/>
      <c r="Q42" s="108"/>
      <c r="S42" s="2"/>
      <c r="T42" s="119">
        <f>C16</f>
        <v>0.56999999999999995</v>
      </c>
      <c r="U42" s="4"/>
      <c r="X42" s="110"/>
      <c r="Y42" s="108"/>
      <c r="Z42" s="109"/>
      <c r="AC42" s="119">
        <f>C16</f>
        <v>0.56999999999999995</v>
      </c>
      <c r="AJ42" s="110"/>
      <c r="AK42" s="108"/>
      <c r="AL42" s="109"/>
      <c r="AO42" s="119">
        <f>C16</f>
        <v>0.56999999999999995</v>
      </c>
    </row>
    <row r="43" spans="1:41" ht="14">
      <c r="C43" s="3"/>
      <c r="D43" s="3"/>
      <c r="E43" s="3"/>
      <c r="F43" s="3"/>
      <c r="G43" s="3"/>
      <c r="H43" s="3"/>
      <c r="I43" s="3"/>
      <c r="J43" s="3"/>
      <c r="K43" s="22"/>
      <c r="L43" s="3"/>
      <c r="P43" s="108"/>
      <c r="Q43" s="108"/>
      <c r="S43" s="2"/>
      <c r="T43" s="119"/>
      <c r="U43" s="4"/>
      <c r="X43" s="110"/>
      <c r="Y43" s="108"/>
      <c r="Z43" s="109"/>
      <c r="AC43" s="119"/>
      <c r="AJ43" s="110"/>
      <c r="AK43" s="108"/>
      <c r="AL43" s="109"/>
      <c r="AO43" s="119"/>
    </row>
    <row r="44" spans="1:41" ht="14">
      <c r="C44" s="3"/>
      <c r="D44" s="3"/>
      <c r="E44" s="3"/>
      <c r="F44" s="3"/>
      <c r="G44" s="3"/>
      <c r="H44" s="3"/>
      <c r="I44" s="3"/>
      <c r="J44" s="3"/>
      <c r="K44" s="22"/>
      <c r="L44" s="3"/>
      <c r="P44" s="108"/>
      <c r="Q44" s="108"/>
      <c r="S44" s="2"/>
      <c r="T44" s="119"/>
      <c r="U44" s="4"/>
      <c r="X44" s="110"/>
      <c r="Y44" s="108"/>
      <c r="Z44" s="109"/>
      <c r="AC44" s="119"/>
      <c r="AJ44" s="110"/>
      <c r="AK44" s="108"/>
      <c r="AL44" s="109"/>
      <c r="AO44" s="119"/>
    </row>
    <row r="45" spans="1:41" ht="14">
      <c r="C45" s="3"/>
      <c r="D45" s="3"/>
      <c r="E45" s="3"/>
      <c r="F45" s="3"/>
      <c r="G45" s="3"/>
      <c r="H45" s="3"/>
      <c r="I45" s="3"/>
      <c r="J45" s="3"/>
      <c r="K45" s="22"/>
      <c r="L45" s="3"/>
      <c r="P45" s="108"/>
      <c r="Q45" s="108"/>
      <c r="S45" s="2"/>
      <c r="T45" s="119"/>
      <c r="U45" s="4"/>
      <c r="X45" s="110"/>
      <c r="Y45" s="108"/>
      <c r="Z45" s="109"/>
      <c r="AC45" s="119"/>
      <c r="AJ45" s="110"/>
      <c r="AK45" s="108"/>
      <c r="AL45" s="109"/>
      <c r="AO45" s="119"/>
    </row>
    <row r="46" spans="1:41" ht="14">
      <c r="C46" s="3"/>
      <c r="D46" s="3"/>
      <c r="E46" s="3"/>
      <c r="F46" s="3"/>
      <c r="G46" s="3"/>
      <c r="H46" s="3"/>
      <c r="I46" s="3"/>
      <c r="J46" s="3"/>
      <c r="K46" s="22"/>
      <c r="L46" s="3"/>
      <c r="P46" s="108"/>
      <c r="Q46" s="108"/>
      <c r="S46" s="2"/>
      <c r="T46" s="119"/>
      <c r="U46" s="4"/>
      <c r="X46" s="110"/>
      <c r="Y46" s="108"/>
      <c r="Z46" s="109"/>
      <c r="AC46" s="119"/>
      <c r="AJ46" s="110"/>
      <c r="AK46" s="108"/>
      <c r="AL46" s="109"/>
      <c r="AO46" s="119"/>
    </row>
    <row r="47" spans="1:41" ht="14">
      <c r="C47" s="3"/>
      <c r="D47" s="3"/>
      <c r="E47" s="3"/>
      <c r="F47" s="3"/>
      <c r="G47" s="3"/>
      <c r="H47" s="3"/>
      <c r="I47" s="3"/>
      <c r="J47" s="3"/>
      <c r="K47" s="22"/>
      <c r="L47" s="3"/>
      <c r="P47" s="108"/>
      <c r="Q47" s="108"/>
      <c r="S47" s="2"/>
      <c r="T47" s="119"/>
      <c r="U47" s="4"/>
      <c r="X47" s="110"/>
      <c r="Y47" s="108"/>
      <c r="Z47" s="109"/>
      <c r="AC47" s="119"/>
      <c r="AJ47" s="110"/>
      <c r="AK47" s="108"/>
      <c r="AL47" s="109"/>
      <c r="AO47" s="119"/>
    </row>
    <row r="48" spans="1:41" ht="14">
      <c r="B48"/>
      <c r="C48" s="3"/>
      <c r="D48" s="3"/>
      <c r="E48" s="3"/>
      <c r="F48" s="3"/>
      <c r="G48" s="3"/>
      <c r="H48" s="3"/>
      <c r="I48" s="3"/>
      <c r="J48" s="3"/>
      <c r="K48" s="22"/>
      <c r="L48" s="3"/>
      <c r="P48" s="108"/>
      <c r="Q48" s="108"/>
      <c r="S48" s="2"/>
      <c r="T48" s="119"/>
      <c r="U48" s="4"/>
      <c r="X48" s="110"/>
      <c r="Y48" s="108"/>
      <c r="Z48" s="109"/>
      <c r="AC48" s="119"/>
      <c r="AJ48" s="110"/>
      <c r="AK48" s="108"/>
      <c r="AL48" s="109"/>
      <c r="AO48" s="119"/>
    </row>
    <row r="49" spans="2:41" ht="14">
      <c r="B49"/>
      <c r="C49" s="3"/>
      <c r="D49" s="3"/>
      <c r="E49" s="3"/>
      <c r="F49" s="3"/>
      <c r="G49" s="3"/>
      <c r="H49" s="3"/>
      <c r="I49" s="3"/>
      <c r="J49" s="3"/>
      <c r="K49" s="22"/>
      <c r="L49" s="3"/>
      <c r="P49" s="108"/>
      <c r="Q49" s="108"/>
      <c r="S49" s="2"/>
      <c r="T49" s="119"/>
      <c r="U49" s="4"/>
      <c r="X49" s="110"/>
      <c r="Y49" s="108"/>
      <c r="Z49" s="109"/>
      <c r="AC49" s="119"/>
      <c r="AJ49" s="110"/>
      <c r="AK49" s="108"/>
      <c r="AL49" s="109"/>
      <c r="AO49" s="119"/>
    </row>
    <row r="50" spans="2:41" ht="14">
      <c r="B50"/>
      <c r="C50" s="3"/>
      <c r="D50" s="3"/>
      <c r="E50" s="3"/>
      <c r="F50" s="3"/>
      <c r="G50" s="3"/>
      <c r="H50" s="3"/>
      <c r="I50" s="3"/>
      <c r="J50" s="3"/>
      <c r="K50" s="22"/>
      <c r="L50" s="3"/>
      <c r="P50" s="108"/>
      <c r="Q50" s="108"/>
      <c r="S50" s="2"/>
      <c r="T50" s="119"/>
      <c r="U50" s="4"/>
      <c r="X50" s="110"/>
      <c r="Y50" s="108"/>
      <c r="Z50" s="109"/>
      <c r="AC50" s="119"/>
      <c r="AJ50" s="110"/>
      <c r="AK50" s="108"/>
      <c r="AL50" s="109"/>
      <c r="AO50" s="119"/>
    </row>
    <row r="51" spans="2:41" ht="14">
      <c r="B51"/>
      <c r="C51" s="3"/>
      <c r="D51" s="3"/>
      <c r="E51" s="3"/>
      <c r="F51" s="3"/>
      <c r="G51" s="3"/>
      <c r="H51" s="3"/>
      <c r="I51" s="3"/>
      <c r="J51" s="3"/>
      <c r="K51" s="22"/>
      <c r="L51" s="3"/>
      <c r="P51" s="108"/>
      <c r="Q51" s="108"/>
      <c r="S51" s="2"/>
      <c r="T51" s="119"/>
      <c r="U51" s="4"/>
      <c r="X51" s="110"/>
      <c r="Y51" s="108"/>
      <c r="Z51" s="109"/>
      <c r="AC51" s="119"/>
      <c r="AJ51" s="110"/>
      <c r="AK51" s="108"/>
      <c r="AL51" s="109"/>
      <c r="AO51" s="119"/>
    </row>
    <row r="52" spans="2:41" ht="14">
      <c r="B52"/>
      <c r="C52" s="3"/>
      <c r="D52" s="3"/>
      <c r="E52" s="3"/>
      <c r="F52" s="3"/>
      <c r="G52" s="3"/>
      <c r="H52" s="3"/>
      <c r="I52" s="3"/>
      <c r="J52" s="3"/>
      <c r="K52" s="22"/>
      <c r="L52" s="3"/>
      <c r="P52" s="108"/>
      <c r="Q52" s="108"/>
      <c r="S52" s="2"/>
      <c r="T52" s="119"/>
      <c r="U52" s="4"/>
      <c r="X52" s="110"/>
      <c r="Y52" s="108"/>
      <c r="Z52" s="109"/>
      <c r="AC52" s="119"/>
      <c r="AJ52" s="110"/>
      <c r="AK52" s="108"/>
      <c r="AL52" s="109"/>
      <c r="AO52" s="119"/>
    </row>
    <row r="53" spans="2:41" ht="14">
      <c r="B53"/>
      <c r="C53" s="3"/>
      <c r="D53" s="3"/>
      <c r="E53" s="3"/>
      <c r="F53" s="3"/>
      <c r="G53" s="3"/>
      <c r="H53" s="3"/>
      <c r="I53" s="3"/>
      <c r="J53" s="3"/>
      <c r="K53" s="22"/>
      <c r="L53" s="3"/>
      <c r="P53" s="108"/>
      <c r="Q53" s="108"/>
      <c r="S53" s="2"/>
      <c r="T53" s="119"/>
      <c r="U53" s="4"/>
      <c r="X53" s="110"/>
      <c r="Y53" s="108"/>
      <c r="Z53" s="109"/>
      <c r="AC53" s="119"/>
      <c r="AJ53" s="110"/>
      <c r="AK53" s="108"/>
      <c r="AL53" s="109"/>
      <c r="AO53" s="119"/>
    </row>
    <row r="54" spans="2:41" ht="14">
      <c r="B54"/>
      <c r="C54" s="3"/>
      <c r="D54" s="3"/>
      <c r="E54" s="3"/>
      <c r="F54" s="3"/>
      <c r="G54" s="3"/>
      <c r="H54" s="3"/>
      <c r="I54" s="3"/>
      <c r="J54" s="3"/>
      <c r="K54" s="22"/>
      <c r="L54" s="3"/>
      <c r="P54" s="108"/>
      <c r="Q54" s="108"/>
      <c r="S54" s="2"/>
      <c r="T54" s="119"/>
      <c r="U54" s="4"/>
      <c r="X54" s="110"/>
      <c r="Y54" s="108"/>
      <c r="Z54" s="109"/>
      <c r="AC54" s="119"/>
      <c r="AJ54" s="110"/>
      <c r="AK54" s="108"/>
      <c r="AL54" s="109"/>
      <c r="AO54" s="119"/>
    </row>
    <row r="55" spans="2:41" ht="14">
      <c r="B55"/>
      <c r="C55" s="3"/>
      <c r="D55" s="3"/>
      <c r="E55" s="3"/>
      <c r="F55" s="3"/>
      <c r="G55" s="3"/>
      <c r="H55" s="3"/>
      <c r="I55" s="3"/>
      <c r="J55" s="3"/>
      <c r="K55" s="22"/>
      <c r="L55" s="3"/>
      <c r="P55" s="108"/>
      <c r="Q55" s="108"/>
      <c r="S55" s="2"/>
      <c r="T55" s="119"/>
      <c r="U55" s="4"/>
      <c r="X55" s="110"/>
      <c r="Y55" s="108"/>
      <c r="Z55" s="109"/>
      <c r="AC55" s="119"/>
      <c r="AJ55" s="110"/>
      <c r="AK55" s="108"/>
      <c r="AL55" s="109"/>
      <c r="AO55" s="119"/>
    </row>
    <row r="56" spans="2:41" ht="14">
      <c r="B56"/>
      <c r="C56" s="3"/>
      <c r="D56" s="3"/>
      <c r="E56" s="3"/>
      <c r="F56" s="3"/>
      <c r="G56" s="3"/>
      <c r="H56" s="3"/>
      <c r="I56" s="3"/>
      <c r="J56" s="3"/>
      <c r="K56" s="22"/>
      <c r="L56" s="3"/>
      <c r="P56" s="108"/>
      <c r="Q56" s="108"/>
      <c r="S56" s="2"/>
      <c r="T56" s="119"/>
      <c r="U56" s="4"/>
      <c r="X56" s="110"/>
      <c r="Y56" s="108"/>
      <c r="Z56" s="109"/>
      <c r="AC56" s="119"/>
      <c r="AJ56" s="110"/>
      <c r="AK56" s="108"/>
      <c r="AL56" s="109"/>
      <c r="AO56" s="119"/>
    </row>
    <row r="57" spans="2:41" ht="14">
      <c r="B57"/>
      <c r="C57" s="3"/>
      <c r="D57" s="3"/>
      <c r="E57" s="3"/>
      <c r="F57" s="3"/>
      <c r="G57" s="3"/>
      <c r="H57" s="3"/>
      <c r="I57" s="3"/>
      <c r="J57" s="3"/>
      <c r="K57" s="22"/>
      <c r="L57" s="3"/>
      <c r="P57" s="108"/>
      <c r="Q57" s="108"/>
      <c r="S57" s="2"/>
      <c r="T57" s="119"/>
      <c r="U57" s="4"/>
      <c r="X57" s="110"/>
      <c r="Y57" s="108"/>
      <c r="Z57" s="109"/>
      <c r="AC57" s="119"/>
      <c r="AJ57" s="110"/>
      <c r="AK57" s="108"/>
      <c r="AL57" s="109"/>
      <c r="AO57" s="119"/>
    </row>
    <row r="58" spans="2:41" ht="14">
      <c r="B58"/>
      <c r="C58" s="3"/>
      <c r="D58" s="3"/>
      <c r="E58" s="3"/>
      <c r="F58" s="3"/>
      <c r="G58" s="3"/>
      <c r="H58" s="3"/>
      <c r="I58" s="3"/>
      <c r="J58" s="3"/>
      <c r="K58" s="22"/>
      <c r="L58" s="3"/>
      <c r="P58" s="108"/>
      <c r="Q58" s="108"/>
      <c r="S58" s="2"/>
      <c r="T58" s="119"/>
      <c r="U58" s="4"/>
      <c r="X58" s="110"/>
      <c r="Y58" s="108"/>
      <c r="Z58" s="109"/>
      <c r="AC58" s="119"/>
      <c r="AJ58" s="110"/>
      <c r="AK58" s="108"/>
      <c r="AL58" s="109"/>
      <c r="AO58" s="119"/>
    </row>
    <row r="59" spans="2:41" ht="14">
      <c r="B59"/>
      <c r="C59" s="3"/>
      <c r="D59" s="3"/>
      <c r="E59" s="3"/>
      <c r="F59" s="3"/>
      <c r="G59" s="3"/>
      <c r="H59" s="3"/>
      <c r="I59" s="3"/>
      <c r="J59" s="3"/>
      <c r="K59" s="22"/>
      <c r="L59" s="3"/>
      <c r="P59" s="108"/>
      <c r="Q59" s="108"/>
      <c r="S59" s="2"/>
      <c r="T59" s="119"/>
      <c r="U59" s="4"/>
      <c r="X59" s="110"/>
      <c r="Y59" s="108"/>
      <c r="Z59" s="109"/>
      <c r="AC59" s="119"/>
      <c r="AJ59" s="110"/>
      <c r="AK59" s="108"/>
      <c r="AL59" s="109"/>
      <c r="AO59" s="119"/>
    </row>
    <row r="60" spans="2:41" ht="14">
      <c r="B60"/>
      <c r="C60" s="3"/>
      <c r="D60" s="3"/>
      <c r="E60" s="3"/>
      <c r="F60" s="3"/>
      <c r="G60" s="3"/>
      <c r="H60" s="3"/>
      <c r="I60" s="3"/>
      <c r="J60" s="3"/>
      <c r="K60" s="22"/>
      <c r="L60" s="3"/>
      <c r="P60" s="108"/>
      <c r="Q60" s="108"/>
      <c r="S60" s="2"/>
      <c r="T60" s="119"/>
      <c r="U60" s="4"/>
      <c r="X60" s="110"/>
      <c r="Y60" s="108"/>
      <c r="Z60" s="109"/>
      <c r="AC60" s="119"/>
      <c r="AJ60" s="110"/>
      <c r="AK60" s="108"/>
      <c r="AL60" s="109"/>
      <c r="AO60" s="119"/>
    </row>
    <row r="61" spans="2:41" ht="14">
      <c r="B61"/>
      <c r="C61" s="3"/>
      <c r="D61" s="3"/>
      <c r="E61" s="3"/>
      <c r="F61" s="3"/>
      <c r="G61" s="3"/>
      <c r="H61" s="3"/>
      <c r="I61" s="3"/>
      <c r="J61" s="3"/>
      <c r="K61" s="22"/>
      <c r="L61" s="3"/>
      <c r="P61" s="108"/>
      <c r="Q61" s="108"/>
      <c r="S61" s="2"/>
      <c r="T61" s="119"/>
      <c r="U61" s="4"/>
      <c r="X61" s="110"/>
      <c r="Y61" s="108"/>
      <c r="Z61" s="109"/>
      <c r="AC61" s="119"/>
      <c r="AJ61" s="110"/>
      <c r="AK61" s="108"/>
      <c r="AL61" s="109"/>
      <c r="AO61" s="119"/>
    </row>
    <row r="62" spans="2:41" ht="14">
      <c r="B62"/>
      <c r="C62" s="3"/>
      <c r="D62" s="3"/>
      <c r="E62" s="3"/>
      <c r="F62" s="3"/>
      <c r="G62" s="3"/>
      <c r="H62" s="3"/>
      <c r="I62" s="3"/>
      <c r="J62" s="3"/>
      <c r="K62" s="22"/>
      <c r="L62" s="3"/>
      <c r="P62" s="108"/>
      <c r="Q62" s="108"/>
      <c r="S62" s="2"/>
      <c r="T62" s="119"/>
      <c r="U62" s="4"/>
      <c r="X62" s="110"/>
      <c r="Y62" s="108"/>
      <c r="Z62" s="109"/>
      <c r="AC62" s="119"/>
      <c r="AJ62" s="110"/>
      <c r="AK62" s="108"/>
      <c r="AL62" s="109"/>
      <c r="AO62" s="119"/>
    </row>
    <row r="63" spans="2:41" ht="14">
      <c r="B63"/>
      <c r="C63" s="3"/>
      <c r="D63" s="3"/>
      <c r="E63" s="3"/>
      <c r="F63" s="3"/>
      <c r="G63" s="3"/>
      <c r="H63" s="3"/>
      <c r="I63" s="3"/>
      <c r="J63" s="3"/>
      <c r="K63" s="22"/>
      <c r="L63" s="3"/>
      <c r="P63" s="108"/>
      <c r="Q63" s="108"/>
      <c r="S63" s="2"/>
      <c r="T63" s="119"/>
      <c r="U63" s="4"/>
      <c r="X63" s="110"/>
      <c r="Y63" s="108"/>
      <c r="Z63" s="109"/>
      <c r="AC63" s="119"/>
      <c r="AJ63" s="110"/>
      <c r="AK63" s="108"/>
      <c r="AL63" s="109"/>
      <c r="AO63" s="119"/>
    </row>
    <row r="64" spans="2:41" ht="14">
      <c r="C64" s="3"/>
      <c r="D64" s="3"/>
      <c r="E64" s="3"/>
      <c r="F64" s="3"/>
      <c r="G64" s="3"/>
      <c r="H64" s="3"/>
      <c r="I64" s="3"/>
      <c r="J64" s="3"/>
      <c r="K64" s="22"/>
      <c r="L64" s="3"/>
      <c r="P64" s="108"/>
      <c r="Q64" s="108"/>
      <c r="S64" s="2"/>
      <c r="T64" s="119"/>
      <c r="U64" s="4"/>
      <c r="X64" s="110"/>
      <c r="Y64" s="108"/>
      <c r="Z64" s="109"/>
      <c r="AC64" s="119"/>
      <c r="AJ64" s="110"/>
      <c r="AK64" s="108"/>
      <c r="AL64" s="109"/>
      <c r="AO64" s="119"/>
    </row>
    <row r="65" spans="1:42" ht="14">
      <c r="C65" s="3"/>
      <c r="D65" s="3"/>
      <c r="E65" s="3"/>
      <c r="F65" s="3"/>
      <c r="G65" s="3"/>
      <c r="H65" s="3"/>
      <c r="I65" s="3"/>
      <c r="J65" s="3"/>
      <c r="K65" s="22"/>
      <c r="L65" s="3"/>
      <c r="P65" s="108"/>
      <c r="Q65" s="108"/>
      <c r="S65" s="2"/>
      <c r="T65" s="119"/>
      <c r="U65" s="4"/>
      <c r="X65" s="110"/>
      <c r="Y65" s="108"/>
      <c r="Z65" s="109"/>
      <c r="AC65" s="119"/>
      <c r="AJ65" s="110"/>
      <c r="AK65" s="108"/>
      <c r="AL65" s="109"/>
      <c r="AO65" s="119"/>
    </row>
    <row r="66" spans="1:42" ht="14">
      <c r="C66" s="3"/>
      <c r="D66" s="3"/>
      <c r="E66" s="3"/>
      <c r="F66" s="3"/>
      <c r="G66" s="3"/>
      <c r="H66" s="3"/>
      <c r="I66" s="3"/>
      <c r="J66" s="3"/>
      <c r="K66" s="22"/>
      <c r="L66" s="3"/>
      <c r="P66" s="108"/>
      <c r="Q66" s="108"/>
      <c r="S66" s="2"/>
      <c r="T66" s="119"/>
      <c r="U66" s="4"/>
      <c r="X66" s="110"/>
      <c r="Y66" s="108"/>
      <c r="Z66" s="109"/>
      <c r="AC66" s="119"/>
      <c r="AJ66" s="110"/>
      <c r="AK66" s="108"/>
      <c r="AL66" s="109"/>
      <c r="AO66" s="119"/>
    </row>
    <row r="67" spans="1:42" ht="14">
      <c r="C67" s="3"/>
      <c r="D67" s="3"/>
      <c r="E67" s="3"/>
      <c r="F67" s="3"/>
      <c r="G67" s="3"/>
      <c r="H67" s="3"/>
      <c r="I67" s="3"/>
      <c r="J67" s="3"/>
      <c r="K67" s="22"/>
      <c r="L67" s="3"/>
      <c r="P67" s="108"/>
      <c r="Q67" s="108"/>
      <c r="S67" s="2"/>
      <c r="T67" s="119"/>
      <c r="U67" s="4"/>
      <c r="X67" s="110"/>
      <c r="Y67" s="108"/>
      <c r="Z67" s="109"/>
      <c r="AC67" s="119"/>
      <c r="AJ67" s="110"/>
      <c r="AK67" s="108"/>
      <c r="AL67" s="109"/>
      <c r="AO67" s="119"/>
    </row>
    <row r="68" spans="1:42" ht="14">
      <c r="C68" s="3"/>
      <c r="D68" s="3"/>
      <c r="E68" s="3"/>
      <c r="F68" s="3"/>
      <c r="G68" s="3"/>
      <c r="H68" s="3"/>
      <c r="I68" s="3"/>
      <c r="J68" s="3"/>
      <c r="K68" s="22"/>
      <c r="L68" s="3"/>
      <c r="P68" s="108"/>
      <c r="Q68" s="108"/>
      <c r="S68" s="2"/>
      <c r="T68" s="119"/>
      <c r="U68" s="4"/>
      <c r="X68" s="110"/>
      <c r="Y68" s="108"/>
      <c r="Z68" s="109"/>
      <c r="AC68" s="119"/>
      <c r="AJ68" s="110"/>
      <c r="AK68" s="108"/>
      <c r="AL68" s="109"/>
      <c r="AO68" s="119"/>
    </row>
    <row r="69" spans="1:42" ht="14">
      <c r="C69" s="3"/>
      <c r="D69" s="3"/>
      <c r="E69" s="3"/>
      <c r="F69" s="3"/>
      <c r="G69" s="3"/>
      <c r="H69" s="3"/>
      <c r="I69" s="3"/>
      <c r="J69" s="3"/>
      <c r="K69" s="22"/>
      <c r="L69" s="3"/>
      <c r="P69" s="108"/>
      <c r="Q69" s="108"/>
      <c r="S69" s="2"/>
      <c r="T69" s="119"/>
      <c r="U69" s="4"/>
      <c r="X69" s="110"/>
      <c r="Y69" s="108"/>
      <c r="Z69" s="109"/>
      <c r="AC69" s="119"/>
      <c r="AJ69" s="110"/>
      <c r="AK69" s="108"/>
      <c r="AL69" s="109"/>
      <c r="AO69" s="119"/>
    </row>
    <row r="70" spans="1:42" ht="14">
      <c r="C70" s="3"/>
      <c r="D70" s="3"/>
      <c r="E70" s="3"/>
      <c r="F70" s="3"/>
      <c r="G70" s="3"/>
      <c r="H70" s="3"/>
      <c r="I70" s="3"/>
      <c r="J70" s="3"/>
      <c r="K70" s="22"/>
      <c r="L70" s="3"/>
      <c r="P70" s="108"/>
      <c r="Q70" s="108"/>
      <c r="S70" s="2"/>
      <c r="T70" s="119"/>
      <c r="U70" s="4"/>
      <c r="X70" s="110"/>
      <c r="Y70" s="108"/>
      <c r="Z70" s="109"/>
      <c r="AC70" s="119"/>
      <c r="AJ70" s="110"/>
      <c r="AK70" s="108"/>
      <c r="AL70" s="109"/>
      <c r="AO70" s="119"/>
    </row>
    <row r="71" spans="1:42" ht="14">
      <c r="C71" s="3"/>
      <c r="D71" s="3"/>
      <c r="E71" s="3"/>
      <c r="F71" s="3"/>
      <c r="G71" s="3"/>
      <c r="H71" s="3"/>
      <c r="I71" s="3"/>
      <c r="J71" s="3"/>
      <c r="K71" s="22"/>
      <c r="L71" s="3"/>
      <c r="P71" s="108"/>
      <c r="Q71" s="108"/>
      <c r="S71" s="2"/>
      <c r="T71" s="119"/>
      <c r="U71" s="4"/>
      <c r="X71" s="110"/>
      <c r="Y71" s="108"/>
      <c r="Z71" s="109"/>
      <c r="AC71" s="119"/>
      <c r="AJ71" s="110"/>
      <c r="AK71" s="108"/>
      <c r="AL71" s="109"/>
      <c r="AO71" s="119"/>
    </row>
    <row r="72" spans="1:42" ht="14">
      <c r="C72" s="3"/>
      <c r="D72" s="3"/>
      <c r="E72" s="3"/>
      <c r="F72" s="3"/>
      <c r="G72" s="3"/>
      <c r="H72" s="3"/>
      <c r="I72" s="3"/>
      <c r="J72" s="3"/>
      <c r="K72" s="22"/>
      <c r="L72" s="3"/>
      <c r="P72" s="108"/>
      <c r="Q72" s="108"/>
      <c r="S72" s="2"/>
      <c r="T72" s="119"/>
      <c r="U72" s="4"/>
      <c r="X72" s="110"/>
      <c r="Y72" s="108"/>
      <c r="Z72" s="109"/>
      <c r="AC72" s="119"/>
      <c r="AJ72" s="110"/>
      <c r="AK72" s="108"/>
      <c r="AL72" s="109"/>
      <c r="AO72" s="119"/>
    </row>
    <row r="73" spans="1:42" ht="14">
      <c r="C73" s="3"/>
      <c r="D73" s="3"/>
      <c r="E73" s="3"/>
      <c r="F73" s="3"/>
      <c r="G73" s="3"/>
      <c r="H73" s="3"/>
      <c r="I73" s="3"/>
      <c r="J73" s="3"/>
      <c r="K73" s="22"/>
      <c r="L73" s="3"/>
      <c r="P73" s="108"/>
      <c r="Q73" s="108"/>
      <c r="S73" s="2"/>
      <c r="T73" s="119"/>
      <c r="U73" s="4"/>
      <c r="X73" s="110"/>
      <c r="Y73" s="108"/>
      <c r="Z73" s="109"/>
      <c r="AC73" s="119"/>
      <c r="AJ73" s="110"/>
      <c r="AK73" s="108"/>
      <c r="AL73" s="109"/>
      <c r="AO73" s="119"/>
    </row>
    <row r="74" spans="1:42" ht="14">
      <c r="C74" s="3"/>
      <c r="D74" s="3"/>
      <c r="E74" s="3"/>
      <c r="F74" s="3"/>
      <c r="G74" s="3"/>
      <c r="H74" s="3"/>
      <c r="I74" s="3"/>
      <c r="J74" s="3"/>
      <c r="K74" s="22"/>
      <c r="L74" s="3"/>
      <c r="P74" s="108"/>
      <c r="Q74" s="108"/>
      <c r="S74" s="2"/>
      <c r="T74" s="119"/>
      <c r="U74" s="4"/>
      <c r="X74" s="110"/>
      <c r="Y74" s="108"/>
      <c r="Z74" s="109"/>
      <c r="AC74" s="119"/>
      <c r="AJ74" s="110"/>
      <c r="AK74" s="108"/>
      <c r="AL74" s="109"/>
      <c r="AO74" s="119"/>
    </row>
    <row r="75" spans="1:42" ht="14">
      <c r="C75" s="3"/>
      <c r="D75" s="3"/>
      <c r="E75" s="3"/>
      <c r="F75" s="3"/>
      <c r="G75" s="3"/>
      <c r="H75" s="3"/>
      <c r="I75" s="3"/>
      <c r="J75" s="3"/>
      <c r="K75" s="22"/>
      <c r="L75" s="3"/>
      <c r="P75" s="108"/>
      <c r="Q75" s="108"/>
      <c r="S75" s="2"/>
      <c r="T75" s="119"/>
      <c r="U75" s="4"/>
      <c r="X75" s="110"/>
      <c r="Y75" s="108"/>
      <c r="Z75" s="109"/>
      <c r="AC75" s="119"/>
      <c r="AJ75" s="110"/>
      <c r="AK75" s="108"/>
      <c r="AL75" s="109"/>
      <c r="AO75" s="119"/>
    </row>
    <row r="76" spans="1:42" ht="14">
      <c r="C76" s="3"/>
      <c r="D76" s="111" t="s">
        <v>157</v>
      </c>
      <c r="E76" s="3"/>
      <c r="F76" s="3"/>
      <c r="G76" s="3"/>
      <c r="H76" s="3"/>
      <c r="I76" s="3"/>
      <c r="J76" s="3"/>
      <c r="K76" s="3"/>
      <c r="L76" s="3"/>
      <c r="M76" s="111" t="s">
        <v>117</v>
      </c>
      <c r="S76" s="2"/>
      <c r="T76" s="2"/>
      <c r="U76" s="4"/>
      <c r="V76" s="111" t="s">
        <v>118</v>
      </c>
      <c r="X76" s="99"/>
      <c r="Z76" s="100"/>
      <c r="AH76" s="111" t="s">
        <v>158</v>
      </c>
    </row>
    <row r="77" spans="1:42" s="1" customFormat="1" ht="47" customHeight="1">
      <c r="A77" s="1" t="s">
        <v>62</v>
      </c>
      <c r="B77" s="20" t="s">
        <v>19</v>
      </c>
      <c r="C77" s="1" t="s">
        <v>152</v>
      </c>
      <c r="D77" s="78" t="s">
        <v>61</v>
      </c>
      <c r="E77" s="78" t="s">
        <v>43</v>
      </c>
      <c r="F77" s="78" t="s">
        <v>44</v>
      </c>
      <c r="G77" s="79" t="s">
        <v>45</v>
      </c>
      <c r="H77" s="92" t="s">
        <v>46</v>
      </c>
      <c r="I77" s="79" t="s">
        <v>48</v>
      </c>
      <c r="J77" s="78" t="s">
        <v>49</v>
      </c>
      <c r="K77" s="92" t="s">
        <v>47</v>
      </c>
      <c r="M77" s="78" t="s">
        <v>61</v>
      </c>
      <c r="N77" s="78" t="s">
        <v>43</v>
      </c>
      <c r="O77" s="78" t="s">
        <v>44</v>
      </c>
      <c r="P77" s="79" t="s">
        <v>45</v>
      </c>
      <c r="Q77" s="92" t="s">
        <v>46</v>
      </c>
      <c r="R77" s="79" t="s">
        <v>48</v>
      </c>
      <c r="S77" s="78" t="s">
        <v>49</v>
      </c>
      <c r="T77" s="92" t="s">
        <v>47</v>
      </c>
      <c r="U77" s="16"/>
      <c r="V77" s="86" t="s">
        <v>61</v>
      </c>
      <c r="W77" s="86" t="s">
        <v>50</v>
      </c>
      <c r="X77" s="86" t="s">
        <v>51</v>
      </c>
      <c r="Y77" s="87" t="s">
        <v>52</v>
      </c>
      <c r="Z77" s="93" t="s">
        <v>53</v>
      </c>
      <c r="AA77" s="87" t="s">
        <v>55</v>
      </c>
      <c r="AB77" s="86" t="s">
        <v>56</v>
      </c>
      <c r="AC77" s="93" t="s">
        <v>54</v>
      </c>
      <c r="AE77" s="1" t="s">
        <v>42</v>
      </c>
      <c r="AF77" s="1" t="s">
        <v>210</v>
      </c>
      <c r="AG77" s="112" t="s">
        <v>65</v>
      </c>
      <c r="AH77" s="94" t="s">
        <v>123</v>
      </c>
      <c r="AI77" s="94" t="s">
        <v>122</v>
      </c>
      <c r="AJ77" s="94" t="s">
        <v>124</v>
      </c>
      <c r="AK77" s="95" t="s">
        <v>125</v>
      </c>
      <c r="AL77" s="96" t="s">
        <v>126</v>
      </c>
      <c r="AM77" s="95" t="s">
        <v>127</v>
      </c>
      <c r="AN77" s="94" t="s">
        <v>128</v>
      </c>
      <c r="AO77" s="96" t="s">
        <v>155</v>
      </c>
      <c r="AP77" s="1" t="s">
        <v>57</v>
      </c>
    </row>
    <row r="78" spans="1:42" ht="14">
      <c r="A78">
        <f t="shared" ref="A78:A141" si="2">A79-1</f>
        <v>-80</v>
      </c>
      <c r="B78" s="21">
        <v>0</v>
      </c>
      <c r="C78" s="26">
        <f t="shared" ref="C78:C118" si="3">B$8*(1-EXP(-B$9*$B78))^3</f>
        <v>0</v>
      </c>
      <c r="D78" s="26"/>
      <c r="E78" s="26"/>
      <c r="F78" s="26"/>
      <c r="G78" s="26"/>
      <c r="H78" s="26"/>
      <c r="I78" s="26"/>
      <c r="J78" s="26"/>
      <c r="K78" s="26"/>
      <c r="L78" s="26"/>
      <c r="M78" s="80"/>
      <c r="N78" s="80"/>
      <c r="O78" s="80"/>
      <c r="P78" s="81"/>
      <c r="Q78" s="81"/>
      <c r="R78" s="81"/>
      <c r="S78" s="81"/>
      <c r="T78" s="81"/>
      <c r="U78" s="3"/>
      <c r="V78" s="88"/>
      <c r="W78" s="88"/>
      <c r="X78" s="88"/>
      <c r="Y78" s="88"/>
      <c r="Z78" s="88"/>
      <c r="AA78" s="88"/>
      <c r="AB78" s="88"/>
      <c r="AC78" s="88"/>
      <c r="AE78">
        <f t="shared" ref="AE78:AE141" si="4">A78</f>
        <v>-80</v>
      </c>
      <c r="AG78" s="113">
        <f t="shared" ref="AG78:AG141" si="5">C78</f>
        <v>0</v>
      </c>
      <c r="AH78" s="97"/>
      <c r="AI78" s="97"/>
      <c r="AJ78" s="97"/>
      <c r="AK78" s="97"/>
      <c r="AL78" s="97"/>
      <c r="AM78" s="97"/>
      <c r="AN78" s="97"/>
      <c r="AO78" s="97"/>
    </row>
    <row r="79" spans="1:42" ht="14">
      <c r="A79">
        <f t="shared" si="2"/>
        <v>-79</v>
      </c>
      <c r="B79" s="21">
        <v>1</v>
      </c>
      <c r="C79" s="26">
        <f t="shared" si="3"/>
        <v>1.304576931015696E-3</v>
      </c>
      <c r="D79" s="26"/>
      <c r="E79" s="26"/>
      <c r="F79" s="26"/>
      <c r="G79" s="26"/>
      <c r="H79" s="26"/>
      <c r="I79" s="26"/>
      <c r="J79" s="26"/>
      <c r="K79" s="26"/>
      <c r="L79" s="26"/>
      <c r="M79" s="80"/>
      <c r="N79" s="80"/>
      <c r="O79" s="80"/>
      <c r="P79" s="81"/>
      <c r="Q79" s="81"/>
      <c r="R79" s="81"/>
      <c r="S79" s="81"/>
      <c r="T79" s="81"/>
      <c r="U79" s="3"/>
      <c r="V79" s="88"/>
      <c r="W79" s="88"/>
      <c r="X79" s="88"/>
      <c r="Y79" s="88"/>
      <c r="Z79" s="88"/>
      <c r="AA79" s="88"/>
      <c r="AB79" s="88"/>
      <c r="AC79" s="88"/>
      <c r="AE79">
        <f t="shared" si="4"/>
        <v>-79</v>
      </c>
      <c r="AG79" s="113">
        <f t="shared" si="5"/>
        <v>1.304576931015696E-3</v>
      </c>
      <c r="AH79" s="97"/>
      <c r="AI79" s="97"/>
      <c r="AJ79" s="97"/>
      <c r="AK79" s="97"/>
      <c r="AL79" s="97"/>
      <c r="AM79" s="97"/>
      <c r="AN79" s="97"/>
      <c r="AO79" s="97"/>
    </row>
    <row r="80" spans="1:42" ht="14">
      <c r="A80">
        <f t="shared" si="2"/>
        <v>-78</v>
      </c>
      <c r="B80" s="21">
        <v>2</v>
      </c>
      <c r="C80" s="26">
        <f t="shared" si="3"/>
        <v>1.0129686160647853E-2</v>
      </c>
      <c r="D80" s="26"/>
      <c r="E80" s="26"/>
      <c r="F80" s="26"/>
      <c r="G80" s="26"/>
      <c r="H80" s="26"/>
      <c r="I80" s="26"/>
      <c r="J80" s="26"/>
      <c r="K80" s="26"/>
      <c r="L80" s="26"/>
      <c r="M80" s="80"/>
      <c r="N80" s="80"/>
      <c r="O80" s="80"/>
      <c r="P80" s="81"/>
      <c r="Q80" s="81"/>
      <c r="R80" s="81"/>
      <c r="S80" s="81"/>
      <c r="T80" s="81"/>
      <c r="U80" s="3"/>
      <c r="V80" s="88"/>
      <c r="W80" s="88"/>
      <c r="X80" s="88"/>
      <c r="Y80" s="88"/>
      <c r="Z80" s="88"/>
      <c r="AA80" s="88"/>
      <c r="AB80" s="88"/>
      <c r="AC80" s="88"/>
      <c r="AE80">
        <f t="shared" si="4"/>
        <v>-78</v>
      </c>
      <c r="AG80" s="113">
        <f t="shared" si="5"/>
        <v>1.0129686160647853E-2</v>
      </c>
      <c r="AH80" s="97"/>
      <c r="AI80" s="97"/>
      <c r="AJ80" s="97"/>
      <c r="AK80" s="97"/>
      <c r="AL80" s="97"/>
      <c r="AM80" s="97"/>
      <c r="AN80" s="97"/>
      <c r="AO80" s="97"/>
    </row>
    <row r="81" spans="1:41" ht="14">
      <c r="A81">
        <f t="shared" si="2"/>
        <v>-77</v>
      </c>
      <c r="B81" s="21">
        <v>3</v>
      </c>
      <c r="C81" s="26">
        <f t="shared" si="3"/>
        <v>3.3185586831962252E-2</v>
      </c>
      <c r="D81" s="26"/>
      <c r="E81" s="26"/>
      <c r="F81" s="26"/>
      <c r="G81" s="26"/>
      <c r="H81" s="26"/>
      <c r="I81" s="26"/>
      <c r="J81" s="26"/>
      <c r="K81" s="26"/>
      <c r="L81" s="26"/>
      <c r="M81" s="80"/>
      <c r="N81" s="80"/>
      <c r="O81" s="80"/>
      <c r="P81" s="81"/>
      <c r="Q81" s="81"/>
      <c r="R81" s="81"/>
      <c r="S81" s="81"/>
      <c r="T81" s="81"/>
      <c r="U81" s="3"/>
      <c r="V81" s="88"/>
      <c r="W81" s="88"/>
      <c r="X81" s="88"/>
      <c r="Y81" s="88"/>
      <c r="Z81" s="88"/>
      <c r="AA81" s="88"/>
      <c r="AB81" s="88"/>
      <c r="AC81" s="88"/>
      <c r="AE81">
        <f t="shared" si="4"/>
        <v>-77</v>
      </c>
      <c r="AG81" s="113">
        <f t="shared" si="5"/>
        <v>3.3185586831962252E-2</v>
      </c>
      <c r="AH81" s="97"/>
      <c r="AI81" s="97"/>
      <c r="AJ81" s="97"/>
      <c r="AK81" s="97"/>
      <c r="AL81" s="97"/>
      <c r="AM81" s="97"/>
      <c r="AN81" s="97"/>
      <c r="AO81" s="97"/>
    </row>
    <row r="82" spans="1:41" ht="14">
      <c r="A82">
        <f t="shared" si="2"/>
        <v>-76</v>
      </c>
      <c r="B82" s="21">
        <v>4</v>
      </c>
      <c r="C82" s="26">
        <f t="shared" si="3"/>
        <v>7.6364034925272523E-2</v>
      </c>
      <c r="D82" s="26"/>
      <c r="E82" s="26"/>
      <c r="F82" s="26"/>
      <c r="G82" s="26"/>
      <c r="H82" s="26"/>
      <c r="I82" s="26"/>
      <c r="J82" s="26"/>
      <c r="K82" s="26"/>
      <c r="L82" s="26"/>
      <c r="M82" s="80"/>
      <c r="N82" s="80"/>
      <c r="O82" s="80"/>
      <c r="P82" s="81"/>
      <c r="Q82" s="81"/>
      <c r="R82" s="81"/>
      <c r="S82" s="81"/>
      <c r="T82" s="81"/>
      <c r="U82" s="3"/>
      <c r="V82" s="88"/>
      <c r="W82" s="88"/>
      <c r="X82" s="88"/>
      <c r="Y82" s="88"/>
      <c r="Z82" s="88"/>
      <c r="AA82" s="88"/>
      <c r="AB82" s="88"/>
      <c r="AC82" s="88"/>
      <c r="AE82">
        <f t="shared" si="4"/>
        <v>-76</v>
      </c>
      <c r="AG82" s="113">
        <f t="shared" si="5"/>
        <v>7.6364034925272523E-2</v>
      </c>
      <c r="AH82" s="97"/>
      <c r="AI82" s="97"/>
      <c r="AJ82" s="97"/>
      <c r="AK82" s="97"/>
      <c r="AL82" s="97"/>
      <c r="AM82" s="97"/>
      <c r="AN82" s="97"/>
      <c r="AO82" s="97"/>
    </row>
    <row r="83" spans="1:41" ht="14">
      <c r="A83">
        <f t="shared" si="2"/>
        <v>-75</v>
      </c>
      <c r="B83" s="21">
        <v>5</v>
      </c>
      <c r="C83" s="26">
        <f t="shared" si="3"/>
        <v>0.14480564018396114</v>
      </c>
      <c r="D83" s="26"/>
      <c r="E83" s="26"/>
      <c r="F83" s="26"/>
      <c r="G83" s="26"/>
      <c r="H83" s="26"/>
      <c r="I83" s="26"/>
      <c r="J83" s="26"/>
      <c r="K83" s="26"/>
      <c r="L83" s="26"/>
      <c r="M83" s="80"/>
      <c r="N83" s="80"/>
      <c r="O83" s="80"/>
      <c r="P83" s="81"/>
      <c r="Q83" s="81"/>
      <c r="R83" s="81"/>
      <c r="S83" s="81"/>
      <c r="T83" s="81"/>
      <c r="U83" s="3"/>
      <c r="V83" s="88"/>
      <c r="W83" s="88"/>
      <c r="X83" s="88"/>
      <c r="Y83" s="88"/>
      <c r="Z83" s="88"/>
      <c r="AA83" s="88"/>
      <c r="AB83" s="88"/>
      <c r="AC83" s="88"/>
      <c r="AE83">
        <f t="shared" si="4"/>
        <v>-75</v>
      </c>
      <c r="AG83" s="113">
        <f t="shared" si="5"/>
        <v>0.14480564018396114</v>
      </c>
      <c r="AH83" s="97"/>
      <c r="AI83" s="97"/>
      <c r="AJ83" s="97"/>
      <c r="AK83" s="97"/>
      <c r="AL83" s="97"/>
      <c r="AM83" s="97"/>
      <c r="AN83" s="97"/>
      <c r="AO83" s="97"/>
    </row>
    <row r="84" spans="1:41" ht="14">
      <c r="A84">
        <f t="shared" si="2"/>
        <v>-74</v>
      </c>
      <c r="B84" s="21">
        <v>6</v>
      </c>
      <c r="C84" s="26">
        <f t="shared" si="3"/>
        <v>0.24296247057162773</v>
      </c>
      <c r="D84" s="26"/>
      <c r="E84" s="26"/>
      <c r="F84" s="26"/>
      <c r="G84" s="26"/>
      <c r="H84" s="26"/>
      <c r="I84" s="26"/>
      <c r="J84" s="26"/>
      <c r="K84" s="26"/>
      <c r="L84" s="26"/>
      <c r="M84" s="80"/>
      <c r="N84" s="80"/>
      <c r="O84" s="80"/>
      <c r="P84" s="81"/>
      <c r="Q84" s="81"/>
      <c r="R84" s="81"/>
      <c r="S84" s="81"/>
      <c r="T84" s="81"/>
      <c r="U84" s="3"/>
      <c r="V84" s="88"/>
      <c r="W84" s="88"/>
      <c r="X84" s="88"/>
      <c r="Y84" s="88"/>
      <c r="Z84" s="88"/>
      <c r="AA84" s="88"/>
      <c r="AB84" s="88"/>
      <c r="AC84" s="88"/>
      <c r="AE84">
        <f t="shared" si="4"/>
        <v>-74</v>
      </c>
      <c r="AG84" s="113">
        <f t="shared" si="5"/>
        <v>0.24296247057162773</v>
      </c>
      <c r="AH84" s="97"/>
      <c r="AI84" s="97"/>
      <c r="AJ84" s="97"/>
      <c r="AK84" s="97"/>
      <c r="AL84" s="97"/>
      <c r="AM84" s="97"/>
      <c r="AN84" s="97"/>
      <c r="AO84" s="97"/>
    </row>
    <row r="85" spans="1:41" ht="14">
      <c r="A85">
        <f t="shared" si="2"/>
        <v>-73</v>
      </c>
      <c r="B85" s="21">
        <v>7</v>
      </c>
      <c r="C85" s="26">
        <f t="shared" si="3"/>
        <v>0.3746562147086363</v>
      </c>
      <c r="D85" s="26"/>
      <c r="E85" s="26"/>
      <c r="F85" s="26"/>
      <c r="G85" s="26"/>
      <c r="H85" s="26"/>
      <c r="I85" s="26"/>
      <c r="J85" s="26"/>
      <c r="K85" s="26"/>
      <c r="L85" s="26"/>
      <c r="M85" s="80"/>
      <c r="N85" s="80"/>
      <c r="O85" s="80"/>
      <c r="P85" s="81"/>
      <c r="Q85" s="81"/>
      <c r="R85" s="81"/>
      <c r="S85" s="81"/>
      <c r="T85" s="81"/>
      <c r="U85" s="3"/>
      <c r="V85" s="88"/>
      <c r="W85" s="88"/>
      <c r="X85" s="88"/>
      <c r="Y85" s="88"/>
      <c r="Z85" s="88"/>
      <c r="AA85" s="88"/>
      <c r="AB85" s="88"/>
      <c r="AC85" s="88"/>
      <c r="AE85">
        <f t="shared" si="4"/>
        <v>-73</v>
      </c>
      <c r="AG85" s="113">
        <f t="shared" si="5"/>
        <v>0.3746562147086363</v>
      </c>
      <c r="AH85" s="97"/>
      <c r="AI85" s="97"/>
      <c r="AJ85" s="97"/>
      <c r="AK85" s="97"/>
      <c r="AL85" s="97"/>
      <c r="AM85" s="97"/>
      <c r="AN85" s="97"/>
      <c r="AO85" s="97"/>
    </row>
    <row r="86" spans="1:41" ht="14">
      <c r="A86">
        <f t="shared" si="2"/>
        <v>-72</v>
      </c>
      <c r="B86" s="21">
        <v>8</v>
      </c>
      <c r="C86" s="26">
        <f t="shared" si="3"/>
        <v>0.54313219331353713</v>
      </c>
      <c r="D86" s="26"/>
      <c r="E86" s="26"/>
      <c r="F86" s="26"/>
      <c r="G86" s="26"/>
      <c r="H86" s="26"/>
      <c r="I86" s="26"/>
      <c r="J86" s="26"/>
      <c r="K86" s="26"/>
      <c r="L86" s="26"/>
      <c r="M86" s="80"/>
      <c r="N86" s="80"/>
      <c r="O86" s="80"/>
      <c r="P86" s="81"/>
      <c r="Q86" s="81"/>
      <c r="R86" s="81"/>
      <c r="S86" s="81"/>
      <c r="T86" s="81"/>
      <c r="U86" s="3"/>
      <c r="V86" s="88"/>
      <c r="W86" s="88"/>
      <c r="X86" s="88"/>
      <c r="Y86" s="88"/>
      <c r="Z86" s="88"/>
      <c r="AA86" s="88"/>
      <c r="AB86" s="88"/>
      <c r="AC86" s="88"/>
      <c r="AE86">
        <f t="shared" si="4"/>
        <v>-72</v>
      </c>
      <c r="AG86" s="113">
        <f t="shared" si="5"/>
        <v>0.54313219331353713</v>
      </c>
      <c r="AH86" s="97"/>
      <c r="AI86" s="97"/>
      <c r="AJ86" s="97"/>
      <c r="AK86" s="97"/>
      <c r="AL86" s="97"/>
      <c r="AM86" s="97"/>
      <c r="AN86" s="97"/>
      <c r="AO86" s="97"/>
    </row>
    <row r="87" spans="1:41" ht="14">
      <c r="A87">
        <f t="shared" si="2"/>
        <v>-71</v>
      </c>
      <c r="B87" s="21">
        <v>9</v>
      </c>
      <c r="C87" s="26">
        <f t="shared" si="3"/>
        <v>0.7511094924364492</v>
      </c>
      <c r="D87" s="26"/>
      <c r="E87" s="26"/>
      <c r="F87" s="26"/>
      <c r="G87" s="26"/>
      <c r="H87" s="26"/>
      <c r="I87" s="26"/>
      <c r="J87" s="26"/>
      <c r="K87" s="26"/>
      <c r="L87" s="26"/>
      <c r="M87" s="80"/>
      <c r="N87" s="80"/>
      <c r="O87" s="80"/>
      <c r="P87" s="81"/>
      <c r="Q87" s="81"/>
      <c r="R87" s="81"/>
      <c r="S87" s="81"/>
      <c r="T87" s="81"/>
      <c r="U87" s="3"/>
      <c r="V87" s="88"/>
      <c r="W87" s="88"/>
      <c r="X87" s="88"/>
      <c r="Y87" s="88"/>
      <c r="Z87" s="88"/>
      <c r="AA87" s="88"/>
      <c r="AB87" s="88"/>
      <c r="AC87" s="88"/>
      <c r="AE87">
        <f t="shared" si="4"/>
        <v>-71</v>
      </c>
      <c r="AG87" s="113">
        <f t="shared" si="5"/>
        <v>0.7511094924364492</v>
      </c>
      <c r="AH87" s="97"/>
      <c r="AI87" s="97"/>
      <c r="AJ87" s="97"/>
      <c r="AK87" s="97"/>
      <c r="AL87" s="97"/>
      <c r="AM87" s="97"/>
      <c r="AN87" s="97"/>
      <c r="AO87" s="97"/>
    </row>
    <row r="88" spans="1:41" ht="14">
      <c r="A88">
        <f t="shared" si="2"/>
        <v>-70</v>
      </c>
      <c r="B88" s="21">
        <v>10</v>
      </c>
      <c r="C88" s="26">
        <f t="shared" si="3"/>
        <v>1.000827474146279</v>
      </c>
      <c r="D88" s="26"/>
      <c r="E88" s="26"/>
      <c r="F88" s="26"/>
      <c r="G88" s="26"/>
      <c r="H88" s="26"/>
      <c r="I88" s="26"/>
      <c r="J88" s="26"/>
      <c r="K88" s="26"/>
      <c r="L88" s="26"/>
      <c r="M88" s="80"/>
      <c r="N88" s="80"/>
      <c r="O88" s="80"/>
      <c r="P88" s="81"/>
      <c r="Q88" s="81"/>
      <c r="R88" s="81"/>
      <c r="S88" s="81"/>
      <c r="T88" s="81"/>
      <c r="U88" s="3"/>
      <c r="V88" s="88"/>
      <c r="W88" s="88"/>
      <c r="X88" s="88"/>
      <c r="Y88" s="88"/>
      <c r="Z88" s="88"/>
      <c r="AA88" s="88"/>
      <c r="AB88" s="88"/>
      <c r="AC88" s="88"/>
      <c r="AE88">
        <f t="shared" si="4"/>
        <v>-70</v>
      </c>
      <c r="AG88" s="113">
        <f t="shared" si="5"/>
        <v>1.000827474146279</v>
      </c>
      <c r="AH88" s="97"/>
      <c r="AI88" s="97"/>
      <c r="AJ88" s="97"/>
      <c r="AK88" s="97"/>
      <c r="AL88" s="97"/>
      <c r="AM88" s="97"/>
      <c r="AN88" s="97"/>
      <c r="AO88" s="97"/>
    </row>
    <row r="89" spans="1:41" ht="14">
      <c r="A89">
        <f t="shared" si="2"/>
        <v>-69</v>
      </c>
      <c r="B89" s="21">
        <v>11</v>
      </c>
      <c r="C89" s="26">
        <f t="shared" si="3"/>
        <v>1.2940889042547259</v>
      </c>
      <c r="D89" s="26"/>
      <c r="E89" s="26"/>
      <c r="F89" s="26"/>
      <c r="G89" s="26"/>
      <c r="H89" s="26"/>
      <c r="I89" s="26"/>
      <c r="J89" s="26"/>
      <c r="K89" s="26"/>
      <c r="L89" s="26"/>
      <c r="M89" s="80"/>
      <c r="N89" s="80"/>
      <c r="O89" s="80"/>
      <c r="P89" s="81"/>
      <c r="Q89" s="81"/>
      <c r="R89" s="81"/>
      <c r="S89" s="81"/>
      <c r="T89" s="81"/>
      <c r="U89" s="3"/>
      <c r="V89" s="88"/>
      <c r="W89" s="88"/>
      <c r="X89" s="88"/>
      <c r="Y89" s="88"/>
      <c r="Z89" s="88"/>
      <c r="AA89" s="88"/>
      <c r="AB89" s="88"/>
      <c r="AC89" s="88"/>
      <c r="AE89">
        <f t="shared" si="4"/>
        <v>-69</v>
      </c>
      <c r="AG89" s="113">
        <f t="shared" si="5"/>
        <v>1.2940889042547259</v>
      </c>
      <c r="AH89" s="97"/>
      <c r="AI89" s="97"/>
      <c r="AJ89" s="97"/>
      <c r="AK89" s="97"/>
      <c r="AL89" s="97"/>
      <c r="AM89" s="97"/>
      <c r="AN89" s="97"/>
      <c r="AO89" s="97"/>
    </row>
    <row r="90" spans="1:41" ht="14">
      <c r="A90">
        <f t="shared" si="2"/>
        <v>-68</v>
      </c>
      <c r="B90" s="21">
        <v>12</v>
      </c>
      <c r="C90" s="26">
        <f t="shared" si="3"/>
        <v>1.6322999215645968</v>
      </c>
      <c r="D90" s="26"/>
      <c r="E90" s="26"/>
      <c r="F90" s="26"/>
      <c r="G90" s="26"/>
      <c r="H90" s="26"/>
      <c r="I90" s="26"/>
      <c r="J90" s="26"/>
      <c r="K90" s="26"/>
      <c r="L90" s="26"/>
      <c r="M90" s="80"/>
      <c r="N90" s="80"/>
      <c r="O90" s="80"/>
      <c r="P90" s="81"/>
      <c r="Q90" s="81"/>
      <c r="R90" s="81"/>
      <c r="S90" s="81"/>
      <c r="T90" s="81"/>
      <c r="U90" s="3"/>
      <c r="V90" s="88"/>
      <c r="W90" s="88"/>
      <c r="X90" s="88"/>
      <c r="Y90" s="88"/>
      <c r="Z90" s="88"/>
      <c r="AA90" s="88"/>
      <c r="AB90" s="88"/>
      <c r="AC90" s="88"/>
      <c r="AE90">
        <f t="shared" si="4"/>
        <v>-68</v>
      </c>
      <c r="AG90" s="113">
        <f t="shared" si="5"/>
        <v>1.6322999215645968</v>
      </c>
      <c r="AH90" s="97"/>
      <c r="AI90" s="97"/>
      <c r="AJ90" s="97"/>
      <c r="AK90" s="97"/>
      <c r="AL90" s="97"/>
      <c r="AM90" s="97"/>
      <c r="AN90" s="97"/>
      <c r="AO90" s="97"/>
    </row>
    <row r="91" spans="1:41" ht="14">
      <c r="A91">
        <f t="shared" si="2"/>
        <v>-67</v>
      </c>
      <c r="B91" s="21">
        <v>13</v>
      </c>
      <c r="C91" s="26">
        <f t="shared" si="3"/>
        <v>2.0165070589588248</v>
      </c>
      <c r="D91" s="26"/>
      <c r="E91" s="26"/>
      <c r="F91" s="26"/>
      <c r="G91" s="26"/>
      <c r="H91" s="26"/>
      <c r="I91" s="26"/>
      <c r="J91" s="26"/>
      <c r="K91" s="26"/>
      <c r="L91" s="26"/>
      <c r="M91" s="80"/>
      <c r="N91" s="80"/>
      <c r="O91" s="80"/>
      <c r="P91" s="81"/>
      <c r="Q91" s="81"/>
      <c r="R91" s="81"/>
      <c r="S91" s="81"/>
      <c r="T91" s="81"/>
      <c r="U91" s="3"/>
      <c r="V91" s="88"/>
      <c r="W91" s="88"/>
      <c r="X91" s="88"/>
      <c r="Y91" s="88"/>
      <c r="Z91" s="88"/>
      <c r="AA91" s="88"/>
      <c r="AB91" s="88"/>
      <c r="AC91" s="88"/>
      <c r="AE91">
        <f t="shared" si="4"/>
        <v>-67</v>
      </c>
      <c r="AG91" s="113">
        <f t="shared" si="5"/>
        <v>2.0165070589588248</v>
      </c>
      <c r="AH91" s="97"/>
      <c r="AI91" s="97"/>
      <c r="AJ91" s="97"/>
      <c r="AK91" s="97"/>
      <c r="AL91" s="97"/>
      <c r="AM91" s="97"/>
      <c r="AN91" s="97"/>
      <c r="AO91" s="97"/>
    </row>
    <row r="92" spans="1:41" ht="14">
      <c r="A92">
        <f t="shared" si="2"/>
        <v>-66</v>
      </c>
      <c r="B92" s="21">
        <v>14</v>
      </c>
      <c r="C92" s="26">
        <f t="shared" si="3"/>
        <v>2.4474315133441817</v>
      </c>
      <c r="D92" s="26"/>
      <c r="E92" s="26"/>
      <c r="F92" s="26"/>
      <c r="G92" s="26"/>
      <c r="H92" s="26"/>
      <c r="I92" s="26"/>
      <c r="J92" s="26"/>
      <c r="K92" s="26"/>
      <c r="L92" s="26"/>
      <c r="M92" s="80"/>
      <c r="N92" s="80"/>
      <c r="O92" s="80"/>
      <c r="P92" s="81"/>
      <c r="Q92" s="81"/>
      <c r="R92" s="81"/>
      <c r="S92" s="81"/>
      <c r="T92" s="81"/>
      <c r="U92" s="3"/>
      <c r="V92" s="88"/>
      <c r="W92" s="88"/>
      <c r="X92" s="88"/>
      <c r="Y92" s="88"/>
      <c r="Z92" s="88"/>
      <c r="AA92" s="88"/>
      <c r="AB92" s="88"/>
      <c r="AC92" s="88"/>
      <c r="AE92">
        <f t="shared" si="4"/>
        <v>-66</v>
      </c>
      <c r="AG92" s="113">
        <f t="shared" si="5"/>
        <v>2.4474315133441817</v>
      </c>
      <c r="AH92" s="97"/>
      <c r="AI92" s="97"/>
      <c r="AJ92" s="97"/>
      <c r="AK92" s="97"/>
      <c r="AL92" s="97"/>
      <c r="AM92" s="97"/>
      <c r="AN92" s="97"/>
      <c r="AO92" s="97"/>
    </row>
    <row r="93" spans="1:41" ht="14">
      <c r="A93">
        <f t="shared" si="2"/>
        <v>-65</v>
      </c>
      <c r="B93" s="21">
        <v>15</v>
      </c>
      <c r="C93" s="26">
        <f t="shared" si="3"/>
        <v>2.9255008489777561</v>
      </c>
      <c r="D93" s="26"/>
      <c r="E93" s="26"/>
      <c r="F93" s="26"/>
      <c r="G93" s="26"/>
      <c r="H93" s="26"/>
      <c r="I93" s="26"/>
      <c r="J93" s="26"/>
      <c r="K93" s="26"/>
      <c r="L93" s="26"/>
      <c r="M93" s="80"/>
      <c r="N93" s="80"/>
      <c r="O93" s="80"/>
      <c r="P93" s="81"/>
      <c r="Q93" s="81"/>
      <c r="R93" s="81"/>
      <c r="S93" s="81"/>
      <c r="T93" s="81"/>
      <c r="U93" s="3"/>
      <c r="V93" s="88"/>
      <c r="W93" s="88"/>
      <c r="X93" s="88"/>
      <c r="Y93" s="88"/>
      <c r="Z93" s="88"/>
      <c r="AA93" s="88"/>
      <c r="AB93" s="88"/>
      <c r="AC93" s="88"/>
      <c r="AE93">
        <f t="shared" si="4"/>
        <v>-65</v>
      </c>
      <c r="AG93" s="113">
        <f t="shared" si="5"/>
        <v>2.9255008489777561</v>
      </c>
      <c r="AH93" s="97"/>
      <c r="AI93" s="97"/>
      <c r="AJ93" s="97"/>
      <c r="AK93" s="97"/>
      <c r="AL93" s="97"/>
      <c r="AM93" s="97"/>
      <c r="AN93" s="97"/>
      <c r="AO93" s="97"/>
    </row>
    <row r="94" spans="1:41" ht="14">
      <c r="A94">
        <f t="shared" si="2"/>
        <v>-64</v>
      </c>
      <c r="B94" s="21">
        <v>16</v>
      </c>
      <c r="C94" s="26">
        <f t="shared" si="3"/>
        <v>3.4508783069854148</v>
      </c>
      <c r="D94" s="26"/>
      <c r="E94" s="26"/>
      <c r="F94" s="26"/>
      <c r="G94" s="26"/>
      <c r="H94" s="26"/>
      <c r="I94" s="26"/>
      <c r="J94" s="26"/>
      <c r="K94" s="26"/>
      <c r="L94" s="26"/>
      <c r="M94" s="80"/>
      <c r="N94" s="80"/>
      <c r="O94" s="80"/>
      <c r="P94" s="81"/>
      <c r="Q94" s="81"/>
      <c r="R94" s="81"/>
      <c r="S94" s="81"/>
      <c r="T94" s="81"/>
      <c r="U94" s="3"/>
      <c r="V94" s="88"/>
      <c r="W94" s="88"/>
      <c r="X94" s="88"/>
      <c r="Y94" s="88"/>
      <c r="Z94" s="88"/>
      <c r="AA94" s="88"/>
      <c r="AB94" s="88"/>
      <c r="AC94" s="88"/>
      <c r="AE94">
        <f t="shared" si="4"/>
        <v>-64</v>
      </c>
      <c r="AG94" s="113">
        <f t="shared" si="5"/>
        <v>3.4508783069854148</v>
      </c>
      <c r="AH94" s="97"/>
      <c r="AI94" s="97"/>
      <c r="AJ94" s="97"/>
      <c r="AK94" s="97"/>
      <c r="AL94" s="97"/>
      <c r="AM94" s="97"/>
      <c r="AN94" s="97"/>
      <c r="AO94" s="97"/>
    </row>
    <row r="95" spans="1:41" ht="14">
      <c r="A95">
        <f t="shared" si="2"/>
        <v>-63</v>
      </c>
      <c r="B95" s="21">
        <v>17</v>
      </c>
      <c r="C95" s="26">
        <f t="shared" si="3"/>
        <v>4.0234898828837915</v>
      </c>
      <c r="D95" s="26"/>
      <c r="E95" s="26"/>
      <c r="F95" s="26"/>
      <c r="G95" s="26"/>
      <c r="H95" s="26"/>
      <c r="I95" s="26"/>
      <c r="J95" s="26"/>
      <c r="K95" s="26"/>
      <c r="L95" s="26"/>
      <c r="M95" s="80"/>
      <c r="N95" s="80"/>
      <c r="O95" s="80"/>
      <c r="P95" s="81"/>
      <c r="Q95" s="81"/>
      <c r="R95" s="81"/>
      <c r="S95" s="81"/>
      <c r="T95" s="81"/>
      <c r="U95" s="3"/>
      <c r="V95" s="88"/>
      <c r="W95" s="88"/>
      <c r="X95" s="88"/>
      <c r="Y95" s="88"/>
      <c r="Z95" s="88"/>
      <c r="AA95" s="88"/>
      <c r="AB95" s="88"/>
      <c r="AC95" s="88"/>
      <c r="AE95">
        <f t="shared" si="4"/>
        <v>-63</v>
      </c>
      <c r="AG95" s="113">
        <f t="shared" si="5"/>
        <v>4.0234898828837915</v>
      </c>
      <c r="AH95" s="97"/>
      <c r="AI95" s="97"/>
      <c r="AJ95" s="97"/>
      <c r="AK95" s="97"/>
      <c r="AL95" s="97"/>
      <c r="AM95" s="97"/>
      <c r="AN95" s="97"/>
      <c r="AO95" s="97"/>
    </row>
    <row r="96" spans="1:41" ht="14">
      <c r="A96">
        <f t="shared" si="2"/>
        <v>-62</v>
      </c>
      <c r="B96" s="21">
        <v>18</v>
      </c>
      <c r="C96" s="26">
        <f t="shared" si="3"/>
        <v>4.643049323596939</v>
      </c>
      <c r="D96" s="26"/>
      <c r="E96" s="26"/>
      <c r="F96" s="26"/>
      <c r="G96" s="26"/>
      <c r="H96" s="26"/>
      <c r="I96" s="26"/>
      <c r="J96" s="26"/>
      <c r="K96" s="26"/>
      <c r="L96" s="26"/>
      <c r="M96" s="80"/>
      <c r="N96" s="80"/>
      <c r="O96" s="80"/>
      <c r="P96" s="81"/>
      <c r="Q96" s="81"/>
      <c r="R96" s="81"/>
      <c r="S96" s="81"/>
      <c r="T96" s="81"/>
      <c r="U96" s="3"/>
      <c r="V96" s="88"/>
      <c r="W96" s="88"/>
      <c r="X96" s="88"/>
      <c r="Y96" s="88"/>
      <c r="Z96" s="88"/>
      <c r="AA96" s="88"/>
      <c r="AB96" s="88"/>
      <c r="AC96" s="88"/>
      <c r="AE96">
        <f t="shared" si="4"/>
        <v>-62</v>
      </c>
      <c r="AG96" s="113">
        <f t="shared" si="5"/>
        <v>4.643049323596939</v>
      </c>
      <c r="AH96" s="97"/>
      <c r="AI96" s="97"/>
      <c r="AJ96" s="97"/>
      <c r="AK96" s="97"/>
      <c r="AL96" s="97"/>
      <c r="AM96" s="97"/>
      <c r="AN96" s="97"/>
      <c r="AO96" s="97"/>
    </row>
    <row r="97" spans="1:41" ht="14">
      <c r="A97">
        <f t="shared" si="2"/>
        <v>-61</v>
      </c>
      <c r="B97" s="21">
        <v>19</v>
      </c>
      <c r="C97" s="26">
        <f t="shared" si="3"/>
        <v>5.3090811857751401</v>
      </c>
      <c r="D97" s="26"/>
      <c r="E97" s="26"/>
      <c r="F97" s="26"/>
      <c r="G97" s="26"/>
      <c r="H97" s="26"/>
      <c r="I97" s="26"/>
      <c r="J97" s="26"/>
      <c r="K97" s="26"/>
      <c r="L97" s="26"/>
      <c r="M97" s="80"/>
      <c r="N97" s="80"/>
      <c r="O97" s="80"/>
      <c r="P97" s="81"/>
      <c r="Q97" s="81"/>
      <c r="R97" s="81"/>
      <c r="S97" s="81"/>
      <c r="T97" s="81"/>
      <c r="U97" s="3"/>
      <c r="V97" s="88"/>
      <c r="W97" s="88"/>
      <c r="X97" s="88"/>
      <c r="Y97" s="88"/>
      <c r="Z97" s="88"/>
      <c r="AA97" s="88"/>
      <c r="AB97" s="88"/>
      <c r="AC97" s="88"/>
      <c r="AE97">
        <f t="shared" si="4"/>
        <v>-61</v>
      </c>
      <c r="AG97" s="113">
        <f t="shared" si="5"/>
        <v>5.3090811857751401</v>
      </c>
      <c r="AH97" s="97"/>
      <c r="AI97" s="97"/>
      <c r="AJ97" s="97"/>
      <c r="AK97" s="97"/>
      <c r="AL97" s="97"/>
      <c r="AM97" s="97"/>
      <c r="AN97" s="97"/>
      <c r="AO97" s="97"/>
    </row>
    <row r="98" spans="1:41" ht="14">
      <c r="A98">
        <f t="shared" si="2"/>
        <v>-60</v>
      </c>
      <c r="B98" s="21">
        <v>20</v>
      </c>
      <c r="C98" s="26">
        <f t="shared" si="3"/>
        <v>6.020942088137498</v>
      </c>
      <c r="D98" s="26"/>
      <c r="E98" s="26"/>
      <c r="F98" s="26"/>
      <c r="G98" s="26"/>
      <c r="H98" s="26"/>
      <c r="I98" s="26"/>
      <c r="J98" s="26"/>
      <c r="K98" s="26"/>
      <c r="L98" s="26"/>
      <c r="M98" s="80"/>
      <c r="N98" s="80"/>
      <c r="O98" s="80"/>
      <c r="P98" s="81"/>
      <c r="Q98" s="81"/>
      <c r="R98" s="81"/>
      <c r="S98" s="81"/>
      <c r="T98" s="81"/>
      <c r="U98" s="3"/>
      <c r="V98" s="88"/>
      <c r="W98" s="88"/>
      <c r="X98" s="88"/>
      <c r="Y98" s="88"/>
      <c r="Z98" s="88"/>
      <c r="AA98" s="88"/>
      <c r="AB98" s="88"/>
      <c r="AC98" s="88"/>
      <c r="AE98">
        <f t="shared" si="4"/>
        <v>-60</v>
      </c>
      <c r="AG98" s="113">
        <f t="shared" si="5"/>
        <v>6.020942088137498</v>
      </c>
      <c r="AH98" s="97"/>
      <c r="AI98" s="97"/>
      <c r="AJ98" s="97"/>
      <c r="AK98" s="97"/>
      <c r="AL98" s="97"/>
      <c r="AM98" s="97"/>
      <c r="AN98" s="97"/>
      <c r="AO98" s="97"/>
    </row>
    <row r="99" spans="1:41" ht="14">
      <c r="A99">
        <f t="shared" si="2"/>
        <v>-59</v>
      </c>
      <c r="B99" s="21">
        <v>21</v>
      </c>
      <c r="C99" s="26">
        <f t="shared" si="3"/>
        <v>6.7778402820363954</v>
      </c>
      <c r="D99" s="26"/>
      <c r="E99" s="26"/>
      <c r="F99" s="26"/>
      <c r="G99" s="26"/>
      <c r="H99" s="26"/>
      <c r="I99" s="26"/>
      <c r="J99" s="26"/>
      <c r="K99" s="26"/>
      <c r="L99" s="26"/>
      <c r="M99" s="80"/>
      <c r="N99" s="80"/>
      <c r="O99" s="80"/>
      <c r="P99" s="81"/>
      <c r="Q99" s="81"/>
      <c r="R99" s="81"/>
      <c r="S99" s="81"/>
      <c r="T99" s="81"/>
      <c r="U99" s="3"/>
      <c r="V99" s="88"/>
      <c r="W99" s="88"/>
      <c r="X99" s="88"/>
      <c r="Y99" s="88"/>
      <c r="Z99" s="88"/>
      <c r="AA99" s="88"/>
      <c r="AB99" s="88"/>
      <c r="AC99" s="88"/>
      <c r="AE99">
        <f t="shared" si="4"/>
        <v>-59</v>
      </c>
      <c r="AG99" s="113">
        <f t="shared" si="5"/>
        <v>6.7778402820363954</v>
      </c>
      <c r="AH99" s="97"/>
      <c r="AI99" s="97"/>
      <c r="AJ99" s="97"/>
      <c r="AK99" s="97"/>
      <c r="AL99" s="97"/>
      <c r="AM99" s="97"/>
      <c r="AN99" s="97"/>
      <c r="AO99" s="97"/>
    </row>
    <row r="100" spans="1:41" ht="14">
      <c r="A100">
        <f t="shared" si="2"/>
        <v>-58</v>
      </c>
      <c r="B100" s="21">
        <v>22</v>
      </c>
      <c r="C100" s="26">
        <f t="shared" si="3"/>
        <v>7.5788536564457836</v>
      </c>
      <c r="D100" s="26"/>
      <c r="E100" s="26"/>
      <c r="F100" s="26"/>
      <c r="G100" s="26"/>
      <c r="H100" s="26"/>
      <c r="I100" s="26"/>
      <c r="J100" s="26"/>
      <c r="K100" s="26"/>
      <c r="L100" s="26"/>
      <c r="M100" s="80"/>
      <c r="N100" s="80"/>
      <c r="O100" s="80"/>
      <c r="P100" s="81"/>
      <c r="Q100" s="81"/>
      <c r="R100" s="81"/>
      <c r="S100" s="81"/>
      <c r="T100" s="81"/>
      <c r="U100" s="3"/>
      <c r="V100" s="88"/>
      <c r="W100" s="88"/>
      <c r="X100" s="88"/>
      <c r="Y100" s="88"/>
      <c r="Z100" s="88"/>
      <c r="AA100" s="88"/>
      <c r="AB100" s="88"/>
      <c r="AC100" s="88"/>
      <c r="AE100">
        <f t="shared" si="4"/>
        <v>-58</v>
      </c>
      <c r="AG100" s="113">
        <f t="shared" si="5"/>
        <v>7.5788536564457836</v>
      </c>
      <c r="AH100" s="97"/>
      <c r="AI100" s="97"/>
      <c r="AJ100" s="97"/>
      <c r="AK100" s="97"/>
      <c r="AL100" s="97"/>
      <c r="AM100" s="97"/>
      <c r="AN100" s="97"/>
      <c r="AO100" s="97"/>
    </row>
    <row r="101" spans="1:41" ht="14">
      <c r="A101">
        <f t="shared" si="2"/>
        <v>-57</v>
      </c>
      <c r="B101" s="21">
        <v>23</v>
      </c>
      <c r="C101" s="26">
        <f t="shared" si="3"/>
        <v>8.4229462860755522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80"/>
      <c r="N101" s="80"/>
      <c r="O101" s="80"/>
      <c r="P101" s="81"/>
      <c r="Q101" s="81"/>
      <c r="R101" s="81"/>
      <c r="S101" s="81"/>
      <c r="T101" s="81"/>
      <c r="U101" s="3"/>
      <c r="V101" s="88"/>
      <c r="W101" s="88"/>
      <c r="X101" s="88"/>
      <c r="Y101" s="88"/>
      <c r="Z101" s="88"/>
      <c r="AA101" s="88"/>
      <c r="AB101" s="88"/>
      <c r="AC101" s="88"/>
      <c r="AE101">
        <f t="shared" si="4"/>
        <v>-57</v>
      </c>
      <c r="AG101" s="113">
        <f t="shared" si="5"/>
        <v>8.4229462860755522</v>
      </c>
      <c r="AH101" s="97"/>
      <c r="AI101" s="97"/>
      <c r="AJ101" s="97"/>
      <c r="AK101" s="97"/>
      <c r="AL101" s="97"/>
      <c r="AM101" s="97"/>
      <c r="AN101" s="97"/>
      <c r="AO101" s="97"/>
    </row>
    <row r="102" spans="1:41" ht="14">
      <c r="A102">
        <f t="shared" si="2"/>
        <v>-56</v>
      </c>
      <c r="B102" s="21">
        <v>24</v>
      </c>
      <c r="C102" s="26">
        <f t="shared" si="3"/>
        <v>9.3089836242797599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80"/>
      <c r="N102" s="80"/>
      <c r="O102" s="80"/>
      <c r="P102" s="81"/>
      <c r="Q102" s="81"/>
      <c r="R102" s="81"/>
      <c r="S102" s="81"/>
      <c r="T102" s="81"/>
      <c r="U102" s="3"/>
      <c r="V102" s="88"/>
      <c r="W102" s="88"/>
      <c r="X102" s="88"/>
      <c r="Y102" s="88"/>
      <c r="Z102" s="88"/>
      <c r="AA102" s="88"/>
      <c r="AB102" s="88"/>
      <c r="AC102" s="88"/>
      <c r="AE102">
        <f t="shared" si="4"/>
        <v>-56</v>
      </c>
      <c r="AG102" s="113">
        <f t="shared" si="5"/>
        <v>9.3089836242797599</v>
      </c>
      <c r="AH102" s="97"/>
      <c r="AI102" s="97"/>
      <c r="AJ102" s="97"/>
      <c r="AK102" s="97"/>
      <c r="AL102" s="97"/>
      <c r="AM102" s="97"/>
      <c r="AN102" s="97"/>
      <c r="AO102" s="97"/>
    </row>
    <row r="103" spans="1:41" ht="14">
      <c r="A103">
        <f t="shared" si="2"/>
        <v>-55</v>
      </c>
      <c r="B103" s="21">
        <v>25</v>
      </c>
      <c r="C103" s="26">
        <f t="shared" si="3"/>
        <v>10.235746435830315</v>
      </c>
      <c r="D103" s="26"/>
      <c r="E103" s="26"/>
      <c r="F103" s="26"/>
      <c r="G103" s="26"/>
      <c r="H103" s="26" t="s">
        <v>159</v>
      </c>
      <c r="I103" s="26"/>
      <c r="J103" s="26"/>
      <c r="K103" s="26"/>
      <c r="L103" s="26"/>
      <c r="M103" s="80"/>
      <c r="N103" s="80"/>
      <c r="O103" s="80"/>
      <c r="P103" s="81"/>
      <c r="Q103" s="81"/>
      <c r="R103" s="81"/>
      <c r="S103" s="81"/>
      <c r="T103" s="81"/>
      <c r="U103" s="3"/>
      <c r="V103" s="88"/>
      <c r="W103" s="88"/>
      <c r="X103" s="88"/>
      <c r="Y103" s="88"/>
      <c r="Z103" s="88"/>
      <c r="AA103" s="88"/>
      <c r="AB103" s="88"/>
      <c r="AC103" s="88"/>
      <c r="AE103">
        <f t="shared" si="4"/>
        <v>-55</v>
      </c>
      <c r="AG103" s="113">
        <f t="shared" si="5"/>
        <v>10.235746435830315</v>
      </c>
      <c r="AH103" s="97"/>
      <c r="AI103" s="97"/>
      <c r="AJ103" s="97"/>
      <c r="AK103" s="97"/>
      <c r="AL103" s="97"/>
      <c r="AM103" s="97"/>
      <c r="AN103" s="97"/>
      <c r="AO103" s="97"/>
    </row>
    <row r="104" spans="1:41" ht="14">
      <c r="A104">
        <f t="shared" si="2"/>
        <v>-54</v>
      </c>
      <c r="B104" s="21">
        <v>26</v>
      </c>
      <c r="C104" s="26">
        <f t="shared" si="3"/>
        <v>11.201943558441718</v>
      </c>
      <c r="D104" s="26"/>
      <c r="E104" s="26"/>
      <c r="F104" s="26"/>
      <c r="G104" s="26"/>
      <c r="H104" s="26"/>
      <c r="I104" s="26"/>
      <c r="J104" s="26"/>
      <c r="K104" s="26"/>
      <c r="L104" s="26"/>
      <c r="M104" s="80"/>
      <c r="N104" s="80"/>
      <c r="O104" s="80"/>
      <c r="P104" s="81"/>
      <c r="Q104" s="81"/>
      <c r="R104" s="81"/>
      <c r="S104" s="81"/>
      <c r="T104" s="81"/>
      <c r="U104" s="3"/>
      <c r="V104" s="88"/>
      <c r="W104" s="88"/>
      <c r="X104" s="88"/>
      <c r="Y104" s="88"/>
      <c r="Z104" s="88"/>
      <c r="AA104" s="88"/>
      <c r="AB104" s="88"/>
      <c r="AC104" s="88"/>
      <c r="AE104">
        <f t="shared" si="4"/>
        <v>-54</v>
      </c>
      <c r="AG104" s="113">
        <f t="shared" si="5"/>
        <v>11.201943558441718</v>
      </c>
      <c r="AH104" s="97"/>
      <c r="AI104" s="97"/>
      <c r="AJ104" s="97"/>
      <c r="AK104" s="97"/>
      <c r="AL104" s="97"/>
      <c r="AM104" s="97"/>
      <c r="AN104" s="97"/>
      <c r="AO104" s="97"/>
    </row>
    <row r="105" spans="1:41" ht="14">
      <c r="A105">
        <f t="shared" si="2"/>
        <v>-53</v>
      </c>
      <c r="B105" s="21">
        <v>27</v>
      </c>
      <c r="C105" s="26">
        <f t="shared" si="3"/>
        <v>12.206223576133153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80"/>
      <c r="N105" s="80"/>
      <c r="O105" s="80"/>
      <c r="P105" s="81"/>
      <c r="Q105" s="81"/>
      <c r="R105" s="81"/>
      <c r="S105" s="81"/>
      <c r="T105" s="81"/>
      <c r="U105" s="3"/>
      <c r="V105" s="88"/>
      <c r="W105" s="88"/>
      <c r="X105" s="88"/>
      <c r="Y105" s="88"/>
      <c r="Z105" s="88"/>
      <c r="AA105" s="88"/>
      <c r="AB105" s="88"/>
      <c r="AC105" s="88"/>
      <c r="AE105">
        <f t="shared" si="4"/>
        <v>-53</v>
      </c>
      <c r="AG105" s="113">
        <f t="shared" si="5"/>
        <v>12.206223576133153</v>
      </c>
      <c r="AH105" s="97"/>
      <c r="AI105" s="97"/>
      <c r="AJ105" s="97"/>
      <c r="AK105" s="97"/>
      <c r="AL105" s="97"/>
      <c r="AM105" s="97"/>
      <c r="AN105" s="97"/>
      <c r="AO105" s="97"/>
    </row>
    <row r="106" spans="1:41" ht="14">
      <c r="A106">
        <f t="shared" si="2"/>
        <v>-52</v>
      </c>
      <c r="B106" s="21">
        <v>28</v>
      </c>
      <c r="C106" s="26">
        <f t="shared" si="3"/>
        <v>13.247185482076821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80"/>
      <c r="N106" s="80"/>
      <c r="O106" s="80"/>
      <c r="P106" s="81"/>
      <c r="Q106" s="81"/>
      <c r="R106" s="81"/>
      <c r="S106" s="81"/>
      <c r="T106" s="81"/>
      <c r="U106" s="3"/>
      <c r="V106" s="88"/>
      <c r="W106" s="88"/>
      <c r="X106" s="88"/>
      <c r="Y106" s="88"/>
      <c r="Z106" s="88"/>
      <c r="AA106" s="88"/>
      <c r="AB106" s="88"/>
      <c r="AC106" s="88"/>
      <c r="AE106">
        <f t="shared" si="4"/>
        <v>-52</v>
      </c>
      <c r="AG106" s="113">
        <f t="shared" si="5"/>
        <v>13.247185482076821</v>
      </c>
      <c r="AH106" s="97"/>
      <c r="AI106" s="97"/>
      <c r="AJ106" s="97"/>
      <c r="AK106" s="97"/>
      <c r="AL106" s="97"/>
      <c r="AM106" s="97"/>
      <c r="AN106" s="97"/>
      <c r="AO106" s="97"/>
    </row>
    <row r="107" spans="1:41" ht="14">
      <c r="A107">
        <f t="shared" si="2"/>
        <v>-51</v>
      </c>
      <c r="B107" s="21">
        <v>29</v>
      </c>
      <c r="C107" s="26">
        <f t="shared" si="3"/>
        <v>14.323388403485012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80"/>
      <c r="N107" s="80"/>
      <c r="O107" s="80"/>
      <c r="P107" s="81"/>
      <c r="Q107" s="81"/>
      <c r="R107" s="81"/>
      <c r="S107" s="81"/>
      <c r="T107" s="81"/>
      <c r="U107" s="3"/>
      <c r="V107" s="88"/>
      <c r="W107" s="88"/>
      <c r="X107" s="88"/>
      <c r="Y107" s="88"/>
      <c r="Z107" s="88"/>
      <c r="AA107" s="88"/>
      <c r="AB107" s="88"/>
      <c r="AC107" s="88"/>
      <c r="AE107">
        <f t="shared" si="4"/>
        <v>-51</v>
      </c>
      <c r="AG107" s="113">
        <f t="shared" si="5"/>
        <v>14.323388403485012</v>
      </c>
      <c r="AH107" s="97"/>
      <c r="AI107" s="97"/>
      <c r="AJ107" s="97"/>
      <c r="AK107" s="97"/>
      <c r="AL107" s="97"/>
      <c r="AM107" s="97"/>
      <c r="AN107" s="97"/>
      <c r="AO107" s="97"/>
    </row>
    <row r="108" spans="1:41" ht="14">
      <c r="A108">
        <f t="shared" si="2"/>
        <v>-50</v>
      </c>
      <c r="B108" s="21">
        <v>30</v>
      </c>
      <c r="C108" s="26">
        <f t="shared" si="3"/>
        <v>15.433360456310989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80"/>
      <c r="N108" s="80"/>
      <c r="O108" s="80"/>
      <c r="P108" s="81"/>
      <c r="Q108" s="81"/>
      <c r="R108" s="81"/>
      <c r="S108" s="81"/>
      <c r="T108" s="81"/>
      <c r="U108" s="3"/>
      <c r="V108" s="88"/>
      <c r="W108" s="88"/>
      <c r="X108" s="88"/>
      <c r="Y108" s="88"/>
      <c r="Z108" s="88"/>
      <c r="AA108" s="88"/>
      <c r="AB108" s="88"/>
      <c r="AC108" s="88"/>
      <c r="AE108">
        <f t="shared" si="4"/>
        <v>-50</v>
      </c>
      <c r="AG108" s="113">
        <f t="shared" si="5"/>
        <v>15.433360456310989</v>
      </c>
      <c r="AH108" s="97"/>
      <c r="AI108" s="97"/>
      <c r="AJ108" s="97"/>
      <c r="AK108" s="97"/>
      <c r="AL108" s="97"/>
      <c r="AM108" s="97"/>
      <c r="AN108" s="97"/>
      <c r="AO108" s="97"/>
    </row>
    <row r="109" spans="1:41" ht="14">
      <c r="A109">
        <f t="shared" si="2"/>
        <v>-49</v>
      </c>
      <c r="B109" s="21">
        <v>31</v>
      </c>
      <c r="C109" s="26">
        <f t="shared" si="3"/>
        <v>16.575606793061986</v>
      </c>
      <c r="D109" s="26"/>
      <c r="E109" s="26"/>
      <c r="F109" s="26"/>
      <c r="G109" s="26"/>
      <c r="H109" s="26"/>
      <c r="I109" s="26"/>
      <c r="J109" s="26"/>
      <c r="K109" s="26"/>
      <c r="L109" s="26"/>
      <c r="M109" s="80"/>
      <c r="N109" s="80"/>
      <c r="O109" s="80"/>
      <c r="P109" s="81"/>
      <c r="Q109" s="81"/>
      <c r="R109" s="81"/>
      <c r="S109" s="81"/>
      <c r="T109" s="81"/>
      <c r="U109" s="3"/>
      <c r="V109" s="88"/>
      <c r="W109" s="88"/>
      <c r="X109" s="88"/>
      <c r="Y109" s="88"/>
      <c r="Z109" s="88"/>
      <c r="AA109" s="88"/>
      <c r="AB109" s="88"/>
      <c r="AC109" s="88"/>
      <c r="AE109">
        <f t="shared" si="4"/>
        <v>-49</v>
      </c>
      <c r="AG109" s="113">
        <f t="shared" si="5"/>
        <v>16.575606793061986</v>
      </c>
      <c r="AH109" s="97"/>
      <c r="AI109" s="97"/>
      <c r="AJ109" s="97"/>
      <c r="AK109" s="97"/>
      <c r="AL109" s="97"/>
      <c r="AM109" s="97"/>
      <c r="AN109" s="97"/>
      <c r="AO109" s="97"/>
    </row>
    <row r="110" spans="1:41" ht="14">
      <c r="A110">
        <f t="shared" si="2"/>
        <v>-48</v>
      </c>
      <c r="B110" s="21">
        <v>32</v>
      </c>
      <c r="C110" s="26">
        <f t="shared" si="3"/>
        <v>17.74861690282755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80"/>
      <c r="N110" s="80"/>
      <c r="O110" s="80"/>
      <c r="P110" s="81"/>
      <c r="Q110" s="81"/>
      <c r="R110" s="81"/>
      <c r="S110" s="81"/>
      <c r="T110" s="81"/>
      <c r="U110" s="3"/>
      <c r="V110" s="88"/>
      <c r="W110" s="88"/>
      <c r="X110" s="88"/>
      <c r="Y110" s="88"/>
      <c r="Z110" s="88"/>
      <c r="AA110" s="88"/>
      <c r="AB110" s="88"/>
      <c r="AC110" s="88"/>
      <c r="AE110">
        <f t="shared" si="4"/>
        <v>-48</v>
      </c>
      <c r="AG110" s="113">
        <f t="shared" si="5"/>
        <v>17.74861690282755</v>
      </c>
      <c r="AH110" s="97"/>
      <c r="AI110" s="97"/>
      <c r="AJ110" s="97"/>
      <c r="AK110" s="97"/>
      <c r="AL110" s="97"/>
      <c r="AM110" s="97"/>
      <c r="AN110" s="97"/>
      <c r="AO110" s="97"/>
    </row>
    <row r="111" spans="1:41" ht="14">
      <c r="A111">
        <f t="shared" si="2"/>
        <v>-47</v>
      </c>
      <c r="B111" s="21">
        <v>33</v>
      </c>
      <c r="C111" s="26">
        <f t="shared" si="3"/>
        <v>18.950871218695532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80"/>
      <c r="N111" s="80"/>
      <c r="O111" s="80"/>
      <c r="P111" s="81"/>
      <c r="Q111" s="81"/>
      <c r="R111" s="81"/>
      <c r="S111" s="81"/>
      <c r="T111" s="81"/>
      <c r="U111" s="3"/>
      <c r="V111" s="88"/>
      <c r="W111" s="88"/>
      <c r="X111" s="88"/>
      <c r="Y111" s="88"/>
      <c r="Z111" s="88"/>
      <c r="AA111" s="88"/>
      <c r="AB111" s="88"/>
      <c r="AC111" s="88"/>
      <c r="AE111">
        <f t="shared" si="4"/>
        <v>-47</v>
      </c>
      <c r="AG111" s="113">
        <f t="shared" si="5"/>
        <v>18.950871218695532</v>
      </c>
      <c r="AH111" s="97"/>
      <c r="AI111" s="97"/>
      <c r="AJ111" s="97"/>
      <c r="AK111" s="97"/>
      <c r="AL111" s="97"/>
      <c r="AM111" s="97"/>
      <c r="AN111" s="97"/>
      <c r="AO111" s="97"/>
    </row>
    <row r="112" spans="1:41" ht="14">
      <c r="A112">
        <f t="shared" si="2"/>
        <v>-46</v>
      </c>
      <c r="B112" s="21">
        <v>34</v>
      </c>
      <c r="C112" s="26">
        <f t="shared" si="3"/>
        <v>20.180847084046018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80"/>
      <c r="N112" s="80"/>
      <c r="O112" s="80"/>
      <c r="P112" s="81"/>
      <c r="Q112" s="81"/>
      <c r="R112" s="81"/>
      <c r="S112" s="81"/>
      <c r="T112" s="81"/>
      <c r="U112" s="3"/>
      <c r="V112" s="88"/>
      <c r="W112" s="88"/>
      <c r="X112" s="88"/>
      <c r="Y112" s="88"/>
      <c r="Z112" s="88"/>
      <c r="AA112" s="88"/>
      <c r="AB112" s="88"/>
      <c r="AC112" s="88"/>
      <c r="AE112">
        <f t="shared" si="4"/>
        <v>-46</v>
      </c>
      <c r="AG112" s="113">
        <f t="shared" si="5"/>
        <v>20.180847084046018</v>
      </c>
      <c r="AH112" s="97"/>
      <c r="AI112" s="97"/>
      <c r="AJ112" s="97"/>
      <c r="AK112" s="97"/>
      <c r="AL112" s="97"/>
      <c r="AM112" s="97"/>
      <c r="AN112" s="97"/>
      <c r="AO112" s="97"/>
    </row>
    <row r="113" spans="1:41" ht="14">
      <c r="A113">
        <f t="shared" si="2"/>
        <v>-45</v>
      </c>
      <c r="B113" s="21">
        <v>35</v>
      </c>
      <c r="C113" s="26">
        <f t="shared" si="3"/>
        <v>21.43702412576425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80"/>
      <c r="N113" s="80"/>
      <c r="O113" s="80"/>
      <c r="P113" s="81"/>
      <c r="Q113" s="81"/>
      <c r="R113" s="81"/>
      <c r="S113" s="81"/>
      <c r="T113" s="81"/>
      <c r="U113" s="3"/>
      <c r="V113" s="88"/>
      <c r="W113" s="88"/>
      <c r="X113" s="88"/>
      <c r="Y113" s="88"/>
      <c r="Z113" s="88"/>
      <c r="AA113" s="88"/>
      <c r="AB113" s="88"/>
      <c r="AC113" s="88"/>
      <c r="AE113">
        <f t="shared" si="4"/>
        <v>-45</v>
      </c>
      <c r="AG113" s="113">
        <f t="shared" si="5"/>
        <v>21.43702412576425</v>
      </c>
      <c r="AH113" s="97"/>
      <c r="AI113" s="97"/>
      <c r="AJ113" s="97"/>
      <c r="AK113" s="97"/>
      <c r="AL113" s="97"/>
      <c r="AM113" s="97"/>
      <c r="AN113" s="97"/>
      <c r="AO113" s="97"/>
    </row>
    <row r="114" spans="1:41" ht="14">
      <c r="A114">
        <f t="shared" si="2"/>
        <v>-44</v>
      </c>
      <c r="B114" s="21">
        <v>36</v>
      </c>
      <c r="C114" s="26">
        <f t="shared" si="3"/>
        <v>22.717889079182989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80"/>
      <c r="N114" s="80"/>
      <c r="O114" s="80"/>
      <c r="P114" s="81"/>
      <c r="Q114" s="81"/>
      <c r="R114" s="81"/>
      <c r="S114" s="81"/>
      <c r="T114" s="81"/>
      <c r="U114" s="3"/>
      <c r="V114" s="88"/>
      <c r="W114" s="88"/>
      <c r="X114" s="88"/>
      <c r="Y114" s="88"/>
      <c r="Z114" s="88"/>
      <c r="AA114" s="88"/>
      <c r="AB114" s="88"/>
      <c r="AC114" s="88"/>
      <c r="AE114">
        <f t="shared" si="4"/>
        <v>-44</v>
      </c>
      <c r="AG114" s="113">
        <f t="shared" si="5"/>
        <v>22.717889079182989</v>
      </c>
      <c r="AH114" s="97"/>
      <c r="AI114" s="97"/>
      <c r="AJ114" s="97"/>
      <c r="AK114" s="97"/>
      <c r="AL114" s="97"/>
      <c r="AM114" s="97"/>
      <c r="AN114" s="97"/>
      <c r="AO114" s="97"/>
    </row>
    <row r="115" spans="1:41" ht="14">
      <c r="A115">
        <f t="shared" si="2"/>
        <v>-43</v>
      </c>
      <c r="B115" s="21">
        <v>37</v>
      </c>
      <c r="C115" s="26">
        <f t="shared" si="3"/>
        <v>24.021940106540239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80"/>
      <c r="N115" s="80"/>
      <c r="O115" s="80"/>
      <c r="P115" s="81"/>
      <c r="Q115" s="81"/>
      <c r="R115" s="81"/>
      <c r="S115" s="81"/>
      <c r="T115" s="81"/>
      <c r="U115" s="3"/>
      <c r="V115" s="88"/>
      <c r="W115" s="88"/>
      <c r="X115" s="88"/>
      <c r="Y115" s="88"/>
      <c r="Z115" s="88"/>
      <c r="AA115" s="88"/>
      <c r="AB115" s="88"/>
      <c r="AC115" s="88"/>
      <c r="AE115">
        <f t="shared" si="4"/>
        <v>-43</v>
      </c>
      <c r="AG115" s="113">
        <f t="shared" si="5"/>
        <v>24.021940106540239</v>
      </c>
      <c r="AH115" s="97"/>
      <c r="AI115" s="97"/>
      <c r="AJ115" s="97"/>
      <c r="AK115" s="97"/>
      <c r="AL115" s="97"/>
      <c r="AM115" s="97"/>
      <c r="AN115" s="97"/>
      <c r="AO115" s="97"/>
    </row>
    <row r="116" spans="1:41" ht="14">
      <c r="A116">
        <f t="shared" si="2"/>
        <v>-42</v>
      </c>
      <c r="B116" s="21">
        <v>38</v>
      </c>
      <c r="C116" s="26">
        <f t="shared" si="3"/>
        <v>25.347690647905036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80"/>
      <c r="N116" s="80"/>
      <c r="O116" s="80"/>
      <c r="P116" s="81"/>
      <c r="Q116" s="81"/>
      <c r="R116" s="81"/>
      <c r="S116" s="81"/>
      <c r="T116" s="81"/>
      <c r="U116" s="3"/>
      <c r="V116" s="88"/>
      <c r="W116" s="88"/>
      <c r="X116" s="88"/>
      <c r="Y116" s="88"/>
      <c r="Z116" s="88"/>
      <c r="AA116" s="88"/>
      <c r="AB116" s="88"/>
      <c r="AC116" s="88"/>
      <c r="AE116">
        <f t="shared" si="4"/>
        <v>-42</v>
      </c>
      <c r="AG116" s="113">
        <f t="shared" si="5"/>
        <v>25.347690647905036</v>
      </c>
      <c r="AH116" s="97"/>
      <c r="AI116" s="97"/>
      <c r="AJ116" s="97"/>
      <c r="AK116" s="97"/>
      <c r="AL116" s="97"/>
      <c r="AM116" s="97"/>
      <c r="AN116" s="97"/>
      <c r="AO116" s="97"/>
    </row>
    <row r="117" spans="1:41" ht="14">
      <c r="A117">
        <f t="shared" si="2"/>
        <v>-41</v>
      </c>
      <c r="B117" s="21">
        <v>39</v>
      </c>
      <c r="C117" s="26">
        <f t="shared" si="3"/>
        <v>26.693672840873621</v>
      </c>
      <c r="D117" s="26"/>
      <c r="E117" s="26"/>
      <c r="F117" s="26"/>
      <c r="G117" s="26"/>
      <c r="H117" s="26"/>
      <c r="I117" s="26"/>
      <c r="J117" s="26"/>
      <c r="K117" s="26"/>
      <c r="L117" s="26"/>
      <c r="M117" s="80"/>
      <c r="N117" s="80"/>
      <c r="O117" s="80"/>
      <c r="P117" s="81"/>
      <c r="Q117" s="81"/>
      <c r="R117" s="81"/>
      <c r="S117" s="81"/>
      <c r="T117" s="81"/>
      <c r="U117" s="3"/>
      <c r="V117" s="88"/>
      <c r="W117" s="88"/>
      <c r="X117" s="88"/>
      <c r="Y117" s="88"/>
      <c r="Z117" s="88"/>
      <c r="AA117" s="88"/>
      <c r="AB117" s="88"/>
      <c r="AC117" s="88"/>
      <c r="AE117">
        <f t="shared" si="4"/>
        <v>-41</v>
      </c>
      <c r="AG117" s="113">
        <f t="shared" si="5"/>
        <v>26.693672840873621</v>
      </c>
      <c r="AH117" s="97"/>
      <c r="AI117" s="97"/>
      <c r="AJ117" s="97"/>
      <c r="AK117" s="97"/>
      <c r="AL117" s="97"/>
      <c r="AM117" s="97"/>
      <c r="AN117" s="97"/>
      <c r="AO117" s="97"/>
    </row>
    <row r="118" spans="1:41" s="121" customFormat="1" ht="14">
      <c r="A118" s="121">
        <f t="shared" si="2"/>
        <v>-40</v>
      </c>
      <c r="B118" s="122">
        <v>40</v>
      </c>
      <c r="C118" s="123">
        <f t="shared" si="3"/>
        <v>28.058440542855632</v>
      </c>
      <c r="D118" s="125">
        <f>(($C$39*$C$118*0.72)*D$40)*('Product half-life and C flows'!B19/100)</f>
        <v>6.0606231572568161</v>
      </c>
      <c r="E118" s="123"/>
      <c r="F118" s="125">
        <f>($C$39*$C118*0.72)*F$40</f>
        <v>2.0202077190856054</v>
      </c>
      <c r="G118" s="125">
        <f>($C$39*$C118*0.28)*G$41</f>
        <v>0.7542108817919595</v>
      </c>
      <c r="H118" s="125">
        <f>(($C$39*$C118*0.28)*H$41)*(E145+'Product half-life and C flows'!L19/100)</f>
        <v>2.3569090055998734</v>
      </c>
      <c r="I118" s="125">
        <f>(($C$39*$C$118*0.28)*H$41)*('Product half-life and C flows'!N19/100)</f>
        <v>0</v>
      </c>
      <c r="J118" s="125">
        <f>(($C$39*$C$118*0.28)*H$41)*(+'Product half-life and C flows'!P19/100)</f>
        <v>0</v>
      </c>
      <c r="K118" s="125">
        <f>H118*K42</f>
        <v>1.3434381331919276</v>
      </c>
      <c r="L118" s="123"/>
      <c r="M118" s="124"/>
      <c r="N118" s="124"/>
      <c r="O118" s="124"/>
      <c r="U118" s="124"/>
      <c r="AE118" s="121">
        <f t="shared" si="4"/>
        <v>-40</v>
      </c>
      <c r="AF118"/>
      <c r="AG118" s="124">
        <f t="shared" si="5"/>
        <v>28.058440542855632</v>
      </c>
      <c r="AH118" s="124">
        <f t="shared" ref="AH118:AH149" si="6">D118+M118+V118</f>
        <v>6.0606231572568161</v>
      </c>
      <c r="AI118" s="124">
        <f t="shared" ref="AI118:AI149" si="7">E118+N118+W118</f>
        <v>0</v>
      </c>
      <c r="AJ118" s="124">
        <f t="shared" ref="AJ118:AJ149" si="8">F118+O118+X118</f>
        <v>2.0202077190856054</v>
      </c>
      <c r="AK118" s="124">
        <f t="shared" ref="AK118:AK149" si="9">G118+P118+Y118</f>
        <v>0.7542108817919595</v>
      </c>
      <c r="AL118" s="124">
        <f t="shared" ref="AL118:AL149" si="10">H118+Q118+Z118</f>
        <v>2.3569090055998734</v>
      </c>
      <c r="AM118" s="124">
        <f t="shared" ref="AM118:AM149" si="11">I118+R118+AA118</f>
        <v>0</v>
      </c>
      <c r="AN118" s="124">
        <f t="shared" ref="AN118:AN149" si="12">J118+S118+AB118</f>
        <v>0</v>
      </c>
      <c r="AO118" s="124">
        <f t="shared" ref="AO118:AO149" si="13">K118+T118+AC118</f>
        <v>1.3434381331919276</v>
      </c>
    </row>
    <row r="119" spans="1:41" ht="14">
      <c r="A119">
        <f t="shared" si="2"/>
        <v>-39</v>
      </c>
      <c r="B119" s="21">
        <v>41</v>
      </c>
      <c r="C119" s="26">
        <f>(B$8*(1-EXP(-B$9*$B119))^3)-(C$39*C$118)</f>
        <v>18.217195770305299</v>
      </c>
      <c r="D119" s="125">
        <f>(($C$39*$C$118*0.72)*D$40)*('Product half-life and C flows'!B20/100)</f>
        <v>5.8541760835175563</v>
      </c>
      <c r="E119" s="26"/>
      <c r="F119" s="54">
        <f>F118</f>
        <v>2.0202077190856054</v>
      </c>
      <c r="G119" s="54">
        <f>G118</f>
        <v>0.7542108817919595</v>
      </c>
      <c r="H119" s="125">
        <f>(H$118)*('Product half-life and C flows'!L20/100)</f>
        <v>2.3208830691382154</v>
      </c>
      <c r="I119" s="125">
        <f>(($C$39*$C$118*0.28)*H$41)*('Product half-life and C flows'!N20/100)</f>
        <v>1.8030981199059895E-2</v>
      </c>
      <c r="J119" s="125">
        <f>(($C$39*$C$118*0.28)*H$41)*(+'Product half-life and C flows'!P20/100)</f>
        <v>9.0064841154145342E-3</v>
      </c>
      <c r="K119" s="54">
        <f>K118</f>
        <v>1.3434381331919276</v>
      </c>
      <c r="L119" s="26"/>
      <c r="M119" s="80"/>
      <c r="N119" s="80"/>
      <c r="O119" s="80"/>
      <c r="P119" s="81"/>
      <c r="Q119" s="81"/>
      <c r="R119" s="81"/>
      <c r="S119" s="81"/>
      <c r="T119" s="81"/>
      <c r="U119" s="3"/>
      <c r="V119" s="88"/>
      <c r="W119" s="88"/>
      <c r="X119" s="88"/>
      <c r="Y119" s="88"/>
      <c r="Z119" s="88"/>
      <c r="AA119" s="88"/>
      <c r="AB119" s="88"/>
      <c r="AC119" s="88"/>
      <c r="AE119">
        <f t="shared" si="4"/>
        <v>-39</v>
      </c>
      <c r="AG119" s="113">
        <f t="shared" si="5"/>
        <v>18.217195770305299</v>
      </c>
      <c r="AH119" s="124">
        <f t="shared" si="6"/>
        <v>5.8541760835175563</v>
      </c>
      <c r="AI119" s="124">
        <f t="shared" si="7"/>
        <v>0</v>
      </c>
      <c r="AJ119" s="124">
        <f t="shared" si="8"/>
        <v>2.0202077190856054</v>
      </c>
      <c r="AK119" s="124">
        <f t="shared" si="9"/>
        <v>0.7542108817919595</v>
      </c>
      <c r="AL119" s="124">
        <f t="shared" si="10"/>
        <v>2.3208830691382154</v>
      </c>
      <c r="AM119" s="124">
        <f t="shared" si="11"/>
        <v>1.8030981199059895E-2</v>
      </c>
      <c r="AN119" s="124">
        <f t="shared" si="12"/>
        <v>9.0064841154145342E-3</v>
      </c>
      <c r="AO119" s="124">
        <f t="shared" si="13"/>
        <v>1.3434381331919276</v>
      </c>
    </row>
    <row r="120" spans="1:41" ht="14">
      <c r="A120">
        <f t="shared" si="2"/>
        <v>-38</v>
      </c>
      <c r="B120" s="21">
        <v>42</v>
      </c>
      <c r="C120" s="127">
        <f>C119+(C$158-C$119)/39</f>
        <v>19.940369192884187</v>
      </c>
      <c r="D120" s="125">
        <f>(($C$39*$C$118*0.72)*D$40)*('Product half-life and C flows'!B21/100)</f>
        <v>5.6547613549925781</v>
      </c>
      <c r="E120" s="26"/>
      <c r="F120" s="54">
        <f t="shared" ref="F120:G135" si="14">F119</f>
        <v>2.0202077190856054</v>
      </c>
      <c r="G120" s="54">
        <f t="shared" si="14"/>
        <v>0.7542108817919595</v>
      </c>
      <c r="H120" s="125">
        <f>(H$118)*('Product half-life and C flows'!L21/100)</f>
        <v>2.2854077980161422</v>
      </c>
      <c r="I120" s="125">
        <f>(($C$39*$C$118*0.28)*H$41)*('Product half-life and C flows'!N21/100)</f>
        <v>3.5786354395657444E-2</v>
      </c>
      <c r="J120" s="125">
        <f>(($C$39*$C$118*0.28)*H$41)*(+'Product half-life and C flows'!P21/100)</f>
        <v>1.7875301895932786E-2</v>
      </c>
      <c r="K120" s="54">
        <f t="shared" ref="K120:K183" si="15">K119</f>
        <v>1.3434381331919276</v>
      </c>
      <c r="L120" s="26"/>
      <c r="M120" s="80"/>
      <c r="N120" s="80"/>
      <c r="O120" s="80"/>
      <c r="P120" s="81"/>
      <c r="Q120" s="81"/>
      <c r="R120" s="81"/>
      <c r="S120" s="81"/>
      <c r="T120" s="81"/>
      <c r="U120" s="3"/>
      <c r="V120" s="88"/>
      <c r="W120" s="88"/>
      <c r="X120" s="88"/>
      <c r="Y120" s="88"/>
      <c r="Z120" s="88"/>
      <c r="AA120" s="88"/>
      <c r="AB120" s="88"/>
      <c r="AC120" s="88"/>
      <c r="AE120">
        <f t="shared" si="4"/>
        <v>-38</v>
      </c>
      <c r="AG120" s="113">
        <f t="shared" si="5"/>
        <v>19.940369192884187</v>
      </c>
      <c r="AH120" s="124">
        <f t="shared" si="6"/>
        <v>5.6547613549925781</v>
      </c>
      <c r="AI120" s="124">
        <f t="shared" si="7"/>
        <v>0</v>
      </c>
      <c r="AJ120" s="124">
        <f t="shared" si="8"/>
        <v>2.0202077190856054</v>
      </c>
      <c r="AK120" s="124">
        <f t="shared" si="9"/>
        <v>0.7542108817919595</v>
      </c>
      <c r="AL120" s="124">
        <f t="shared" si="10"/>
        <v>2.2854077980161422</v>
      </c>
      <c r="AM120" s="124">
        <f t="shared" si="11"/>
        <v>3.5786354395657444E-2</v>
      </c>
      <c r="AN120" s="124">
        <f t="shared" si="12"/>
        <v>1.7875301895932786E-2</v>
      </c>
      <c r="AO120" s="124">
        <f t="shared" si="13"/>
        <v>1.3434381331919276</v>
      </c>
    </row>
    <row r="121" spans="1:41" ht="14">
      <c r="A121">
        <f t="shared" si="2"/>
        <v>-37</v>
      </c>
      <c r="B121" s="21">
        <v>43</v>
      </c>
      <c r="C121" s="127">
        <f t="shared" ref="C121:C157" si="16">C120+(C$158-C$119)/39</f>
        <v>21.663542615463076</v>
      </c>
      <c r="D121" s="125">
        <f>(($C$39*$C$118*0.72)*D$40)*('Product half-life and C flows'!B22/100)</f>
        <v>5.4621394241876162</v>
      </c>
      <c r="E121" s="26"/>
      <c r="F121" s="54">
        <f t="shared" si="14"/>
        <v>2.0202077190856054</v>
      </c>
      <c r="G121" s="54">
        <f t="shared" si="14"/>
        <v>0.7542108817919595</v>
      </c>
      <c r="H121" s="125">
        <f>(H$118)*('Product half-life and C flows'!L22/100)</f>
        <v>2.2504747751778877</v>
      </c>
      <c r="I121" s="125">
        <f>(($C$39*$C$118*0.28)*H$41)*('Product half-life and C flows'!N22/100)</f>
        <v>5.3270332326203665E-2</v>
      </c>
      <c r="J121" s="125">
        <f>(($C$39*$C$118*0.28)*H$41)*(+'Product half-life and C flows'!P22/100)</f>
        <v>2.6608557605496335E-2</v>
      </c>
      <c r="K121" s="54">
        <f t="shared" si="15"/>
        <v>1.3434381331919276</v>
      </c>
      <c r="L121" s="26"/>
      <c r="M121" s="80"/>
      <c r="N121" s="80"/>
      <c r="O121" s="80"/>
      <c r="P121" s="81"/>
      <c r="Q121" s="81"/>
      <c r="R121" s="81"/>
      <c r="S121" s="81"/>
      <c r="T121" s="81"/>
      <c r="U121" s="3"/>
      <c r="V121" s="88"/>
      <c r="W121" s="88"/>
      <c r="X121" s="88"/>
      <c r="Y121" s="88"/>
      <c r="Z121" s="88"/>
      <c r="AA121" s="88"/>
      <c r="AB121" s="88"/>
      <c r="AC121" s="88"/>
      <c r="AE121">
        <f t="shared" si="4"/>
        <v>-37</v>
      </c>
      <c r="AG121" s="113">
        <f t="shared" si="5"/>
        <v>21.663542615463076</v>
      </c>
      <c r="AH121" s="124">
        <f t="shared" si="6"/>
        <v>5.4621394241876162</v>
      </c>
      <c r="AI121" s="124">
        <f t="shared" si="7"/>
        <v>0</v>
      </c>
      <c r="AJ121" s="124">
        <f t="shared" si="8"/>
        <v>2.0202077190856054</v>
      </c>
      <c r="AK121" s="124">
        <f t="shared" si="9"/>
        <v>0.7542108817919595</v>
      </c>
      <c r="AL121" s="124">
        <f t="shared" si="10"/>
        <v>2.2504747751778877</v>
      </c>
      <c r="AM121" s="124">
        <f t="shared" si="11"/>
        <v>5.3270332326203665E-2</v>
      </c>
      <c r="AN121" s="124">
        <f t="shared" si="12"/>
        <v>2.6608557605496335E-2</v>
      </c>
      <c r="AO121" s="124">
        <f t="shared" si="13"/>
        <v>1.3434381331919276</v>
      </c>
    </row>
    <row r="122" spans="1:41" ht="14">
      <c r="A122">
        <f t="shared" si="2"/>
        <v>-36</v>
      </c>
      <c r="B122" s="21">
        <v>44</v>
      </c>
      <c r="C122" s="127">
        <f t="shared" si="16"/>
        <v>23.386716038041964</v>
      </c>
      <c r="D122" s="125">
        <f>(($C$39*$C$118*0.72)*D$40)*('Product half-life and C flows'!B23/100)</f>
        <v>5.2760789034754554</v>
      </c>
      <c r="E122" s="26"/>
      <c r="F122" s="54">
        <f t="shared" si="14"/>
        <v>2.0202077190856054</v>
      </c>
      <c r="G122" s="54">
        <f t="shared" si="14"/>
        <v>0.7542108817919595</v>
      </c>
      <c r="H122" s="125">
        <f>(H$118)*('Product half-life and C flows'!L23/100)</f>
        <v>2.2160757122244639</v>
      </c>
      <c r="I122" s="125">
        <f>(($C$39*$C$118*0.28)*H$41)*('Product half-life and C flows'!N23/100)</f>
        <v>7.0487063334392447E-2</v>
      </c>
      <c r="J122" s="125">
        <f>(($C$39*$C$118*0.28)*H$41)*(+'Product half-life and C flows'!P23/100)</f>
        <v>3.520832334385237E-2</v>
      </c>
      <c r="K122" s="54">
        <f t="shared" si="15"/>
        <v>1.3434381331919276</v>
      </c>
      <c r="L122" s="26"/>
      <c r="M122" s="80"/>
      <c r="N122" s="80"/>
      <c r="O122" s="80"/>
      <c r="P122" s="81"/>
      <c r="Q122" s="81"/>
      <c r="R122" s="81"/>
      <c r="S122" s="81"/>
      <c r="T122" s="81"/>
      <c r="U122" s="3"/>
      <c r="V122" s="88"/>
      <c r="W122" s="88"/>
      <c r="X122" s="88"/>
      <c r="Y122" s="88"/>
      <c r="Z122" s="88"/>
      <c r="AA122" s="88"/>
      <c r="AB122" s="88"/>
      <c r="AC122" s="88"/>
      <c r="AE122">
        <f t="shared" si="4"/>
        <v>-36</v>
      </c>
      <c r="AG122" s="113">
        <f t="shared" si="5"/>
        <v>23.386716038041964</v>
      </c>
      <c r="AH122" s="124">
        <f t="shared" si="6"/>
        <v>5.2760789034754554</v>
      </c>
      <c r="AI122" s="124">
        <f t="shared" si="7"/>
        <v>0</v>
      </c>
      <c r="AJ122" s="124">
        <f t="shared" si="8"/>
        <v>2.0202077190856054</v>
      </c>
      <c r="AK122" s="124">
        <f t="shared" si="9"/>
        <v>0.7542108817919595</v>
      </c>
      <c r="AL122" s="124">
        <f t="shared" si="10"/>
        <v>2.2160757122244639</v>
      </c>
      <c r="AM122" s="124">
        <f t="shared" si="11"/>
        <v>7.0487063334392447E-2</v>
      </c>
      <c r="AN122" s="124">
        <f t="shared" si="12"/>
        <v>3.520832334385237E-2</v>
      </c>
      <c r="AO122" s="124">
        <f t="shared" si="13"/>
        <v>1.3434381331919276</v>
      </c>
    </row>
    <row r="123" spans="1:41" ht="14">
      <c r="A123">
        <f t="shared" si="2"/>
        <v>-35</v>
      </c>
      <c r="B123" s="21">
        <v>45</v>
      </c>
      <c r="C123" s="127">
        <f t="shared" si="16"/>
        <v>25.109889460620852</v>
      </c>
      <c r="D123" s="125">
        <f>(($C$39*$C$118*0.72)*D$40)*('Product half-life and C flows'!B24/100)</f>
        <v>5.0963562871409058</v>
      </c>
      <c r="E123" s="26"/>
      <c r="F123" s="54">
        <f t="shared" si="14"/>
        <v>2.0202077190856054</v>
      </c>
      <c r="G123" s="54">
        <f t="shared" si="14"/>
        <v>0.7542108817919595</v>
      </c>
      <c r="H123" s="125">
        <f>(H$118)*('Product half-life and C flows'!L24/100)</f>
        <v>2.1822024474471067</v>
      </c>
      <c r="I123" s="125">
        <f>(($C$39*$C$118*0.28)*H$41)*('Product half-life and C flows'!N24/100)</f>
        <v>8.7440632355459791E-2</v>
      </c>
      <c r="J123" s="125">
        <f>(($C$39*$C$118*0.28)*H$41)*(+'Product half-life and C flows'!P24/100)</f>
        <v>4.3676639538191703E-2</v>
      </c>
      <c r="K123" s="54">
        <f t="shared" si="15"/>
        <v>1.3434381331919276</v>
      </c>
      <c r="L123" s="26"/>
      <c r="M123" s="80"/>
      <c r="N123" s="80"/>
      <c r="O123" s="80"/>
      <c r="P123" s="81"/>
      <c r="Q123" s="81"/>
      <c r="R123" s="81"/>
      <c r="S123" s="81"/>
      <c r="T123" s="81"/>
      <c r="U123" s="3"/>
      <c r="V123" s="88"/>
      <c r="W123" s="88"/>
      <c r="X123" s="88"/>
      <c r="Y123" s="88"/>
      <c r="Z123" s="88"/>
      <c r="AA123" s="88"/>
      <c r="AB123" s="88"/>
      <c r="AC123" s="88"/>
      <c r="AE123">
        <f t="shared" si="4"/>
        <v>-35</v>
      </c>
      <c r="AG123" s="113">
        <f t="shared" si="5"/>
        <v>25.109889460620852</v>
      </c>
      <c r="AH123" s="124">
        <f t="shared" si="6"/>
        <v>5.0963562871409058</v>
      </c>
      <c r="AI123" s="124">
        <f t="shared" si="7"/>
        <v>0</v>
      </c>
      <c r="AJ123" s="124">
        <f t="shared" si="8"/>
        <v>2.0202077190856054</v>
      </c>
      <c r="AK123" s="124">
        <f t="shared" si="9"/>
        <v>0.7542108817919595</v>
      </c>
      <c r="AL123" s="124">
        <f t="shared" si="10"/>
        <v>2.1822024474471067</v>
      </c>
      <c r="AM123" s="124">
        <f t="shared" si="11"/>
        <v>8.7440632355459791E-2</v>
      </c>
      <c r="AN123" s="124">
        <f t="shared" si="12"/>
        <v>4.3676639538191703E-2</v>
      </c>
      <c r="AO123" s="124">
        <f t="shared" si="13"/>
        <v>1.3434381331919276</v>
      </c>
    </row>
    <row r="124" spans="1:41" ht="14">
      <c r="A124">
        <f t="shared" si="2"/>
        <v>-34</v>
      </c>
      <c r="B124" s="21">
        <v>46</v>
      </c>
      <c r="C124" s="127">
        <f t="shared" si="16"/>
        <v>26.833062883199741</v>
      </c>
      <c r="D124" s="125">
        <f>(($C$39*$C$118*0.72)*D$40)*('Product half-life and C flows'!B25/100)</f>
        <v>4.9227556828939427</v>
      </c>
      <c r="E124" s="26"/>
      <c r="F124" s="54">
        <f t="shared" si="14"/>
        <v>2.0202077190856054</v>
      </c>
      <c r="G124" s="54">
        <f t="shared" si="14"/>
        <v>0.7542108817919595</v>
      </c>
      <c r="H124" s="125">
        <f>(H$118)*('Product half-life and C flows'!L25/100)</f>
        <v>2.1488469438907889</v>
      </c>
      <c r="I124" s="125">
        <f>(($C$39*$C$118*0.28)*H$41)*('Product half-life and C flows'!N25/100)</f>
        <v>0.10413506188539691</v>
      </c>
      <c r="J124" s="125">
        <f>(($C$39*$C$118*0.28)*H$41)*(+'Product half-life and C flows'!P25/100)</f>
        <v>5.2015515427271189E-2</v>
      </c>
      <c r="K124" s="54">
        <f t="shared" si="15"/>
        <v>1.3434381331919276</v>
      </c>
      <c r="L124" s="26"/>
      <c r="M124" s="80"/>
      <c r="N124" s="80"/>
      <c r="O124" s="80"/>
      <c r="P124" s="81"/>
      <c r="Q124" s="81"/>
      <c r="R124" s="81"/>
      <c r="S124" s="81"/>
      <c r="T124" s="81"/>
      <c r="U124" s="3"/>
      <c r="V124" s="88"/>
      <c r="W124" s="88"/>
      <c r="X124" s="88"/>
      <c r="Y124" s="88"/>
      <c r="Z124" s="88"/>
      <c r="AA124" s="88"/>
      <c r="AB124" s="88"/>
      <c r="AC124" s="88"/>
      <c r="AE124">
        <f t="shared" si="4"/>
        <v>-34</v>
      </c>
      <c r="AG124" s="113">
        <f t="shared" si="5"/>
        <v>26.833062883199741</v>
      </c>
      <c r="AH124" s="124">
        <f t="shared" si="6"/>
        <v>4.9227556828939427</v>
      </c>
      <c r="AI124" s="124">
        <f t="shared" si="7"/>
        <v>0</v>
      </c>
      <c r="AJ124" s="124">
        <f t="shared" si="8"/>
        <v>2.0202077190856054</v>
      </c>
      <c r="AK124" s="124">
        <f t="shared" si="9"/>
        <v>0.7542108817919595</v>
      </c>
      <c r="AL124" s="124">
        <f t="shared" si="10"/>
        <v>2.1488469438907889</v>
      </c>
      <c r="AM124" s="124">
        <f t="shared" si="11"/>
        <v>0.10413506188539691</v>
      </c>
      <c r="AN124" s="124">
        <f t="shared" si="12"/>
        <v>5.2015515427271189E-2</v>
      </c>
      <c r="AO124" s="124">
        <f t="shared" si="13"/>
        <v>1.3434381331919276</v>
      </c>
    </row>
    <row r="125" spans="1:41" ht="14">
      <c r="A125">
        <f t="shared" si="2"/>
        <v>-33</v>
      </c>
      <c r="B125" s="21">
        <v>47</v>
      </c>
      <c r="C125" s="127">
        <f t="shared" si="16"/>
        <v>28.556236305778629</v>
      </c>
      <c r="D125" s="125">
        <f>(($C$39*$C$118*0.72)*D$40)*('Product half-life and C flows'!B26/100)</f>
        <v>4.7550685525284964</v>
      </c>
      <c r="E125" s="26"/>
      <c r="F125" s="54">
        <f t="shared" si="14"/>
        <v>2.0202077190856054</v>
      </c>
      <c r="G125" s="54">
        <f t="shared" si="14"/>
        <v>0.7542108817919595</v>
      </c>
      <c r="H125" s="125">
        <f>(H$118)*('Product half-life and C flows'!L26/100)</f>
        <v>2.1160012874473257</v>
      </c>
      <c r="I125" s="125">
        <f>(($C$39*$C$118*0.28)*H$41)*('Product half-life and C flows'!N26/100)</f>
        <v>0.12057431293535013</v>
      </c>
      <c r="J125" s="125">
        <f>(($C$39*$C$118*0.28)*H$41)*(+'Product half-life and C flows'!P26/100)</f>
        <v>6.0226929538136936E-2</v>
      </c>
      <c r="K125" s="54">
        <f t="shared" si="15"/>
        <v>1.3434381331919276</v>
      </c>
      <c r="L125" s="26"/>
      <c r="M125" s="80"/>
      <c r="N125" s="80"/>
      <c r="O125" s="80"/>
      <c r="P125" s="81"/>
      <c r="Q125" s="81"/>
      <c r="R125" s="81"/>
      <c r="S125" s="81"/>
      <c r="T125" s="81"/>
      <c r="U125" s="3"/>
      <c r="V125" s="88"/>
      <c r="W125" s="88"/>
      <c r="X125" s="88"/>
      <c r="Y125" s="88"/>
      <c r="Z125" s="88"/>
      <c r="AA125" s="88"/>
      <c r="AB125" s="88"/>
      <c r="AC125" s="88"/>
      <c r="AE125">
        <f t="shared" si="4"/>
        <v>-33</v>
      </c>
      <c r="AG125" s="113">
        <f t="shared" si="5"/>
        <v>28.556236305778629</v>
      </c>
      <c r="AH125" s="124">
        <f t="shared" si="6"/>
        <v>4.7550685525284964</v>
      </c>
      <c r="AI125" s="124">
        <f t="shared" si="7"/>
        <v>0</v>
      </c>
      <c r="AJ125" s="124">
        <f t="shared" si="8"/>
        <v>2.0202077190856054</v>
      </c>
      <c r="AK125" s="124">
        <f t="shared" si="9"/>
        <v>0.7542108817919595</v>
      </c>
      <c r="AL125" s="124">
        <f t="shared" si="10"/>
        <v>2.1160012874473257</v>
      </c>
      <c r="AM125" s="124">
        <f t="shared" si="11"/>
        <v>0.12057431293535013</v>
      </c>
      <c r="AN125" s="124">
        <f t="shared" si="12"/>
        <v>6.0226929538136936E-2</v>
      </c>
      <c r="AO125" s="124">
        <f t="shared" si="13"/>
        <v>1.3434381331919276</v>
      </c>
    </row>
    <row r="126" spans="1:41" ht="14">
      <c r="A126">
        <f t="shared" si="2"/>
        <v>-32</v>
      </c>
      <c r="B126" s="21">
        <v>48</v>
      </c>
      <c r="C126" s="127">
        <f t="shared" si="16"/>
        <v>30.279409728357518</v>
      </c>
      <c r="D126" s="125">
        <f>(($C$39*$C$118*0.72)*D$40)*('Product half-life and C flows'!B27/100)</f>
        <v>4.5930934614153553</v>
      </c>
      <c r="E126" s="26"/>
      <c r="F126" s="54">
        <f t="shared" si="14"/>
        <v>2.0202077190856054</v>
      </c>
      <c r="G126" s="54">
        <f t="shared" si="14"/>
        <v>0.7542108817919595</v>
      </c>
      <c r="H126" s="125">
        <f>(H$118)*('Product half-life and C flows'!L27/100)</f>
        <v>2.0836576849776316</v>
      </c>
      <c r="I126" s="125">
        <f>(($C$39*$C$118*0.28)*H$41)*('Product half-life and C flows'!N27/100)</f>
        <v>0.13676228597143189</v>
      </c>
      <c r="J126" s="125">
        <f>(($C$39*$C$118*0.28)*H$41)*(+'Product half-life and C flows'!P27/100)</f>
        <v>6.8312830155560389E-2</v>
      </c>
      <c r="K126" s="54">
        <f t="shared" si="15"/>
        <v>1.3434381331919276</v>
      </c>
      <c r="L126" s="26"/>
      <c r="M126" s="80"/>
      <c r="N126" s="80"/>
      <c r="O126" s="80"/>
      <c r="P126" s="81"/>
      <c r="Q126" s="81"/>
      <c r="R126" s="81"/>
      <c r="S126" s="81"/>
      <c r="T126" s="81"/>
      <c r="U126" s="3"/>
      <c r="V126" s="88"/>
      <c r="W126" s="88"/>
      <c r="X126" s="88"/>
      <c r="Y126" s="88"/>
      <c r="Z126" s="88"/>
      <c r="AA126" s="88"/>
      <c r="AB126" s="88"/>
      <c r="AC126" s="88"/>
      <c r="AE126">
        <f t="shared" si="4"/>
        <v>-32</v>
      </c>
      <c r="AG126" s="113">
        <f t="shared" si="5"/>
        <v>30.279409728357518</v>
      </c>
      <c r="AH126" s="124">
        <f t="shared" si="6"/>
        <v>4.5930934614153553</v>
      </c>
      <c r="AI126" s="124">
        <f t="shared" si="7"/>
        <v>0</v>
      </c>
      <c r="AJ126" s="124">
        <f t="shared" si="8"/>
        <v>2.0202077190856054</v>
      </c>
      <c r="AK126" s="124">
        <f t="shared" si="9"/>
        <v>0.7542108817919595</v>
      </c>
      <c r="AL126" s="124">
        <f t="shared" si="10"/>
        <v>2.0836576849776316</v>
      </c>
      <c r="AM126" s="124">
        <f t="shared" si="11"/>
        <v>0.13676228597143189</v>
      </c>
      <c r="AN126" s="124">
        <f t="shared" si="12"/>
        <v>6.8312830155560389E-2</v>
      </c>
      <c r="AO126" s="124">
        <f t="shared" si="13"/>
        <v>1.3434381331919276</v>
      </c>
    </row>
    <row r="127" spans="1:41" ht="14">
      <c r="A127">
        <f t="shared" si="2"/>
        <v>-31</v>
      </c>
      <c r="B127" s="21">
        <v>49</v>
      </c>
      <c r="C127" s="127">
        <f t="shared" si="16"/>
        <v>32.00258315093641</v>
      </c>
      <c r="D127" s="125">
        <f>(($C$39*$C$118*0.72)*D$40)*('Product half-life and C flows'!B28/100)</f>
        <v>4.4366358365282599</v>
      </c>
      <c r="E127" s="26"/>
      <c r="F127" s="54">
        <f t="shared" si="14"/>
        <v>2.0202077190856054</v>
      </c>
      <c r="G127" s="54">
        <f t="shared" si="14"/>
        <v>0.7542108817919595</v>
      </c>
      <c r="H127" s="125">
        <f>(H$118)*('Product half-life and C flows'!L28/100)</f>
        <v>2.0518084624626773</v>
      </c>
      <c r="I127" s="125">
        <f>(($C$39*$C$118*0.28)*H$41)*('Product half-life and C flows'!N28/100)</f>
        <v>0.15270282184016651</v>
      </c>
      <c r="J127" s="125">
        <f>(($C$39*$C$118*0.28)*H$41)*(+'Product half-life and C flows'!P28/100)</f>
        <v>7.6275135784298953E-2</v>
      </c>
      <c r="K127" s="54">
        <f t="shared" si="15"/>
        <v>1.3434381331919276</v>
      </c>
      <c r="L127" s="26"/>
      <c r="M127" s="80"/>
      <c r="N127" s="80"/>
      <c r="O127" s="82"/>
      <c r="P127" s="81"/>
      <c r="Q127" s="81"/>
      <c r="R127" s="81"/>
      <c r="S127" s="81"/>
      <c r="T127" s="81"/>
      <c r="U127" s="3"/>
      <c r="V127" s="88"/>
      <c r="W127" s="88"/>
      <c r="X127" s="88"/>
      <c r="Y127" s="88"/>
      <c r="Z127" s="88"/>
      <c r="AA127" s="88"/>
      <c r="AB127" s="88"/>
      <c r="AC127" s="88"/>
      <c r="AE127">
        <f t="shared" si="4"/>
        <v>-31</v>
      </c>
      <c r="AG127" s="113">
        <f t="shared" si="5"/>
        <v>32.00258315093641</v>
      </c>
      <c r="AH127" s="124">
        <f t="shared" si="6"/>
        <v>4.4366358365282599</v>
      </c>
      <c r="AI127" s="124">
        <f t="shared" si="7"/>
        <v>0</v>
      </c>
      <c r="AJ127" s="124">
        <f t="shared" si="8"/>
        <v>2.0202077190856054</v>
      </c>
      <c r="AK127" s="124">
        <f t="shared" si="9"/>
        <v>0.7542108817919595</v>
      </c>
      <c r="AL127" s="124">
        <f t="shared" si="10"/>
        <v>2.0518084624626773</v>
      </c>
      <c r="AM127" s="124">
        <f t="shared" si="11"/>
        <v>0.15270282184016651</v>
      </c>
      <c r="AN127" s="124">
        <f t="shared" si="12"/>
        <v>7.6275135784298953E-2</v>
      </c>
      <c r="AO127" s="124">
        <f t="shared" si="13"/>
        <v>1.3434381331919276</v>
      </c>
    </row>
    <row r="128" spans="1:41" ht="14">
      <c r="A128">
        <f t="shared" si="2"/>
        <v>-30</v>
      </c>
      <c r="B128" s="21">
        <v>50</v>
      </c>
      <c r="C128" s="127">
        <f t="shared" si="16"/>
        <v>33.725756573515298</v>
      </c>
      <c r="D128" s="125">
        <f>(($C$39*$C$118*0.72)*D$40)*('Product half-life and C flows'!B29/100)</f>
        <v>4.2855077327125182</v>
      </c>
      <c r="E128" s="26"/>
      <c r="F128" s="54">
        <f t="shared" si="14"/>
        <v>2.0202077190856054</v>
      </c>
      <c r="G128" s="54">
        <f t="shared" si="14"/>
        <v>0.7542108817919595</v>
      </c>
      <c r="H128" s="125">
        <f>(H$118)*('Product half-life and C flows'!L29/100)</f>
        <v>2.0204460631827104</v>
      </c>
      <c r="I128" s="125">
        <f>(($C$39*$C$118*0.28)*H$41)*('Product half-life and C flows'!N29/100)</f>
        <v>0.16839970267978996</v>
      </c>
      <c r="J128" s="125">
        <f>(($C$39*$C$118*0.28)*H$41)*(+'Product half-life and C flows'!P29/100)</f>
        <v>8.4115735604290698E-2</v>
      </c>
      <c r="K128" s="54">
        <f t="shared" si="15"/>
        <v>1.3434381331919276</v>
      </c>
      <c r="L128" s="26"/>
      <c r="M128" s="80"/>
      <c r="N128" s="80"/>
      <c r="O128" s="82"/>
      <c r="P128" s="81"/>
      <c r="Q128" s="81"/>
      <c r="R128" s="81"/>
      <c r="S128" s="81"/>
      <c r="T128" s="81"/>
      <c r="U128" s="3"/>
      <c r="V128" s="88"/>
      <c r="W128" s="88"/>
      <c r="X128" s="88"/>
      <c r="Y128" s="88"/>
      <c r="Z128" s="88"/>
      <c r="AA128" s="88"/>
      <c r="AB128" s="88"/>
      <c r="AC128" s="88"/>
      <c r="AE128">
        <f t="shared" si="4"/>
        <v>-30</v>
      </c>
      <c r="AG128" s="113">
        <f t="shared" si="5"/>
        <v>33.725756573515298</v>
      </c>
      <c r="AH128" s="124">
        <f t="shared" si="6"/>
        <v>4.2855077327125182</v>
      </c>
      <c r="AI128" s="124">
        <f t="shared" si="7"/>
        <v>0</v>
      </c>
      <c r="AJ128" s="124">
        <f t="shared" si="8"/>
        <v>2.0202077190856054</v>
      </c>
      <c r="AK128" s="124">
        <f t="shared" si="9"/>
        <v>0.7542108817919595</v>
      </c>
      <c r="AL128" s="124">
        <f t="shared" si="10"/>
        <v>2.0204460631827104</v>
      </c>
      <c r="AM128" s="124">
        <f t="shared" si="11"/>
        <v>0.16839970267978996</v>
      </c>
      <c r="AN128" s="124">
        <f t="shared" si="12"/>
        <v>8.4115735604290698E-2</v>
      </c>
      <c r="AO128" s="124">
        <f t="shared" si="13"/>
        <v>1.3434381331919276</v>
      </c>
    </row>
    <row r="129" spans="1:41" ht="14">
      <c r="A129">
        <f t="shared" si="2"/>
        <v>-29</v>
      </c>
      <c r="B129" s="21">
        <v>51</v>
      </c>
      <c r="C129" s="127">
        <f t="shared" si="16"/>
        <v>35.448929996094186</v>
      </c>
      <c r="D129" s="125">
        <f>(($C$39*$C$118*0.72)*D$40)*('Product half-life and C flows'!B30/100)</f>
        <v>4.1395276069153679</v>
      </c>
      <c r="E129" s="26"/>
      <c r="F129" s="54">
        <f t="shared" si="14"/>
        <v>2.0202077190856054</v>
      </c>
      <c r="G129" s="54">
        <f t="shared" si="14"/>
        <v>0.7542108817919595</v>
      </c>
      <c r="H129" s="125">
        <f>(H$118)*('Product half-life and C flows'!L30/100)</f>
        <v>1.9895630459243074</v>
      </c>
      <c r="I129" s="125">
        <f>(($C$39*$C$118*0.28)*H$41)*('Product half-life and C flows'!N30/100)</f>
        <v>0.18385665281762081</v>
      </c>
      <c r="J129" s="125">
        <f>(($C$39*$C$118*0.28)*H$41)*(+'Product half-life and C flows'!P30/100)</f>
        <v>9.1836489918891512E-2</v>
      </c>
      <c r="K129" s="54">
        <f t="shared" si="15"/>
        <v>1.3434381331919276</v>
      </c>
      <c r="L129" s="26"/>
      <c r="M129" s="80"/>
      <c r="N129" s="80"/>
      <c r="O129" s="82"/>
      <c r="P129" s="81"/>
      <c r="Q129" s="81"/>
      <c r="R129" s="81"/>
      <c r="S129" s="81"/>
      <c r="T129" s="81"/>
      <c r="U129" s="3"/>
      <c r="V129" s="88"/>
      <c r="W129" s="88"/>
      <c r="X129" s="88"/>
      <c r="Y129" s="88"/>
      <c r="Z129" s="88"/>
      <c r="AA129" s="88"/>
      <c r="AB129" s="88"/>
      <c r="AC129" s="88"/>
      <c r="AE129">
        <f t="shared" si="4"/>
        <v>-29</v>
      </c>
      <c r="AG129" s="113">
        <f t="shared" si="5"/>
        <v>35.448929996094186</v>
      </c>
      <c r="AH129" s="124">
        <f t="shared" si="6"/>
        <v>4.1395276069153679</v>
      </c>
      <c r="AI129" s="124">
        <f t="shared" si="7"/>
        <v>0</v>
      </c>
      <c r="AJ129" s="124">
        <f t="shared" si="8"/>
        <v>2.0202077190856054</v>
      </c>
      <c r="AK129" s="124">
        <f t="shared" si="9"/>
        <v>0.7542108817919595</v>
      </c>
      <c r="AL129" s="124">
        <f t="shared" si="10"/>
        <v>1.9895630459243074</v>
      </c>
      <c r="AM129" s="124">
        <f t="shared" si="11"/>
        <v>0.18385665281762081</v>
      </c>
      <c r="AN129" s="124">
        <f t="shared" si="12"/>
        <v>9.1836489918891512E-2</v>
      </c>
      <c r="AO129" s="124">
        <f t="shared" si="13"/>
        <v>1.3434381331919276</v>
      </c>
    </row>
    <row r="130" spans="1:41" ht="14">
      <c r="A130">
        <f t="shared" si="2"/>
        <v>-28</v>
      </c>
      <c r="B130" s="21">
        <v>52</v>
      </c>
      <c r="C130" s="127">
        <f t="shared" si="16"/>
        <v>37.172103418673075</v>
      </c>
      <c r="D130" s="125">
        <f>(($C$39*$C$118*0.72)*D$40)*('Product half-life and C flows'!B31/100)</f>
        <v>3.9985201001068815</v>
      </c>
      <c r="E130" s="26"/>
      <c r="F130" s="54">
        <f t="shared" si="14"/>
        <v>2.0202077190856054</v>
      </c>
      <c r="G130" s="54">
        <f t="shared" si="14"/>
        <v>0.7542108817919595</v>
      </c>
      <c r="H130" s="125">
        <f>(H$118)*('Product half-life and C flows'!L31/100)</f>
        <v>1.9591520832148288</v>
      </c>
      <c r="I130" s="125">
        <f>(($C$39*$C$118*0.28)*H$41)*('Product half-life and C flows'!N31/100)</f>
        <v>0.19907733965371482</v>
      </c>
      <c r="J130" s="125">
        <f>(($C$39*$C$118*0.28)*H$41)*(+'Product half-life and C flows'!P31/100)</f>
        <v>9.9439230596261155E-2</v>
      </c>
      <c r="K130" s="54">
        <f t="shared" si="15"/>
        <v>1.3434381331919276</v>
      </c>
      <c r="L130" s="26"/>
      <c r="M130" s="80"/>
      <c r="N130" s="80"/>
      <c r="O130" s="82"/>
      <c r="P130" s="81"/>
      <c r="Q130" s="81"/>
      <c r="R130" s="81"/>
      <c r="S130" s="81"/>
      <c r="T130" s="81"/>
      <c r="U130" s="3"/>
      <c r="V130" s="88"/>
      <c r="W130" s="88"/>
      <c r="X130" s="88"/>
      <c r="Y130" s="88"/>
      <c r="Z130" s="88"/>
      <c r="AA130" s="88"/>
      <c r="AB130" s="88"/>
      <c r="AC130" s="88"/>
      <c r="AE130">
        <f t="shared" si="4"/>
        <v>-28</v>
      </c>
      <c r="AG130" s="113">
        <f t="shared" si="5"/>
        <v>37.172103418673075</v>
      </c>
      <c r="AH130" s="124">
        <f t="shared" si="6"/>
        <v>3.9985201001068815</v>
      </c>
      <c r="AI130" s="124">
        <f t="shared" si="7"/>
        <v>0</v>
      </c>
      <c r="AJ130" s="124">
        <f t="shared" si="8"/>
        <v>2.0202077190856054</v>
      </c>
      <c r="AK130" s="124">
        <f t="shared" si="9"/>
        <v>0.7542108817919595</v>
      </c>
      <c r="AL130" s="124">
        <f t="shared" si="10"/>
        <v>1.9591520832148288</v>
      </c>
      <c r="AM130" s="124">
        <f t="shared" si="11"/>
        <v>0.19907733965371482</v>
      </c>
      <c r="AN130" s="124">
        <f t="shared" si="12"/>
        <v>9.9439230596261155E-2</v>
      </c>
      <c r="AO130" s="124">
        <f t="shared" si="13"/>
        <v>1.3434381331919276</v>
      </c>
    </row>
    <row r="131" spans="1:41" ht="14">
      <c r="A131">
        <f t="shared" si="2"/>
        <v>-27</v>
      </c>
      <c r="B131" s="21">
        <v>53</v>
      </c>
      <c r="C131" s="127">
        <f t="shared" si="16"/>
        <v>38.895276841251963</v>
      </c>
      <c r="D131" s="125">
        <f>(($C$39*$C$118*0.72)*D$40)*('Product half-life and C flows'!B32/100)</f>
        <v>3.8623158266294477</v>
      </c>
      <c r="E131" s="26"/>
      <c r="F131" s="54">
        <f t="shared" si="14"/>
        <v>2.0202077190856054</v>
      </c>
      <c r="G131" s="54">
        <f t="shared" si="14"/>
        <v>0.7542108817919595</v>
      </c>
      <c r="H131" s="125">
        <f>(H$118)*('Product half-life and C flows'!L32/100)</f>
        <v>1.9292059595838664</v>
      </c>
      <c r="I131" s="125">
        <f>(($C$39*$C$118*0.28)*H$41)*('Product half-life and C flows'!N32/100)</f>
        <v>0.21406537453101146</v>
      </c>
      <c r="J131" s="125">
        <f>(($C$39*$C$118*0.28)*H$41)*(+'Product half-life and C flows'!P32/100)</f>
        <v>0.10692576150400175</v>
      </c>
      <c r="K131" s="54">
        <f t="shared" si="15"/>
        <v>1.3434381331919276</v>
      </c>
      <c r="L131" s="26"/>
      <c r="M131" s="80"/>
      <c r="N131" s="80"/>
      <c r="O131" s="82"/>
      <c r="P131" s="81"/>
      <c r="Q131" s="81"/>
      <c r="R131" s="81"/>
      <c r="S131" s="81"/>
      <c r="T131" s="81"/>
      <c r="U131" s="3"/>
      <c r="V131" s="88"/>
      <c r="W131" s="88"/>
      <c r="X131" s="88"/>
      <c r="Y131" s="88"/>
      <c r="Z131" s="88"/>
      <c r="AA131" s="88"/>
      <c r="AB131" s="88"/>
      <c r="AC131" s="88"/>
      <c r="AE131">
        <f t="shared" si="4"/>
        <v>-27</v>
      </c>
      <c r="AG131" s="113">
        <f t="shared" si="5"/>
        <v>38.895276841251963</v>
      </c>
      <c r="AH131" s="124">
        <f t="shared" si="6"/>
        <v>3.8623158266294477</v>
      </c>
      <c r="AI131" s="124">
        <f t="shared" si="7"/>
        <v>0</v>
      </c>
      <c r="AJ131" s="124">
        <f t="shared" si="8"/>
        <v>2.0202077190856054</v>
      </c>
      <c r="AK131" s="124">
        <f t="shared" si="9"/>
        <v>0.7542108817919595</v>
      </c>
      <c r="AL131" s="124">
        <f t="shared" si="10"/>
        <v>1.9292059595838664</v>
      </c>
      <c r="AM131" s="124">
        <f t="shared" si="11"/>
        <v>0.21406537453101146</v>
      </c>
      <c r="AN131" s="124">
        <f t="shared" si="12"/>
        <v>0.10692576150400175</v>
      </c>
      <c r="AO131" s="124">
        <f t="shared" si="13"/>
        <v>1.3434381331919276</v>
      </c>
    </row>
    <row r="132" spans="1:41" ht="14">
      <c r="A132">
        <f t="shared" si="2"/>
        <v>-26</v>
      </c>
      <c r="B132" s="21">
        <v>54</v>
      </c>
      <c r="C132" s="127">
        <f t="shared" si="16"/>
        <v>40.618450263830852</v>
      </c>
      <c r="D132" s="125">
        <f>(($C$39*$C$118*0.72)*D$40)*('Product half-life and C flows'!B33/100)</f>
        <v>3.7307511707227787</v>
      </c>
      <c r="E132" s="26"/>
      <c r="F132" s="54">
        <f t="shared" si="14"/>
        <v>2.0202077190856054</v>
      </c>
      <c r="G132" s="54">
        <f t="shared" si="14"/>
        <v>0.7542108817919595</v>
      </c>
      <c r="H132" s="125">
        <f>(H$118)*('Product half-life and C flows'!L33/100)</f>
        <v>1.8997175698512594</v>
      </c>
      <c r="I132" s="125">
        <f>(($C$39*$C$118*0.28)*H$41)*('Product half-life and C flows'!N33/100)</f>
        <v>0.22882431359218125</v>
      </c>
      <c r="J132" s="125">
        <f>(($C$39*$C$118*0.28)*H$41)*(+'Product half-life and C flows'!P33/100)</f>
        <v>0.11429785893715347</v>
      </c>
      <c r="K132" s="54">
        <f t="shared" si="15"/>
        <v>1.3434381331919276</v>
      </c>
      <c r="L132" s="26"/>
      <c r="M132" s="80"/>
      <c r="N132" s="80"/>
      <c r="O132" s="82"/>
      <c r="P132" s="81"/>
      <c r="Q132" s="81"/>
      <c r="R132" s="81"/>
      <c r="S132" s="81"/>
      <c r="T132" s="81"/>
      <c r="U132" s="3"/>
      <c r="V132" s="88"/>
      <c r="W132" s="88"/>
      <c r="X132" s="88"/>
      <c r="Y132" s="88"/>
      <c r="Z132" s="88"/>
      <c r="AA132" s="88"/>
      <c r="AB132" s="88"/>
      <c r="AC132" s="88"/>
      <c r="AE132">
        <f t="shared" si="4"/>
        <v>-26</v>
      </c>
      <c r="AG132" s="113">
        <f t="shared" si="5"/>
        <v>40.618450263830852</v>
      </c>
      <c r="AH132" s="124">
        <f t="shared" si="6"/>
        <v>3.7307511707227787</v>
      </c>
      <c r="AI132" s="124">
        <f t="shared" si="7"/>
        <v>0</v>
      </c>
      <c r="AJ132" s="124">
        <f t="shared" si="8"/>
        <v>2.0202077190856054</v>
      </c>
      <c r="AK132" s="124">
        <f t="shared" si="9"/>
        <v>0.7542108817919595</v>
      </c>
      <c r="AL132" s="124">
        <f t="shared" si="10"/>
        <v>1.8997175698512594</v>
      </c>
      <c r="AM132" s="124">
        <f t="shared" si="11"/>
        <v>0.22882431359218125</v>
      </c>
      <c r="AN132" s="124">
        <f t="shared" si="12"/>
        <v>0.11429785893715347</v>
      </c>
      <c r="AO132" s="124">
        <f t="shared" si="13"/>
        <v>1.3434381331919276</v>
      </c>
    </row>
    <row r="133" spans="1:41" ht="14">
      <c r="A133">
        <f t="shared" si="2"/>
        <v>-25</v>
      </c>
      <c r="B133" s="21">
        <v>55</v>
      </c>
      <c r="C133" s="127">
        <f t="shared" si="16"/>
        <v>42.34162368640974</v>
      </c>
      <c r="D133" s="125">
        <f>(($C$39*$C$118*0.72)*D$40)*('Product half-life and C flows'!B34/100)</f>
        <v>3.6036680899800304</v>
      </c>
      <c r="E133" s="26"/>
      <c r="F133" s="54">
        <f t="shared" si="14"/>
        <v>2.0202077190856054</v>
      </c>
      <c r="G133" s="54">
        <f t="shared" si="14"/>
        <v>0.7542108817919595</v>
      </c>
      <c r="H133" s="125">
        <f>(H$118)*('Product half-life and C flows'!L34/100)</f>
        <v>1.8706799174412811</v>
      </c>
      <c r="I133" s="125">
        <f>(($C$39*$C$118*0.28)*H$41)*('Product half-life and C flows'!N34/100)</f>
        <v>0.24335765862337541</v>
      </c>
      <c r="J133" s="125">
        <f>(($C$39*$C$118*0.28)*H$41)*(+'Product half-life and C flows'!P34/100)</f>
        <v>0.12155727203964804</v>
      </c>
      <c r="K133" s="54">
        <f t="shared" si="15"/>
        <v>1.3434381331919276</v>
      </c>
      <c r="L133" s="26"/>
      <c r="M133" s="80"/>
      <c r="N133" s="80"/>
      <c r="O133" s="82"/>
      <c r="P133" s="81"/>
      <c r="Q133" s="81"/>
      <c r="R133" s="81"/>
      <c r="S133" s="81"/>
      <c r="T133" s="81"/>
      <c r="U133" s="3"/>
      <c r="V133" s="88"/>
      <c r="W133" s="88"/>
      <c r="X133" s="88"/>
      <c r="Y133" s="88"/>
      <c r="Z133" s="88"/>
      <c r="AA133" s="88"/>
      <c r="AB133" s="88"/>
      <c r="AC133" s="88"/>
      <c r="AE133">
        <f t="shared" si="4"/>
        <v>-25</v>
      </c>
      <c r="AG133" s="113">
        <f t="shared" si="5"/>
        <v>42.34162368640974</v>
      </c>
      <c r="AH133" s="124">
        <f t="shared" si="6"/>
        <v>3.6036680899800304</v>
      </c>
      <c r="AI133" s="124">
        <f t="shared" si="7"/>
        <v>0</v>
      </c>
      <c r="AJ133" s="124">
        <f t="shared" si="8"/>
        <v>2.0202077190856054</v>
      </c>
      <c r="AK133" s="124">
        <f t="shared" si="9"/>
        <v>0.7542108817919595</v>
      </c>
      <c r="AL133" s="124">
        <f t="shared" si="10"/>
        <v>1.8706799174412811</v>
      </c>
      <c r="AM133" s="124">
        <f t="shared" si="11"/>
        <v>0.24335765862337541</v>
      </c>
      <c r="AN133" s="124">
        <f t="shared" si="12"/>
        <v>0.12155727203964804</v>
      </c>
      <c r="AO133" s="124">
        <f t="shared" si="13"/>
        <v>1.3434381331919276</v>
      </c>
    </row>
    <row r="134" spans="1:41" ht="14">
      <c r="A134">
        <f t="shared" si="2"/>
        <v>-24</v>
      </c>
      <c r="B134" s="21">
        <v>56</v>
      </c>
      <c r="C134" s="127">
        <f t="shared" si="16"/>
        <v>44.064797108988628</v>
      </c>
      <c r="D134" s="125">
        <f>(($C$39*$C$118*0.72)*D$40)*('Product half-life and C flows'!B35/100)</f>
        <v>3.4809139254989208</v>
      </c>
      <c r="E134" s="26"/>
      <c r="F134" s="54">
        <f t="shared" si="14"/>
        <v>2.0202077190856054</v>
      </c>
      <c r="G134" s="54">
        <f t="shared" si="14"/>
        <v>0.7542108817919595</v>
      </c>
      <c r="H134" s="125">
        <f>(H$118)*('Product half-life and C flows'!L35/100)</f>
        <v>1.8420861127225936</v>
      </c>
      <c r="I134" s="125">
        <f>(($C$39*$C$118*0.28)*H$41)*('Product half-life and C flows'!N35/100)</f>
        <v>0.25766885788507859</v>
      </c>
      <c r="J134" s="125">
        <f>(($C$39*$C$118*0.28)*H$41)*(+'Product half-life and C flows'!P35/100)</f>
        <v>0.12870572321931997</v>
      </c>
      <c r="K134" s="54">
        <f t="shared" si="15"/>
        <v>1.3434381331919276</v>
      </c>
      <c r="L134" s="26"/>
      <c r="M134" s="80"/>
      <c r="N134" s="80"/>
      <c r="O134" s="82"/>
      <c r="P134" s="81"/>
      <c r="Q134" s="81"/>
      <c r="R134" s="81"/>
      <c r="S134" s="81"/>
      <c r="T134" s="81"/>
      <c r="U134" s="3"/>
      <c r="V134" s="88"/>
      <c r="W134" s="88"/>
      <c r="X134" s="88"/>
      <c r="Y134" s="88"/>
      <c r="Z134" s="88"/>
      <c r="AA134" s="88"/>
      <c r="AB134" s="88"/>
      <c r="AC134" s="88"/>
      <c r="AE134">
        <f t="shared" si="4"/>
        <v>-24</v>
      </c>
      <c r="AG134" s="113">
        <f t="shared" si="5"/>
        <v>44.064797108988628</v>
      </c>
      <c r="AH134" s="124">
        <f t="shared" si="6"/>
        <v>3.4809139254989208</v>
      </c>
      <c r="AI134" s="124">
        <f t="shared" si="7"/>
        <v>0</v>
      </c>
      <c r="AJ134" s="124">
        <f t="shared" si="8"/>
        <v>2.0202077190856054</v>
      </c>
      <c r="AK134" s="124">
        <f t="shared" si="9"/>
        <v>0.7542108817919595</v>
      </c>
      <c r="AL134" s="124">
        <f t="shared" si="10"/>
        <v>1.8420861127225936</v>
      </c>
      <c r="AM134" s="124">
        <f t="shared" si="11"/>
        <v>0.25766885788507859</v>
      </c>
      <c r="AN134" s="124">
        <f t="shared" si="12"/>
        <v>0.12870572321931997</v>
      </c>
      <c r="AO134" s="124">
        <f t="shared" si="13"/>
        <v>1.3434381331919276</v>
      </c>
    </row>
    <row r="135" spans="1:41" ht="14">
      <c r="A135">
        <f t="shared" si="2"/>
        <v>-23</v>
      </c>
      <c r="B135" s="21">
        <v>57</v>
      </c>
      <c r="C135" s="127">
        <f t="shared" si="16"/>
        <v>45.787970531567517</v>
      </c>
      <c r="D135" s="125">
        <f>(($C$39*$C$118*0.72)*D$40)*('Product half-life and C flows'!B36/100)</f>
        <v>3.3623412184998007</v>
      </c>
      <c r="E135" s="26"/>
      <c r="F135" s="54">
        <f t="shared" si="14"/>
        <v>2.0202077190856054</v>
      </c>
      <c r="G135" s="54">
        <f t="shared" si="14"/>
        <v>0.7542108817919595</v>
      </c>
      <c r="H135" s="125">
        <f>(H$118)*('Product half-life and C flows'!L36/100)</f>
        <v>1.8139293713735753</v>
      </c>
      <c r="I135" s="125">
        <f>(($C$39*$C$118*0.28)*H$41)*('Product half-life and C flows'!N36/100)</f>
        <v>0.27176130693026213</v>
      </c>
      <c r="J135" s="125">
        <f>(($C$39*$C$118*0.28)*H$41)*(+'Product half-life and C flows'!P36/100)</f>
        <v>0.13574490855657448</v>
      </c>
      <c r="K135" s="54">
        <f t="shared" si="15"/>
        <v>1.3434381331919276</v>
      </c>
      <c r="L135" s="26"/>
      <c r="M135" s="80"/>
      <c r="N135" s="80"/>
      <c r="O135" s="82"/>
      <c r="P135" s="81"/>
      <c r="Q135" s="81"/>
      <c r="R135" s="81"/>
      <c r="S135" s="81"/>
      <c r="T135" s="81"/>
      <c r="U135" s="3"/>
      <c r="V135" s="88"/>
      <c r="W135" s="88"/>
      <c r="X135" s="88"/>
      <c r="Y135" s="88"/>
      <c r="Z135" s="88"/>
      <c r="AA135" s="88"/>
      <c r="AB135" s="88"/>
      <c r="AC135" s="88"/>
      <c r="AE135">
        <f t="shared" si="4"/>
        <v>-23</v>
      </c>
      <c r="AG135" s="113">
        <f t="shared" si="5"/>
        <v>45.787970531567517</v>
      </c>
      <c r="AH135" s="124">
        <f t="shared" si="6"/>
        <v>3.3623412184998007</v>
      </c>
      <c r="AI135" s="124">
        <f t="shared" si="7"/>
        <v>0</v>
      </c>
      <c r="AJ135" s="124">
        <f t="shared" si="8"/>
        <v>2.0202077190856054</v>
      </c>
      <c r="AK135" s="124">
        <f t="shared" si="9"/>
        <v>0.7542108817919595</v>
      </c>
      <c r="AL135" s="124">
        <f t="shared" si="10"/>
        <v>1.8139293713735753</v>
      </c>
      <c r="AM135" s="124">
        <f t="shared" si="11"/>
        <v>0.27176130693026213</v>
      </c>
      <c r="AN135" s="124">
        <f t="shared" si="12"/>
        <v>0.13574490855657448</v>
      </c>
      <c r="AO135" s="124">
        <f t="shared" si="13"/>
        <v>1.3434381331919276</v>
      </c>
    </row>
    <row r="136" spans="1:41" ht="14">
      <c r="A136">
        <f t="shared" si="2"/>
        <v>-22</v>
      </c>
      <c r="B136" s="21">
        <v>58</v>
      </c>
      <c r="C136" s="127">
        <f t="shared" si="16"/>
        <v>47.511143954146405</v>
      </c>
      <c r="D136" s="125">
        <f>(($C$39*$C$118*0.72)*D$40)*('Product half-life and C flows'!B37/100)</f>
        <v>3.2478075331903895</v>
      </c>
      <c r="E136" s="26"/>
      <c r="F136" s="54">
        <f t="shared" ref="F136:G151" si="17">F135</f>
        <v>2.0202077190856054</v>
      </c>
      <c r="G136" s="54">
        <f t="shared" si="17"/>
        <v>0.7542108817919595</v>
      </c>
      <c r="H136" s="125">
        <f>(H$118)*('Product half-life and C flows'!L37/100)</f>
        <v>1.7862030127726385</v>
      </c>
      <c r="I136" s="125">
        <f>(($C$39*$C$118*0.28)*H$41)*('Product half-life and C flows'!N37/100)</f>
        <v>0.28563834941003102</v>
      </c>
      <c r="J136" s="125">
        <f>(($C$39*$C$118*0.28)*H$41)*(+'Product half-life and C flows'!P37/100)</f>
        <v>0.14267649820680869</v>
      </c>
      <c r="K136" s="54">
        <f t="shared" si="15"/>
        <v>1.3434381331919276</v>
      </c>
      <c r="L136" s="26"/>
      <c r="M136" s="80"/>
      <c r="N136" s="80"/>
      <c r="O136" s="82"/>
      <c r="P136" s="81"/>
      <c r="Q136" s="81"/>
      <c r="R136" s="81"/>
      <c r="S136" s="81"/>
      <c r="T136" s="81"/>
      <c r="U136" s="3"/>
      <c r="V136" s="88"/>
      <c r="W136" s="88"/>
      <c r="X136" s="88"/>
      <c r="Y136" s="88"/>
      <c r="Z136" s="88"/>
      <c r="AA136" s="88"/>
      <c r="AB136" s="88"/>
      <c r="AC136" s="88"/>
      <c r="AE136">
        <f t="shared" si="4"/>
        <v>-22</v>
      </c>
      <c r="AG136" s="113">
        <f t="shared" si="5"/>
        <v>47.511143954146405</v>
      </c>
      <c r="AH136" s="124">
        <f t="shared" si="6"/>
        <v>3.2478075331903895</v>
      </c>
      <c r="AI136" s="124">
        <f t="shared" si="7"/>
        <v>0</v>
      </c>
      <c r="AJ136" s="124">
        <f t="shared" si="8"/>
        <v>2.0202077190856054</v>
      </c>
      <c r="AK136" s="124">
        <f t="shared" si="9"/>
        <v>0.7542108817919595</v>
      </c>
      <c r="AL136" s="124">
        <f t="shared" si="10"/>
        <v>1.7862030127726385</v>
      </c>
      <c r="AM136" s="124">
        <f t="shared" si="11"/>
        <v>0.28563834941003102</v>
      </c>
      <c r="AN136" s="124">
        <f t="shared" si="12"/>
        <v>0.14267649820680869</v>
      </c>
      <c r="AO136" s="124">
        <f t="shared" si="13"/>
        <v>1.3434381331919276</v>
      </c>
    </row>
    <row r="137" spans="1:41" ht="14">
      <c r="A137">
        <f t="shared" si="2"/>
        <v>-21</v>
      </c>
      <c r="B137" s="21">
        <v>59</v>
      </c>
      <c r="C137" s="127">
        <f t="shared" si="16"/>
        <v>49.234317376725294</v>
      </c>
      <c r="D137" s="125">
        <f>(($C$39*$C$118*0.72)*D$40)*('Product half-life and C flows'!B38/100)</f>
        <v>3.1371752856643838</v>
      </c>
      <c r="E137" s="26"/>
      <c r="F137" s="54">
        <f t="shared" si="17"/>
        <v>2.0202077190856054</v>
      </c>
      <c r="G137" s="54">
        <f t="shared" si="17"/>
        <v>0.7542108817919595</v>
      </c>
      <c r="H137" s="125">
        <f>(H$118)*('Product half-life and C flows'!L38/100)</f>
        <v>1.7589004584131454</v>
      </c>
      <c r="I137" s="125">
        <f>(($C$39*$C$118*0.28)*H$41)*('Product half-life and C flows'!N38/100)</f>
        <v>0.29930327786695743</v>
      </c>
      <c r="J137" s="125">
        <f>(($C$39*$C$118*0.28)*H$41)*(+'Product half-life and C flows'!P38/100)</f>
        <v>0.14950213679668203</v>
      </c>
      <c r="K137" s="54">
        <f t="shared" si="15"/>
        <v>1.3434381331919276</v>
      </c>
      <c r="L137" s="26"/>
      <c r="M137" s="80"/>
      <c r="N137" s="80"/>
      <c r="O137" s="82"/>
      <c r="P137" s="81"/>
      <c r="Q137" s="81"/>
      <c r="R137" s="81"/>
      <c r="S137" s="81"/>
      <c r="T137" s="81"/>
      <c r="U137" s="3"/>
      <c r="V137" s="88"/>
      <c r="W137" s="88"/>
      <c r="X137" s="88"/>
      <c r="Y137" s="88"/>
      <c r="Z137" s="88"/>
      <c r="AA137" s="88"/>
      <c r="AB137" s="88"/>
      <c r="AC137" s="88"/>
      <c r="AE137">
        <f t="shared" si="4"/>
        <v>-21</v>
      </c>
      <c r="AG137" s="113">
        <f t="shared" si="5"/>
        <v>49.234317376725294</v>
      </c>
      <c r="AH137" s="124">
        <f t="shared" si="6"/>
        <v>3.1371752856643838</v>
      </c>
      <c r="AI137" s="124">
        <f t="shared" si="7"/>
        <v>0</v>
      </c>
      <c r="AJ137" s="124">
        <f t="shared" si="8"/>
        <v>2.0202077190856054</v>
      </c>
      <c r="AK137" s="124">
        <f t="shared" si="9"/>
        <v>0.7542108817919595</v>
      </c>
      <c r="AL137" s="124">
        <f t="shared" si="10"/>
        <v>1.7589004584131454</v>
      </c>
      <c r="AM137" s="124">
        <f t="shared" si="11"/>
        <v>0.29930327786695743</v>
      </c>
      <c r="AN137" s="124">
        <f t="shared" si="12"/>
        <v>0.14950213679668203</v>
      </c>
      <c r="AO137" s="124">
        <f t="shared" si="13"/>
        <v>1.3434381331919276</v>
      </c>
    </row>
    <row r="138" spans="1:41" ht="14">
      <c r="A138">
        <f t="shared" si="2"/>
        <v>-20</v>
      </c>
      <c r="B138" s="21">
        <v>60</v>
      </c>
      <c r="C138" s="127">
        <f t="shared" si="16"/>
        <v>50.957490799304182</v>
      </c>
      <c r="D138" s="125">
        <f>(($C$39*$C$118*0.72)*D$40)*('Product half-life and C flows'!B39/100)</f>
        <v>3.0303115786284081</v>
      </c>
      <c r="E138" s="26"/>
      <c r="F138" s="54">
        <f t="shared" si="17"/>
        <v>2.0202077190856054</v>
      </c>
      <c r="G138" s="54">
        <f t="shared" si="17"/>
        <v>0.7542108817919595</v>
      </c>
      <c r="H138" s="125">
        <f>(H$118)*('Product half-life and C flows'!L39/100)</f>
        <v>1.7320152303425582</v>
      </c>
      <c r="I138" s="125">
        <f>(($C$39*$C$118*0.28)*H$41)*('Product half-life and C flows'!N39/100)</f>
        <v>0.31275933451628624</v>
      </c>
      <c r="J138" s="125">
        <f>(($C$39*$C$118*0.28)*H$41)*(+'Product half-life and C flows'!P39/100)</f>
        <v>0.15622344381432879</v>
      </c>
      <c r="K138" s="54">
        <f t="shared" si="15"/>
        <v>1.3434381331919276</v>
      </c>
      <c r="L138" s="26"/>
      <c r="M138" s="80"/>
      <c r="N138" s="80"/>
      <c r="O138" s="82"/>
      <c r="P138" s="81"/>
      <c r="Q138" s="81"/>
      <c r="R138" s="81"/>
      <c r="S138" s="81"/>
      <c r="T138" s="81"/>
      <c r="U138" s="3"/>
      <c r="V138" s="88"/>
      <c r="W138" s="88"/>
      <c r="X138" s="88"/>
      <c r="Y138" s="88"/>
      <c r="Z138" s="88"/>
      <c r="AA138" s="88"/>
      <c r="AB138" s="88"/>
      <c r="AC138" s="88"/>
      <c r="AE138">
        <f t="shared" si="4"/>
        <v>-20</v>
      </c>
      <c r="AG138" s="113">
        <f t="shared" si="5"/>
        <v>50.957490799304182</v>
      </c>
      <c r="AH138" s="124">
        <f t="shared" si="6"/>
        <v>3.0303115786284081</v>
      </c>
      <c r="AI138" s="124">
        <f t="shared" si="7"/>
        <v>0</v>
      </c>
      <c r="AJ138" s="124">
        <f t="shared" si="8"/>
        <v>2.0202077190856054</v>
      </c>
      <c r="AK138" s="124">
        <f t="shared" si="9"/>
        <v>0.7542108817919595</v>
      </c>
      <c r="AL138" s="124">
        <f t="shared" si="10"/>
        <v>1.7320152303425582</v>
      </c>
      <c r="AM138" s="124">
        <f t="shared" si="11"/>
        <v>0.31275933451628624</v>
      </c>
      <c r="AN138" s="124">
        <f t="shared" si="12"/>
        <v>0.15622344381432879</v>
      </c>
      <c r="AO138" s="124">
        <f t="shared" si="13"/>
        <v>1.3434381331919276</v>
      </c>
    </row>
    <row r="139" spans="1:41" ht="14">
      <c r="A139">
        <f t="shared" si="2"/>
        <v>-19</v>
      </c>
      <c r="B139" s="21">
        <v>61</v>
      </c>
      <c r="C139" s="127">
        <f t="shared" si="16"/>
        <v>52.68066422188307</v>
      </c>
      <c r="D139" s="125">
        <f>(($C$39*$C$118*0.72)*D$40)*('Product half-life and C flows'!B40/100)</f>
        <v>2.9270880417587781</v>
      </c>
      <c r="E139" s="26"/>
      <c r="F139" s="54">
        <f t="shared" si="17"/>
        <v>2.0202077190856054</v>
      </c>
      <c r="G139" s="54">
        <f t="shared" si="17"/>
        <v>0.7542108817919595</v>
      </c>
      <c r="H139" s="125">
        <f>(H$118)*('Product half-life and C flows'!L40/100)</f>
        <v>1.7055409496254441</v>
      </c>
      <c r="I139" s="125">
        <f>(($C$39*$C$118*0.28)*H$41)*('Product half-life and C flows'!N40/100)</f>
        <v>0.32600971201520185</v>
      </c>
      <c r="J139" s="125">
        <f>(($C$39*$C$118*0.28)*H$41)*(+'Product half-life and C flows'!P40/100)</f>
        <v>0.16284201399360729</v>
      </c>
      <c r="K139" s="54">
        <f t="shared" si="15"/>
        <v>1.3434381331919276</v>
      </c>
      <c r="L139" s="26"/>
      <c r="M139" s="80"/>
      <c r="N139" s="80"/>
      <c r="O139" s="82"/>
      <c r="P139" s="81"/>
      <c r="Q139" s="81"/>
      <c r="R139" s="81"/>
      <c r="S139" s="81"/>
      <c r="T139" s="81"/>
      <c r="U139" s="3"/>
      <c r="V139" s="88"/>
      <c r="W139" s="88"/>
      <c r="X139" s="88"/>
      <c r="Y139" s="88"/>
      <c r="Z139" s="88"/>
      <c r="AA139" s="88"/>
      <c r="AB139" s="88"/>
      <c r="AC139" s="88"/>
      <c r="AE139">
        <f t="shared" si="4"/>
        <v>-19</v>
      </c>
      <c r="AG139" s="113">
        <f t="shared" si="5"/>
        <v>52.68066422188307</v>
      </c>
      <c r="AH139" s="124">
        <f t="shared" si="6"/>
        <v>2.9270880417587781</v>
      </c>
      <c r="AI139" s="124">
        <f t="shared" si="7"/>
        <v>0</v>
      </c>
      <c r="AJ139" s="124">
        <f t="shared" si="8"/>
        <v>2.0202077190856054</v>
      </c>
      <c r="AK139" s="124">
        <f t="shared" si="9"/>
        <v>0.7542108817919595</v>
      </c>
      <c r="AL139" s="124">
        <f t="shared" si="10"/>
        <v>1.7055409496254441</v>
      </c>
      <c r="AM139" s="124">
        <f t="shared" si="11"/>
        <v>0.32600971201520185</v>
      </c>
      <c r="AN139" s="124">
        <f t="shared" si="12"/>
        <v>0.16284201399360729</v>
      </c>
      <c r="AO139" s="124">
        <f t="shared" si="13"/>
        <v>1.3434381331919276</v>
      </c>
    </row>
    <row r="140" spans="1:41" ht="14">
      <c r="A140">
        <f t="shared" si="2"/>
        <v>-18</v>
      </c>
      <c r="B140" s="21">
        <v>62</v>
      </c>
      <c r="C140" s="127">
        <f t="shared" si="16"/>
        <v>54.403837644461959</v>
      </c>
      <c r="D140" s="125">
        <f>(($C$39*$C$118*0.72)*D$40)*('Product half-life and C flows'!B41/100)</f>
        <v>2.8273806774962891</v>
      </c>
      <c r="E140" s="26"/>
      <c r="F140" s="54">
        <f t="shared" si="17"/>
        <v>2.0202077190856054</v>
      </c>
      <c r="G140" s="54">
        <f t="shared" si="17"/>
        <v>0.7542108817919595</v>
      </c>
      <c r="H140" s="125">
        <f>(H$118)*('Product half-life and C flows'!L41/100)</f>
        <v>1.6794713348299748</v>
      </c>
      <c r="I140" s="125">
        <f>(($C$39*$C$118*0.28)*H$41)*('Product half-life and C flows'!N41/100)</f>
        <v>0.33905755422033429</v>
      </c>
      <c r="J140" s="125">
        <f>(($C$39*$C$118*0.28)*H$41)*(+'Product half-life and C flows'!P41/100)</f>
        <v>0.16935941769247465</v>
      </c>
      <c r="K140" s="54">
        <f t="shared" si="15"/>
        <v>1.3434381331919276</v>
      </c>
      <c r="L140" s="26"/>
      <c r="M140" s="80"/>
      <c r="N140" s="80"/>
      <c r="O140" s="82"/>
      <c r="P140" s="81"/>
      <c r="Q140" s="81"/>
      <c r="R140" s="81"/>
      <c r="S140" s="81"/>
      <c r="T140" s="81"/>
      <c r="U140" s="3"/>
      <c r="V140" s="88"/>
      <c r="W140" s="88"/>
      <c r="X140" s="88"/>
      <c r="Y140" s="88"/>
      <c r="Z140" s="88"/>
      <c r="AA140" s="88"/>
      <c r="AB140" s="88"/>
      <c r="AC140" s="88"/>
      <c r="AE140">
        <f t="shared" si="4"/>
        <v>-18</v>
      </c>
      <c r="AG140" s="113">
        <f t="shared" si="5"/>
        <v>54.403837644461959</v>
      </c>
      <c r="AH140" s="124">
        <f t="shared" si="6"/>
        <v>2.8273806774962891</v>
      </c>
      <c r="AI140" s="124">
        <f t="shared" si="7"/>
        <v>0</v>
      </c>
      <c r="AJ140" s="124">
        <f t="shared" si="8"/>
        <v>2.0202077190856054</v>
      </c>
      <c r="AK140" s="124">
        <f t="shared" si="9"/>
        <v>0.7542108817919595</v>
      </c>
      <c r="AL140" s="124">
        <f t="shared" si="10"/>
        <v>1.6794713348299748</v>
      </c>
      <c r="AM140" s="124">
        <f t="shared" si="11"/>
        <v>0.33905755422033429</v>
      </c>
      <c r="AN140" s="124">
        <f t="shared" si="12"/>
        <v>0.16935941769247465</v>
      </c>
      <c r="AO140" s="124">
        <f t="shared" si="13"/>
        <v>1.3434381331919276</v>
      </c>
    </row>
    <row r="141" spans="1:41" ht="14">
      <c r="A141">
        <f t="shared" si="2"/>
        <v>-17</v>
      </c>
      <c r="B141" s="21">
        <v>63</v>
      </c>
      <c r="C141" s="127">
        <f t="shared" si="16"/>
        <v>56.127011067040847</v>
      </c>
      <c r="D141" s="125">
        <f>(($C$39*$C$118*0.72)*D$40)*('Product half-life and C flows'!B42/100)</f>
        <v>2.7310697120938081</v>
      </c>
      <c r="E141" s="26"/>
      <c r="F141" s="54">
        <f t="shared" si="17"/>
        <v>2.0202077190856054</v>
      </c>
      <c r="G141" s="54">
        <f t="shared" si="17"/>
        <v>0.7542108817919595</v>
      </c>
      <c r="H141" s="125">
        <f>(H$118)*('Product half-life and C flows'!L42/100)</f>
        <v>1.6538002005375578</v>
      </c>
      <c r="I141" s="125">
        <f>(($C$39*$C$118*0.28)*H$41)*('Product half-life and C flows'!N42/100)</f>
        <v>0.35190595693368892</v>
      </c>
      <c r="J141" s="125">
        <f>(($C$39*$C$118*0.28)*H$41)*(+'Product half-life and C flows'!P42/100)</f>
        <v>0.17577720126557886</v>
      </c>
      <c r="K141" s="54">
        <f t="shared" si="15"/>
        <v>1.3434381331919276</v>
      </c>
      <c r="L141" s="26"/>
      <c r="M141" s="80"/>
      <c r="N141" s="80"/>
      <c r="O141" s="82"/>
      <c r="P141" s="81"/>
      <c r="Q141" s="81"/>
      <c r="R141" s="81"/>
      <c r="S141" s="81"/>
      <c r="T141" s="81"/>
      <c r="U141" s="3"/>
      <c r="V141" s="88"/>
      <c r="W141" s="88"/>
      <c r="X141" s="88"/>
      <c r="Y141" s="88"/>
      <c r="Z141" s="88"/>
      <c r="AA141" s="88"/>
      <c r="AB141" s="88"/>
      <c r="AC141" s="88"/>
      <c r="AE141">
        <f t="shared" si="4"/>
        <v>-17</v>
      </c>
      <c r="AG141" s="113">
        <f t="shared" si="5"/>
        <v>56.127011067040847</v>
      </c>
      <c r="AH141" s="124">
        <f t="shared" si="6"/>
        <v>2.7310697120938081</v>
      </c>
      <c r="AI141" s="124">
        <f t="shared" si="7"/>
        <v>0</v>
      </c>
      <c r="AJ141" s="124">
        <f t="shared" si="8"/>
        <v>2.0202077190856054</v>
      </c>
      <c r="AK141" s="124">
        <f t="shared" si="9"/>
        <v>0.7542108817919595</v>
      </c>
      <c r="AL141" s="124">
        <f t="shared" si="10"/>
        <v>1.6538002005375578</v>
      </c>
      <c r="AM141" s="124">
        <f t="shared" si="11"/>
        <v>0.35190595693368892</v>
      </c>
      <c r="AN141" s="124">
        <f t="shared" si="12"/>
        <v>0.17577720126557886</v>
      </c>
      <c r="AO141" s="124">
        <f t="shared" si="13"/>
        <v>1.3434381331919276</v>
      </c>
    </row>
    <row r="142" spans="1:41" ht="14">
      <c r="A142">
        <f t="shared" ref="A142:A156" si="18">A143-1</f>
        <v>-16</v>
      </c>
      <c r="B142" s="21">
        <v>64</v>
      </c>
      <c r="C142" s="127">
        <f t="shared" si="16"/>
        <v>57.850184489619735</v>
      </c>
      <c r="D142" s="125">
        <f>(($C$39*$C$118*0.72)*D$40)*('Product half-life and C flows'!B43/100)</f>
        <v>2.6380394517377277</v>
      </c>
      <c r="E142" s="26"/>
      <c r="F142" s="54">
        <f t="shared" si="17"/>
        <v>2.0202077190856054</v>
      </c>
      <c r="G142" s="54">
        <f t="shared" si="17"/>
        <v>0.7542108817919595</v>
      </c>
      <c r="H142" s="125">
        <f>(H$118)*('Product half-life and C flows'!L43/100)</f>
        <v>1.6285214558752539</v>
      </c>
      <c r="I142" s="125">
        <f>(($C$39*$C$118*0.28)*H$41)*('Product half-life and C flows'!N43/100)</f>
        <v>0.3645579686371721</v>
      </c>
      <c r="J142" s="125">
        <f>(($C$39*$C$118*0.28)*H$41)*(+'Product half-life and C flows'!P43/100)</f>
        <v>0.18209688743115485</v>
      </c>
      <c r="K142" s="54">
        <f t="shared" si="15"/>
        <v>1.3434381331919276</v>
      </c>
      <c r="L142" s="26"/>
      <c r="M142" s="80"/>
      <c r="N142" s="80"/>
      <c r="O142" s="82"/>
      <c r="P142" s="81"/>
      <c r="Q142" s="81"/>
      <c r="R142" s="81"/>
      <c r="S142" s="81"/>
      <c r="T142" s="81"/>
      <c r="U142" s="3"/>
      <c r="V142" s="88"/>
      <c r="W142" s="88"/>
      <c r="X142" s="88"/>
      <c r="Y142" s="88"/>
      <c r="Z142" s="88"/>
      <c r="AA142" s="88"/>
      <c r="AB142" s="88"/>
      <c r="AC142" s="88"/>
      <c r="AE142">
        <f t="shared" ref="AE142:AE205" si="19">A142</f>
        <v>-16</v>
      </c>
      <c r="AG142" s="113">
        <f t="shared" ref="AG142:AG205" si="20">C142</f>
        <v>57.850184489619735</v>
      </c>
      <c r="AH142" s="124">
        <f t="shared" si="6"/>
        <v>2.6380394517377277</v>
      </c>
      <c r="AI142" s="124">
        <f t="shared" si="7"/>
        <v>0</v>
      </c>
      <c r="AJ142" s="124">
        <f t="shared" si="8"/>
        <v>2.0202077190856054</v>
      </c>
      <c r="AK142" s="124">
        <f t="shared" si="9"/>
        <v>0.7542108817919595</v>
      </c>
      <c r="AL142" s="124">
        <f t="shared" si="10"/>
        <v>1.6285214558752539</v>
      </c>
      <c r="AM142" s="124">
        <f t="shared" si="11"/>
        <v>0.3645579686371721</v>
      </c>
      <c r="AN142" s="124">
        <f t="shared" si="12"/>
        <v>0.18209688743115485</v>
      </c>
      <c r="AO142" s="124">
        <f t="shared" si="13"/>
        <v>1.3434381331919276</v>
      </c>
    </row>
    <row r="143" spans="1:41" ht="14">
      <c r="A143">
        <f t="shared" si="18"/>
        <v>-15</v>
      </c>
      <c r="B143" s="21">
        <v>65</v>
      </c>
      <c r="C143" s="127">
        <f t="shared" si="16"/>
        <v>59.573357912198624</v>
      </c>
      <c r="D143" s="125">
        <f>(($C$39*$C$118*0.72)*D$40)*('Product half-life and C flows'!B44/100)</f>
        <v>2.5481781435704529</v>
      </c>
      <c r="E143" s="26"/>
      <c r="F143" s="54">
        <f t="shared" si="17"/>
        <v>2.0202077190856054</v>
      </c>
      <c r="G143" s="54">
        <f t="shared" si="17"/>
        <v>0.7542108817919595</v>
      </c>
      <c r="H143" s="125">
        <f>(H$118)*('Product half-life and C flows'!L44/100)</f>
        <v>1.6036291030706211</v>
      </c>
      <c r="I143" s="125">
        <f>(($C$39*$C$118*0.28)*H$41)*('Product half-life and C flows'!N44/100)</f>
        <v>0.37701659121589082</v>
      </c>
      <c r="J143" s="125">
        <f>(($C$39*$C$118*0.28)*H$41)*(+'Product half-life and C flows'!P44/100)</f>
        <v>0.18831997563231306</v>
      </c>
      <c r="K143" s="54">
        <f t="shared" si="15"/>
        <v>1.3434381331919276</v>
      </c>
      <c r="L143" s="26"/>
      <c r="M143" s="80"/>
      <c r="N143" s="80"/>
      <c r="O143" s="82"/>
      <c r="P143" s="81"/>
      <c r="Q143" s="81"/>
      <c r="R143" s="81"/>
      <c r="S143" s="81"/>
      <c r="T143" s="81"/>
      <c r="U143" s="3"/>
      <c r="V143" s="88"/>
      <c r="W143" s="88"/>
      <c r="X143" s="88"/>
      <c r="Y143" s="88"/>
      <c r="Z143" s="88"/>
      <c r="AA143" s="88"/>
      <c r="AB143" s="88"/>
      <c r="AC143" s="88"/>
      <c r="AE143">
        <f t="shared" si="19"/>
        <v>-15</v>
      </c>
      <c r="AG143" s="113">
        <f t="shared" si="20"/>
        <v>59.573357912198624</v>
      </c>
      <c r="AH143" s="124">
        <f t="shared" si="6"/>
        <v>2.5481781435704529</v>
      </c>
      <c r="AI143" s="124">
        <f t="shared" si="7"/>
        <v>0</v>
      </c>
      <c r="AJ143" s="124">
        <f t="shared" si="8"/>
        <v>2.0202077190856054</v>
      </c>
      <c r="AK143" s="124">
        <f t="shared" si="9"/>
        <v>0.7542108817919595</v>
      </c>
      <c r="AL143" s="124">
        <f t="shared" si="10"/>
        <v>1.6036291030706211</v>
      </c>
      <c r="AM143" s="124">
        <f t="shared" si="11"/>
        <v>0.37701659121589082</v>
      </c>
      <c r="AN143" s="124">
        <f t="shared" si="12"/>
        <v>0.18831997563231306</v>
      </c>
      <c r="AO143" s="124">
        <f t="shared" si="13"/>
        <v>1.3434381331919276</v>
      </c>
    </row>
    <row r="144" spans="1:41" ht="14">
      <c r="A144">
        <f t="shared" si="18"/>
        <v>-14</v>
      </c>
      <c r="B144" s="21">
        <v>66</v>
      </c>
      <c r="C144" s="127">
        <f t="shared" si="16"/>
        <v>61.296531334777512</v>
      </c>
      <c r="D144" s="125">
        <f>(($C$39*$C$118*0.72)*D$40)*('Product half-life and C flows'!B45/100)</f>
        <v>2.4613778414469714</v>
      </c>
      <c r="E144" s="26"/>
      <c r="F144" s="54">
        <f t="shared" si="17"/>
        <v>2.0202077190856054</v>
      </c>
      <c r="G144" s="54">
        <f t="shared" si="17"/>
        <v>0.7542108817919595</v>
      </c>
      <c r="H144" s="125">
        <f>(H$118)*('Product half-life and C flows'!L45/100)</f>
        <v>1.5791172360286507</v>
      </c>
      <c r="I144" s="125">
        <f>(($C$39*$C$118*0.28)*H$41)*('Product half-life and C flows'!N45/100)</f>
        <v>0.38928478067039707</v>
      </c>
      <c r="J144" s="125">
        <f>(($C$39*$C$118*0.28)*H$41)*(+'Product half-life and C flows'!P45/100)</f>
        <v>0.19444794239280572</v>
      </c>
      <c r="K144" s="54">
        <f t="shared" si="15"/>
        <v>1.3434381331919276</v>
      </c>
      <c r="L144" s="26"/>
      <c r="M144" s="80"/>
      <c r="N144" s="80"/>
      <c r="O144" s="82"/>
      <c r="P144" s="81"/>
      <c r="Q144" s="81"/>
      <c r="R144" s="81"/>
      <c r="S144" s="81"/>
      <c r="T144" s="81"/>
      <c r="U144" s="3"/>
      <c r="V144" s="88"/>
      <c r="W144" s="88"/>
      <c r="X144" s="88"/>
      <c r="Y144" s="88"/>
      <c r="Z144" s="88"/>
      <c r="AA144" s="88"/>
      <c r="AB144" s="88"/>
      <c r="AC144" s="88"/>
      <c r="AE144">
        <f t="shared" si="19"/>
        <v>-14</v>
      </c>
      <c r="AG144" s="113">
        <f t="shared" si="20"/>
        <v>61.296531334777512</v>
      </c>
      <c r="AH144" s="124">
        <f t="shared" si="6"/>
        <v>2.4613778414469714</v>
      </c>
      <c r="AI144" s="124">
        <f t="shared" si="7"/>
        <v>0</v>
      </c>
      <c r="AJ144" s="124">
        <f t="shared" si="8"/>
        <v>2.0202077190856054</v>
      </c>
      <c r="AK144" s="124">
        <f t="shared" si="9"/>
        <v>0.7542108817919595</v>
      </c>
      <c r="AL144" s="124">
        <f t="shared" si="10"/>
        <v>1.5791172360286507</v>
      </c>
      <c r="AM144" s="124">
        <f t="shared" si="11"/>
        <v>0.38928478067039707</v>
      </c>
      <c r="AN144" s="124">
        <f t="shared" si="12"/>
        <v>0.19444794239280572</v>
      </c>
      <c r="AO144" s="124">
        <f t="shared" si="13"/>
        <v>1.3434381331919276</v>
      </c>
    </row>
    <row r="145" spans="1:42" ht="14">
      <c r="A145">
        <f t="shared" si="18"/>
        <v>-13</v>
      </c>
      <c r="B145" s="21">
        <v>67</v>
      </c>
      <c r="C145" s="127">
        <f t="shared" si="16"/>
        <v>63.019704757356401</v>
      </c>
      <c r="D145" s="125">
        <f>(($C$39*$C$118*0.72)*D$40)*('Product half-life and C flows'!B46/100)</f>
        <v>2.3775342762642482</v>
      </c>
      <c r="E145" s="26"/>
      <c r="F145" s="54">
        <f t="shared" si="17"/>
        <v>2.0202077190856054</v>
      </c>
      <c r="G145" s="54">
        <f t="shared" si="17"/>
        <v>0.7542108817919595</v>
      </c>
      <c r="H145" s="125">
        <f>(H$118)*('Product half-life and C flows'!L46/100)</f>
        <v>1.5549800389304542</v>
      </c>
      <c r="I145" s="125">
        <f>(($C$39*$C$118*0.28)*H$41)*('Product half-life and C flows'!N46/100)</f>
        <v>0.40136544781804434</v>
      </c>
      <c r="J145" s="125">
        <f>(($C$39*$C$118*0.28)*H$41)*(+'Product half-life and C flows'!P46/100)</f>
        <v>0.20048224166735482</v>
      </c>
      <c r="K145" s="54">
        <f t="shared" si="15"/>
        <v>1.3434381331919276</v>
      </c>
      <c r="L145" s="26"/>
      <c r="M145" s="80"/>
      <c r="N145" s="80"/>
      <c r="O145" s="82"/>
      <c r="P145" s="81"/>
      <c r="Q145" s="81"/>
      <c r="R145" s="81"/>
      <c r="S145" s="81"/>
      <c r="T145" s="81"/>
      <c r="U145" s="3"/>
      <c r="V145" s="88"/>
      <c r="W145" s="88"/>
      <c r="X145" s="88"/>
      <c r="Y145" s="88"/>
      <c r="Z145" s="88"/>
      <c r="AA145" s="88"/>
      <c r="AB145" s="88"/>
      <c r="AC145" s="88"/>
      <c r="AE145">
        <f t="shared" si="19"/>
        <v>-13</v>
      </c>
      <c r="AG145" s="113">
        <f t="shared" si="20"/>
        <v>63.019704757356401</v>
      </c>
      <c r="AH145" s="124">
        <f t="shared" si="6"/>
        <v>2.3775342762642482</v>
      </c>
      <c r="AI145" s="124">
        <f t="shared" si="7"/>
        <v>0</v>
      </c>
      <c r="AJ145" s="124">
        <f t="shared" si="8"/>
        <v>2.0202077190856054</v>
      </c>
      <c r="AK145" s="124">
        <f t="shared" si="9"/>
        <v>0.7542108817919595</v>
      </c>
      <c r="AL145" s="124">
        <f t="shared" si="10"/>
        <v>1.5549800389304542</v>
      </c>
      <c r="AM145" s="124">
        <f t="shared" si="11"/>
        <v>0.40136544781804434</v>
      </c>
      <c r="AN145" s="124">
        <f t="shared" si="12"/>
        <v>0.20048224166735482</v>
      </c>
      <c r="AO145" s="124">
        <f t="shared" si="13"/>
        <v>1.3434381331919276</v>
      </c>
    </row>
    <row r="146" spans="1:42" ht="14">
      <c r="A146">
        <f t="shared" si="18"/>
        <v>-12</v>
      </c>
      <c r="B146" s="21">
        <v>68</v>
      </c>
      <c r="C146" s="127">
        <f t="shared" si="16"/>
        <v>64.742878179935289</v>
      </c>
      <c r="D146" s="125">
        <f>(($C$39*$C$118*0.72)*D$40)*('Product half-life and C flows'!B47/100)</f>
        <v>2.2965467307076777</v>
      </c>
      <c r="E146" s="26"/>
      <c r="F146" s="54">
        <f t="shared" si="17"/>
        <v>2.0202077190856054</v>
      </c>
      <c r="G146" s="54">
        <f t="shared" si="17"/>
        <v>0.7542108817919595</v>
      </c>
      <c r="H146" s="125">
        <f>(H$118)*('Product half-life and C flows'!L47/100)</f>
        <v>1.5312117848533746</v>
      </c>
      <c r="I146" s="125">
        <f>(($C$39*$C$118*0.28)*H$41)*('Product half-life and C flows'!N47/100)</f>
        <v>0.41326145898362254</v>
      </c>
      <c r="J146" s="125">
        <f>(($C$39*$C$118*0.28)*H$41)*(+'Product half-life and C flows'!P47/100)</f>
        <v>0.20642430518662463</v>
      </c>
      <c r="K146" s="54">
        <f t="shared" si="15"/>
        <v>1.3434381331919276</v>
      </c>
      <c r="L146" s="26"/>
      <c r="M146" s="80"/>
      <c r="N146" s="80"/>
      <c r="O146" s="82"/>
      <c r="P146" s="81"/>
      <c r="Q146" s="81"/>
      <c r="R146" s="81"/>
      <c r="S146" s="81"/>
      <c r="T146" s="81"/>
      <c r="U146" s="3"/>
      <c r="V146" s="88"/>
      <c r="W146" s="88"/>
      <c r="X146" s="88"/>
      <c r="Y146" s="88"/>
      <c r="Z146" s="88"/>
      <c r="AA146" s="88"/>
      <c r="AB146" s="88"/>
      <c r="AC146" s="88"/>
      <c r="AE146">
        <f t="shared" si="19"/>
        <v>-12</v>
      </c>
      <c r="AG146" s="113">
        <f t="shared" si="20"/>
        <v>64.742878179935289</v>
      </c>
      <c r="AH146" s="124">
        <f t="shared" si="6"/>
        <v>2.2965467307076777</v>
      </c>
      <c r="AI146" s="124">
        <f t="shared" si="7"/>
        <v>0</v>
      </c>
      <c r="AJ146" s="124">
        <f t="shared" si="8"/>
        <v>2.0202077190856054</v>
      </c>
      <c r="AK146" s="124">
        <f t="shared" si="9"/>
        <v>0.7542108817919595</v>
      </c>
      <c r="AL146" s="124">
        <f t="shared" si="10"/>
        <v>1.5312117848533746</v>
      </c>
      <c r="AM146" s="124">
        <f t="shared" si="11"/>
        <v>0.41326145898362254</v>
      </c>
      <c r="AN146" s="124">
        <f t="shared" si="12"/>
        <v>0.20642430518662463</v>
      </c>
      <c r="AO146" s="124">
        <f t="shared" si="13"/>
        <v>1.3434381331919276</v>
      </c>
    </row>
    <row r="147" spans="1:42" ht="14">
      <c r="A147">
        <f t="shared" si="18"/>
        <v>-11</v>
      </c>
      <c r="B147" s="21">
        <v>69</v>
      </c>
      <c r="C147" s="127">
        <f t="shared" si="16"/>
        <v>66.466051602514185</v>
      </c>
      <c r="D147" s="125">
        <f>(($C$39*$C$118*0.72)*D$40)*('Product half-life and C flows'!B48/100)</f>
        <v>2.2183179182641304</v>
      </c>
      <c r="E147" s="26"/>
      <c r="F147" s="54">
        <f t="shared" si="17"/>
        <v>2.0202077190856054</v>
      </c>
      <c r="G147" s="54">
        <f t="shared" si="17"/>
        <v>0.7542108817919595</v>
      </c>
      <c r="H147" s="125">
        <f>(H$118)*('Product half-life and C flows'!L48/100)</f>
        <v>1.5078068344121802</v>
      </c>
      <c r="I147" s="125">
        <f>(($C$39*$C$118*0.28)*H$41)*('Product half-life and C flows'!N48/100)</f>
        <v>0.42497563667944049</v>
      </c>
      <c r="J147" s="125">
        <f>(($C$39*$C$118*0.28)*H$41)*(+'Product half-life and C flows'!P48/100)</f>
        <v>0.21227554279692329</v>
      </c>
      <c r="K147" s="54">
        <f t="shared" si="15"/>
        <v>1.3434381331919276</v>
      </c>
      <c r="L147" s="26"/>
      <c r="M147" s="80"/>
      <c r="N147" s="80"/>
      <c r="O147" s="82"/>
      <c r="P147" s="81"/>
      <c r="Q147" s="81"/>
      <c r="R147" s="81"/>
      <c r="S147" s="81"/>
      <c r="T147" s="81"/>
      <c r="U147" s="3"/>
      <c r="V147" s="88"/>
      <c r="W147" s="88"/>
      <c r="X147" s="88"/>
      <c r="Y147" s="88"/>
      <c r="Z147" s="88"/>
      <c r="AA147" s="88"/>
      <c r="AB147" s="88"/>
      <c r="AC147" s="88"/>
      <c r="AE147">
        <f t="shared" si="19"/>
        <v>-11</v>
      </c>
      <c r="AG147" s="113">
        <f t="shared" si="20"/>
        <v>66.466051602514185</v>
      </c>
      <c r="AH147" s="124">
        <f t="shared" si="6"/>
        <v>2.2183179182641304</v>
      </c>
      <c r="AI147" s="124">
        <f t="shared" si="7"/>
        <v>0</v>
      </c>
      <c r="AJ147" s="124">
        <f t="shared" si="8"/>
        <v>2.0202077190856054</v>
      </c>
      <c r="AK147" s="124">
        <f t="shared" si="9"/>
        <v>0.7542108817919595</v>
      </c>
      <c r="AL147" s="124">
        <f t="shared" si="10"/>
        <v>1.5078068344121802</v>
      </c>
      <c r="AM147" s="124">
        <f t="shared" si="11"/>
        <v>0.42497563667944049</v>
      </c>
      <c r="AN147" s="124">
        <f t="shared" si="12"/>
        <v>0.21227554279692329</v>
      </c>
      <c r="AO147" s="124">
        <f t="shared" si="13"/>
        <v>1.3434381331919276</v>
      </c>
    </row>
    <row r="148" spans="1:42" ht="14">
      <c r="A148">
        <f t="shared" si="18"/>
        <v>-10</v>
      </c>
      <c r="B148" s="21">
        <v>70</v>
      </c>
      <c r="C148" s="127">
        <f t="shared" si="16"/>
        <v>68.18922502509308</v>
      </c>
      <c r="D148" s="125">
        <f>(($C$39*$C$118*0.72)*D$40)*('Product half-life and C flows'!B49/100)</f>
        <v>2.1427538663562591</v>
      </c>
      <c r="E148" s="26"/>
      <c r="F148" s="54">
        <f t="shared" si="17"/>
        <v>2.0202077190856054</v>
      </c>
      <c r="G148" s="54">
        <f t="shared" si="17"/>
        <v>0.7542108817919595</v>
      </c>
      <c r="H148" s="125">
        <f>(H$118)*('Product half-life and C flows'!L49/100)</f>
        <v>1.484759634421037</v>
      </c>
      <c r="I148" s="125">
        <f>(($C$39*$C$118*0.28)*H$41)*('Product half-life and C flows'!N49/100)</f>
        <v>0.43651076027500768</v>
      </c>
      <c r="J148" s="125">
        <f>(($C$39*$C$118*0.28)*H$41)*(+'Product half-life and C flows'!P49/100)</f>
        <v>0.2180373427947091</v>
      </c>
      <c r="K148" s="54">
        <f t="shared" si="15"/>
        <v>1.3434381331919276</v>
      </c>
      <c r="L148" s="26"/>
      <c r="M148" s="80"/>
      <c r="N148" s="80"/>
      <c r="O148" s="82"/>
      <c r="P148" s="81"/>
      <c r="Q148" s="81"/>
      <c r="R148" s="81"/>
      <c r="S148" s="81"/>
      <c r="T148" s="81"/>
      <c r="U148" s="3"/>
      <c r="V148" s="88"/>
      <c r="W148" s="88"/>
      <c r="X148" s="88"/>
      <c r="Y148" s="88"/>
      <c r="Z148" s="88"/>
      <c r="AA148" s="88"/>
      <c r="AB148" s="88"/>
      <c r="AC148" s="88"/>
      <c r="AE148">
        <f t="shared" si="19"/>
        <v>-10</v>
      </c>
      <c r="AG148" s="113">
        <f t="shared" si="20"/>
        <v>68.18922502509308</v>
      </c>
      <c r="AH148" s="124">
        <f t="shared" si="6"/>
        <v>2.1427538663562591</v>
      </c>
      <c r="AI148" s="124">
        <f t="shared" si="7"/>
        <v>0</v>
      </c>
      <c r="AJ148" s="124">
        <f t="shared" si="8"/>
        <v>2.0202077190856054</v>
      </c>
      <c r="AK148" s="124">
        <f t="shared" si="9"/>
        <v>0.7542108817919595</v>
      </c>
      <c r="AL148" s="124">
        <f t="shared" si="10"/>
        <v>1.484759634421037</v>
      </c>
      <c r="AM148" s="124">
        <f t="shared" si="11"/>
        <v>0.43651076027500768</v>
      </c>
      <c r="AN148" s="124">
        <f t="shared" si="12"/>
        <v>0.2180373427947091</v>
      </c>
      <c r="AO148" s="124">
        <f t="shared" si="13"/>
        <v>1.3434381331919276</v>
      </c>
    </row>
    <row r="149" spans="1:42" ht="14">
      <c r="A149">
        <f t="shared" si="18"/>
        <v>-9</v>
      </c>
      <c r="B149" s="21">
        <v>71</v>
      </c>
      <c r="C149" s="127">
        <f t="shared" si="16"/>
        <v>69.912398447671976</v>
      </c>
      <c r="D149" s="125">
        <f>(($C$39*$C$118*0.72)*D$40)*('Product half-life and C flows'!B50/100)</f>
        <v>2.0697638034576844</v>
      </c>
      <c r="E149" s="26"/>
      <c r="F149" s="54">
        <f t="shared" si="17"/>
        <v>2.0202077190856054</v>
      </c>
      <c r="G149" s="54">
        <f t="shared" si="17"/>
        <v>0.7542108817919595</v>
      </c>
      <c r="H149" s="125">
        <f>(H$118)*('Product half-life and C flows'!L50/100)</f>
        <v>1.462064716575928</v>
      </c>
      <c r="I149" s="125">
        <f>(($C$39*$C$118*0.28)*H$41)*('Product half-life and C flows'!N50/100)</f>
        <v>0.44786956665648481</v>
      </c>
      <c r="J149" s="125">
        <f>(($C$39*$C$118*0.28)*H$41)*(+'Product half-life and C flows'!P50/100)</f>
        <v>0.22371107225598635</v>
      </c>
      <c r="K149" s="54">
        <f t="shared" si="15"/>
        <v>1.3434381331919276</v>
      </c>
      <c r="L149" s="26"/>
      <c r="M149" s="80"/>
      <c r="N149" s="80"/>
      <c r="O149" s="82"/>
      <c r="P149" s="81"/>
      <c r="Q149" s="81"/>
      <c r="R149" s="81"/>
      <c r="S149" s="81"/>
      <c r="T149" s="81"/>
      <c r="U149" s="3"/>
      <c r="V149" s="88"/>
      <c r="W149" s="88"/>
      <c r="X149" s="88"/>
      <c r="Y149" s="88"/>
      <c r="Z149" s="88"/>
      <c r="AA149" s="88"/>
      <c r="AB149" s="88"/>
      <c r="AC149" s="88"/>
      <c r="AE149">
        <f t="shared" si="19"/>
        <v>-9</v>
      </c>
      <c r="AG149" s="113">
        <f t="shared" si="20"/>
        <v>69.912398447671976</v>
      </c>
      <c r="AH149" s="124">
        <f t="shared" si="6"/>
        <v>2.0697638034576844</v>
      </c>
      <c r="AI149" s="124">
        <f t="shared" si="7"/>
        <v>0</v>
      </c>
      <c r="AJ149" s="124">
        <f t="shared" si="8"/>
        <v>2.0202077190856054</v>
      </c>
      <c r="AK149" s="124">
        <f t="shared" si="9"/>
        <v>0.7542108817919595</v>
      </c>
      <c r="AL149" s="124">
        <f t="shared" si="10"/>
        <v>1.462064716575928</v>
      </c>
      <c r="AM149" s="124">
        <f t="shared" si="11"/>
        <v>0.44786956665648481</v>
      </c>
      <c r="AN149" s="124">
        <f t="shared" si="12"/>
        <v>0.22371107225598635</v>
      </c>
      <c r="AO149" s="124">
        <f t="shared" si="13"/>
        <v>1.3434381331919276</v>
      </c>
    </row>
    <row r="150" spans="1:42" ht="14">
      <c r="A150">
        <f t="shared" si="18"/>
        <v>-8</v>
      </c>
      <c r="B150" s="21">
        <v>72</v>
      </c>
      <c r="C150" s="127">
        <f t="shared" si="16"/>
        <v>71.635571870250871</v>
      </c>
      <c r="D150" s="125">
        <f>(($C$39*$C$118*0.72)*D$40)*('Product half-life and C flows'!B51/100)</f>
        <v>1.9992600500534412</v>
      </c>
      <c r="E150" s="26"/>
      <c r="F150" s="54">
        <f t="shared" si="17"/>
        <v>2.0202077190856054</v>
      </c>
      <c r="G150" s="54">
        <f t="shared" si="17"/>
        <v>0.7542108817919595</v>
      </c>
      <c r="H150" s="125">
        <f>(H$118)*('Product half-life and C flows'!L51/100)</f>
        <v>1.4397166961572141</v>
      </c>
      <c r="I150" s="125">
        <f>(($C$39*$C$118*0.28)*H$41)*('Product half-life and C flows'!N51/100)</f>
        <v>0.45905475087605102</v>
      </c>
      <c r="J150" s="125">
        <f>(($C$39*$C$118*0.28)*H$41)*(+'Product half-life and C flows'!P51/100)</f>
        <v>0.22929807736066479</v>
      </c>
      <c r="K150" s="54">
        <f t="shared" si="15"/>
        <v>1.3434381331919276</v>
      </c>
      <c r="L150" s="26"/>
      <c r="M150" s="80"/>
      <c r="N150" s="80"/>
      <c r="O150" s="82"/>
      <c r="P150" s="81"/>
      <c r="Q150" s="81"/>
      <c r="R150" s="81"/>
      <c r="S150" s="81"/>
      <c r="T150" s="81"/>
      <c r="U150" s="3"/>
      <c r="V150" s="88"/>
      <c r="W150" s="88"/>
      <c r="X150" s="88"/>
      <c r="Y150" s="88"/>
      <c r="Z150" s="88"/>
      <c r="AA150" s="88"/>
      <c r="AB150" s="88"/>
      <c r="AC150" s="88"/>
      <c r="AE150">
        <f t="shared" si="19"/>
        <v>-8</v>
      </c>
      <c r="AG150" s="113">
        <f t="shared" si="20"/>
        <v>71.635571870250871</v>
      </c>
      <c r="AH150" s="124">
        <f t="shared" ref="AH150:AH181" si="21">D150+M150+V150</f>
        <v>1.9992600500534412</v>
      </c>
      <c r="AI150" s="124">
        <f t="shared" ref="AI150:AI181" si="22">E150+N150+W150</f>
        <v>0</v>
      </c>
      <c r="AJ150" s="124">
        <f t="shared" ref="AJ150:AJ181" si="23">F150+O150+X150</f>
        <v>2.0202077190856054</v>
      </c>
      <c r="AK150" s="124">
        <f t="shared" ref="AK150:AK181" si="24">G150+P150+Y150</f>
        <v>0.7542108817919595</v>
      </c>
      <c r="AL150" s="124">
        <f t="shared" ref="AL150:AL181" si="25">H150+Q150+Z150</f>
        <v>1.4397166961572141</v>
      </c>
      <c r="AM150" s="124">
        <f t="shared" ref="AM150:AM181" si="26">I150+R150+AA150</f>
        <v>0.45905475087605102</v>
      </c>
      <c r="AN150" s="124">
        <f t="shared" ref="AN150:AN181" si="27">J150+S150+AB150</f>
        <v>0.22929807736066479</v>
      </c>
      <c r="AO150" s="124">
        <f t="shared" ref="AO150:AO181" si="28">K150+T150+AC150</f>
        <v>1.3434381331919276</v>
      </c>
    </row>
    <row r="151" spans="1:42" ht="14">
      <c r="A151">
        <f t="shared" si="18"/>
        <v>-7</v>
      </c>
      <c r="B151" s="21">
        <v>73</v>
      </c>
      <c r="C151" s="127">
        <f t="shared" si="16"/>
        <v>73.358745292829767</v>
      </c>
      <c r="D151" s="125">
        <f>(($C$39*$C$118*0.72)*D$40)*('Product half-life and C flows'!B52/100)</f>
        <v>1.9311579133147239</v>
      </c>
      <c r="E151" s="26"/>
      <c r="F151" s="54">
        <f t="shared" si="17"/>
        <v>2.0202077190856054</v>
      </c>
      <c r="G151" s="54">
        <f t="shared" si="17"/>
        <v>0.7542108817919595</v>
      </c>
      <c r="H151" s="125">
        <f>(H$118)*('Product half-life and C flows'!L52/100)</f>
        <v>1.4177102707520266</v>
      </c>
      <c r="I151" s="125">
        <f>(($C$39*$C$118*0.28)*H$41)*('Product half-life and C flows'!N52/100)</f>
        <v>0.4700689667913473</v>
      </c>
      <c r="J151" s="125">
        <f>(($C$39*$C$118*0.28)*H$41)*(+'Product half-life and C flows'!P52/100)</f>
        <v>0.23479968371196169</v>
      </c>
      <c r="K151" s="54">
        <f t="shared" si="15"/>
        <v>1.3434381331919276</v>
      </c>
      <c r="L151" s="26"/>
      <c r="M151" s="80"/>
      <c r="N151" s="80"/>
      <c r="O151" s="82"/>
      <c r="P151" s="81"/>
      <c r="Q151" s="81"/>
      <c r="R151" s="81"/>
      <c r="S151" s="81"/>
      <c r="T151" s="81"/>
      <c r="U151" s="3"/>
      <c r="V151" s="88"/>
      <c r="W151" s="88"/>
      <c r="X151" s="88"/>
      <c r="Y151" s="88"/>
      <c r="Z151" s="88"/>
      <c r="AA151" s="88"/>
      <c r="AB151" s="88"/>
      <c r="AC151" s="88"/>
      <c r="AE151">
        <f t="shared" si="19"/>
        <v>-7</v>
      </c>
      <c r="AG151" s="113">
        <f t="shared" si="20"/>
        <v>73.358745292829767</v>
      </c>
      <c r="AH151" s="124">
        <f t="shared" si="21"/>
        <v>1.9311579133147239</v>
      </c>
      <c r="AI151" s="124">
        <f t="shared" si="22"/>
        <v>0</v>
      </c>
      <c r="AJ151" s="124">
        <f t="shared" si="23"/>
        <v>2.0202077190856054</v>
      </c>
      <c r="AK151" s="124">
        <f t="shared" si="24"/>
        <v>0.7542108817919595</v>
      </c>
      <c r="AL151" s="124">
        <f t="shared" si="25"/>
        <v>1.4177102707520266</v>
      </c>
      <c r="AM151" s="124">
        <f t="shared" si="26"/>
        <v>0.4700689667913473</v>
      </c>
      <c r="AN151" s="124">
        <f t="shared" si="27"/>
        <v>0.23479968371196169</v>
      </c>
      <c r="AO151" s="124">
        <f t="shared" si="28"/>
        <v>1.3434381331919276</v>
      </c>
    </row>
    <row r="152" spans="1:42" ht="14">
      <c r="A152">
        <f t="shared" si="18"/>
        <v>-6</v>
      </c>
      <c r="B152" s="21">
        <v>74</v>
      </c>
      <c r="C152" s="127">
        <f t="shared" si="16"/>
        <v>75.081918715408662</v>
      </c>
      <c r="D152" s="125">
        <f>(($C$39*$C$118*0.72)*D$40)*('Product half-life and C flows'!B53/100)</f>
        <v>1.8653755853613894</v>
      </c>
      <c r="E152" s="26"/>
      <c r="F152" s="54">
        <f t="shared" ref="F152:G167" si="29">F151</f>
        <v>2.0202077190856054</v>
      </c>
      <c r="G152" s="54">
        <f t="shared" si="29"/>
        <v>0.7542108817919595</v>
      </c>
      <c r="H152" s="125">
        <f>(H$118)*('Product half-life and C flows'!L53/100)</f>
        <v>1.3960402189961876</v>
      </c>
      <c r="I152" s="125">
        <f>(($C$39*$C$118*0.28)*H$41)*('Product half-life and C flows'!N53/100)</f>
        <v>0.48091482769514482</v>
      </c>
      <c r="J152" s="125">
        <f>(($C$39*$C$118*0.28)*H$41)*(+'Product half-life and C flows'!P53/100)</f>
        <v>0.24021719665092145</v>
      </c>
      <c r="K152" s="54">
        <f t="shared" si="15"/>
        <v>1.3434381331919276</v>
      </c>
      <c r="L152" s="26"/>
      <c r="M152" s="80"/>
      <c r="N152" s="80"/>
      <c r="O152" s="82"/>
      <c r="P152" s="81"/>
      <c r="Q152" s="81"/>
      <c r="R152" s="81"/>
      <c r="S152" s="81"/>
      <c r="T152" s="81"/>
      <c r="U152" s="3"/>
      <c r="V152" s="88"/>
      <c r="W152" s="88"/>
      <c r="X152" s="88"/>
      <c r="Y152" s="88"/>
      <c r="Z152" s="88"/>
      <c r="AA152" s="88"/>
      <c r="AB152" s="88"/>
      <c r="AC152" s="88"/>
      <c r="AE152">
        <f t="shared" si="19"/>
        <v>-6</v>
      </c>
      <c r="AG152" s="113">
        <f t="shared" si="20"/>
        <v>75.081918715408662</v>
      </c>
      <c r="AH152" s="124">
        <f t="shared" si="21"/>
        <v>1.8653755853613894</v>
      </c>
      <c r="AI152" s="124">
        <f t="shared" si="22"/>
        <v>0</v>
      </c>
      <c r="AJ152" s="124">
        <f t="shared" si="23"/>
        <v>2.0202077190856054</v>
      </c>
      <c r="AK152" s="124">
        <f t="shared" si="24"/>
        <v>0.7542108817919595</v>
      </c>
      <c r="AL152" s="124">
        <f t="shared" si="25"/>
        <v>1.3960402189961876</v>
      </c>
      <c r="AM152" s="124">
        <f t="shared" si="26"/>
        <v>0.48091482769514482</v>
      </c>
      <c r="AN152" s="124">
        <f t="shared" si="27"/>
        <v>0.24021719665092145</v>
      </c>
      <c r="AO152" s="124">
        <f t="shared" si="28"/>
        <v>1.3434381331919276</v>
      </c>
    </row>
    <row r="153" spans="1:42" ht="14">
      <c r="A153">
        <f t="shared" si="18"/>
        <v>-5</v>
      </c>
      <c r="B153" s="21">
        <v>75</v>
      </c>
      <c r="C153" s="127">
        <f t="shared" si="16"/>
        <v>76.805092137987558</v>
      </c>
      <c r="D153" s="125">
        <f>(($C$39*$C$118*0.72)*D$40)*('Product half-life and C flows'!B54/100)</f>
        <v>1.8018340449900154</v>
      </c>
      <c r="E153" s="26"/>
      <c r="F153" s="54">
        <f t="shared" si="29"/>
        <v>2.0202077190856054</v>
      </c>
      <c r="G153" s="54">
        <f t="shared" si="29"/>
        <v>0.7542108817919595</v>
      </c>
      <c r="H153" s="125">
        <f>(H$118)*('Product half-life and C flows'!L54/100)</f>
        <v>1.3747013993353601</v>
      </c>
      <c r="I153" s="125">
        <f>(($C$39*$C$118*0.28)*H$41)*('Product half-life and C flows'!N54/100)</f>
        <v>0.49159490693538893</v>
      </c>
      <c r="J153" s="125">
        <f>(($C$39*$C$118*0.28)*H$41)*(+'Product half-life and C flows'!P54/100)</f>
        <v>0.24555190156612833</v>
      </c>
      <c r="K153" s="54">
        <f t="shared" si="15"/>
        <v>1.3434381331919276</v>
      </c>
      <c r="L153" s="26"/>
      <c r="M153" s="80"/>
      <c r="N153" s="80"/>
      <c r="O153" s="82"/>
      <c r="P153" s="81"/>
      <c r="Q153" s="81"/>
      <c r="R153" s="81"/>
      <c r="S153" s="81"/>
      <c r="T153" s="81"/>
      <c r="U153" s="3"/>
      <c r="V153" s="88"/>
      <c r="W153" s="88"/>
      <c r="X153" s="88"/>
      <c r="Y153" s="88"/>
      <c r="Z153" s="88"/>
      <c r="AA153" s="88"/>
      <c r="AB153" s="88"/>
      <c r="AC153" s="88"/>
      <c r="AE153">
        <f t="shared" si="19"/>
        <v>-5</v>
      </c>
      <c r="AG153" s="113">
        <f t="shared" si="20"/>
        <v>76.805092137987558</v>
      </c>
      <c r="AH153" s="124">
        <f t="shared" si="21"/>
        <v>1.8018340449900154</v>
      </c>
      <c r="AI153" s="124">
        <f t="shared" si="22"/>
        <v>0</v>
      </c>
      <c r="AJ153" s="124">
        <f t="shared" si="23"/>
        <v>2.0202077190856054</v>
      </c>
      <c r="AK153" s="124">
        <f t="shared" si="24"/>
        <v>0.7542108817919595</v>
      </c>
      <c r="AL153" s="124">
        <f t="shared" si="25"/>
        <v>1.3747013993353601</v>
      </c>
      <c r="AM153" s="124">
        <f t="shared" si="26"/>
        <v>0.49159490693538893</v>
      </c>
      <c r="AN153" s="124">
        <f t="shared" si="27"/>
        <v>0.24555190156612833</v>
      </c>
      <c r="AO153" s="124">
        <f t="shared" si="28"/>
        <v>1.3434381331919276</v>
      </c>
    </row>
    <row r="154" spans="1:42" ht="14">
      <c r="A154">
        <f t="shared" si="18"/>
        <v>-4</v>
      </c>
      <c r="B154" s="21">
        <v>76</v>
      </c>
      <c r="C154" s="127">
        <f t="shared" si="16"/>
        <v>78.528265560566453</v>
      </c>
      <c r="D154" s="125">
        <f>(($C$39*$C$118*0.72)*D$40)*('Product half-life and C flows'!B55/100)</f>
        <v>1.7404569627494604</v>
      </c>
      <c r="E154" s="26"/>
      <c r="F154" s="54">
        <f t="shared" si="29"/>
        <v>2.0202077190856054</v>
      </c>
      <c r="G154" s="54">
        <f t="shared" si="29"/>
        <v>0.7542108817919595</v>
      </c>
      <c r="H154" s="125">
        <f>(H$118)*('Product half-life and C flows'!L55/100)</f>
        <v>1.3536887488051361</v>
      </c>
      <c r="I154" s="125">
        <f>(($C$39*$C$118*0.28)*H$41)*('Product half-life and C flows'!N55/100)</f>
        <v>0.50211173852576607</v>
      </c>
      <c r="J154" s="125">
        <f>(($C$39*$C$118*0.28)*H$41)*(+'Product half-life and C flows'!P55/100)</f>
        <v>0.25080506419868431</v>
      </c>
      <c r="K154" s="54">
        <f t="shared" si="15"/>
        <v>1.3434381331919276</v>
      </c>
      <c r="L154" s="26"/>
      <c r="M154" s="80"/>
      <c r="N154" s="80"/>
      <c r="O154" s="82"/>
      <c r="P154" s="81"/>
      <c r="Q154" s="81"/>
      <c r="R154" s="81"/>
      <c r="S154" s="81"/>
      <c r="T154" s="81"/>
      <c r="U154" s="3"/>
      <c r="V154" s="88"/>
      <c r="W154" s="88"/>
      <c r="X154" s="88"/>
      <c r="Y154" s="88"/>
      <c r="Z154" s="88"/>
      <c r="AA154" s="88"/>
      <c r="AB154" s="88"/>
      <c r="AC154" s="88"/>
      <c r="AE154">
        <f t="shared" si="19"/>
        <v>-4</v>
      </c>
      <c r="AG154" s="113">
        <f t="shared" si="20"/>
        <v>78.528265560566453</v>
      </c>
      <c r="AH154" s="124">
        <f t="shared" si="21"/>
        <v>1.7404569627494604</v>
      </c>
      <c r="AI154" s="124">
        <f t="shared" si="22"/>
        <v>0</v>
      </c>
      <c r="AJ154" s="124">
        <f t="shared" si="23"/>
        <v>2.0202077190856054</v>
      </c>
      <c r="AK154" s="124">
        <f t="shared" si="24"/>
        <v>0.7542108817919595</v>
      </c>
      <c r="AL154" s="124">
        <f t="shared" si="25"/>
        <v>1.3536887488051361</v>
      </c>
      <c r="AM154" s="124">
        <f t="shared" si="26"/>
        <v>0.50211173852576607</v>
      </c>
      <c r="AN154" s="124">
        <f t="shared" si="27"/>
        <v>0.25080506419868431</v>
      </c>
      <c r="AO154" s="124">
        <f t="shared" si="28"/>
        <v>1.3434381331919276</v>
      </c>
    </row>
    <row r="155" spans="1:42" ht="14">
      <c r="A155">
        <f t="shared" si="18"/>
        <v>-3</v>
      </c>
      <c r="B155" s="21">
        <v>77</v>
      </c>
      <c r="C155" s="127">
        <f t="shared" si="16"/>
        <v>80.251438983145349</v>
      </c>
      <c r="D155" s="125">
        <f>(($C$39*$C$118*0.72)*D$40)*('Product half-life and C flows'!B56/100)</f>
        <v>1.6811706092499004</v>
      </c>
      <c r="E155" s="26"/>
      <c r="F155" s="54">
        <f t="shared" si="29"/>
        <v>2.0202077190856054</v>
      </c>
      <c r="G155" s="54">
        <f t="shared" si="29"/>
        <v>0.7542108817919595</v>
      </c>
      <c r="H155" s="125">
        <f>(H$118)*('Product half-life and C flows'!L56/100)</f>
        <v>1.3329972818297691</v>
      </c>
      <c r="I155" s="125">
        <f>(($C$39*$C$118*0.28)*H$41)*('Product half-life and C flows'!N56/100)</f>
        <v>0.51246781774693739</v>
      </c>
      <c r="J155" s="125">
        <f>(($C$39*$C$118*0.28)*H$41)*(+'Product half-life and C flows'!P56/100)</f>
        <v>0.25597793094252608</v>
      </c>
      <c r="K155" s="54">
        <f t="shared" si="15"/>
        <v>1.3434381331919276</v>
      </c>
      <c r="L155" s="26"/>
      <c r="M155" s="80"/>
      <c r="N155" s="80"/>
      <c r="O155" s="82"/>
      <c r="P155" s="81"/>
      <c r="Q155" s="81"/>
      <c r="R155" s="81"/>
      <c r="S155" s="81"/>
      <c r="T155" s="81"/>
      <c r="U155" s="3"/>
      <c r="V155" s="88"/>
      <c r="W155" s="88"/>
      <c r="X155" s="88"/>
      <c r="Y155" s="88"/>
      <c r="Z155" s="88"/>
      <c r="AA155" s="88"/>
      <c r="AB155" s="88"/>
      <c r="AC155" s="88"/>
      <c r="AE155">
        <f t="shared" si="19"/>
        <v>-3</v>
      </c>
      <c r="AG155" s="113">
        <f t="shared" si="20"/>
        <v>80.251438983145349</v>
      </c>
      <c r="AH155" s="124">
        <f t="shared" si="21"/>
        <v>1.6811706092499004</v>
      </c>
      <c r="AI155" s="124">
        <f t="shared" si="22"/>
        <v>0</v>
      </c>
      <c r="AJ155" s="124">
        <f t="shared" si="23"/>
        <v>2.0202077190856054</v>
      </c>
      <c r="AK155" s="124">
        <f t="shared" si="24"/>
        <v>0.7542108817919595</v>
      </c>
      <c r="AL155" s="124">
        <f t="shared" si="25"/>
        <v>1.3329972818297691</v>
      </c>
      <c r="AM155" s="124">
        <f t="shared" si="26"/>
        <v>0.51246781774693739</v>
      </c>
      <c r="AN155" s="124">
        <f t="shared" si="27"/>
        <v>0.25597793094252608</v>
      </c>
      <c r="AO155" s="124">
        <f t="shared" si="28"/>
        <v>1.3434381331919276</v>
      </c>
    </row>
    <row r="156" spans="1:42" ht="14">
      <c r="A156">
        <f t="shared" si="18"/>
        <v>-2</v>
      </c>
      <c r="B156" s="21">
        <v>78</v>
      </c>
      <c r="C156" s="127">
        <f t="shared" si="16"/>
        <v>81.974612405724244</v>
      </c>
      <c r="D156" s="125">
        <f>(($C$39*$C$118*0.72)*D$40)*('Product half-life and C flows'!B57/100)</f>
        <v>1.6239037665951948</v>
      </c>
      <c r="E156" s="26"/>
      <c r="F156" s="54">
        <f t="shared" si="29"/>
        <v>2.0202077190856054</v>
      </c>
      <c r="G156" s="54">
        <f t="shared" si="29"/>
        <v>0.7542108817919595</v>
      </c>
      <c r="H156" s="125">
        <f>(H$118)*('Product half-life and C flows'!L57/100)</f>
        <v>1.3126220890392692</v>
      </c>
      <c r="I156" s="125">
        <f>(($C$39*$C$118*0.28)*H$41)*('Product half-life and C flows'!N57/100)</f>
        <v>0.52266560173858245</v>
      </c>
      <c r="J156" s="125">
        <f>(($C$39*$C$118*0.28)*H$41)*(+'Product half-life and C flows'!P57/100)</f>
        <v>0.26107172914015103</v>
      </c>
      <c r="K156" s="54">
        <f t="shared" si="15"/>
        <v>1.3434381331919276</v>
      </c>
      <c r="L156" s="26"/>
      <c r="M156" s="80"/>
      <c r="N156" s="80"/>
      <c r="O156" s="82"/>
      <c r="P156" s="81"/>
      <c r="Q156" s="81"/>
      <c r="R156" s="81"/>
      <c r="S156" s="81"/>
      <c r="T156" s="81"/>
      <c r="U156" s="3"/>
      <c r="V156" s="88"/>
      <c r="W156" s="88"/>
      <c r="X156" s="88"/>
      <c r="Y156" s="88"/>
      <c r="Z156" s="88"/>
      <c r="AA156" s="88"/>
      <c r="AB156" s="88"/>
      <c r="AC156" s="88"/>
      <c r="AE156">
        <f t="shared" si="19"/>
        <v>-2</v>
      </c>
      <c r="AG156" s="113">
        <f t="shared" si="20"/>
        <v>81.974612405724244</v>
      </c>
      <c r="AH156" s="124">
        <f t="shared" si="21"/>
        <v>1.6239037665951948</v>
      </c>
      <c r="AI156" s="124">
        <f t="shared" si="22"/>
        <v>0</v>
      </c>
      <c r="AJ156" s="124">
        <f t="shared" si="23"/>
        <v>2.0202077190856054</v>
      </c>
      <c r="AK156" s="124">
        <f t="shared" si="24"/>
        <v>0.7542108817919595</v>
      </c>
      <c r="AL156" s="124">
        <f t="shared" si="25"/>
        <v>1.3126220890392692</v>
      </c>
      <c r="AM156" s="124">
        <f t="shared" si="26"/>
        <v>0.52266560173858245</v>
      </c>
      <c r="AN156" s="124">
        <f t="shared" si="27"/>
        <v>0.26107172914015103</v>
      </c>
      <c r="AO156" s="124">
        <f t="shared" si="28"/>
        <v>1.3434381331919276</v>
      </c>
    </row>
    <row r="157" spans="1:42" ht="14">
      <c r="A157">
        <f>A158-1</f>
        <v>-1</v>
      </c>
      <c r="B157" s="21">
        <v>79</v>
      </c>
      <c r="C157" s="127">
        <f t="shared" si="16"/>
        <v>83.69778582830314</v>
      </c>
      <c r="D157" s="125">
        <f>(($C$39*$C$118*0.72)*D$40)*('Product half-life and C flows'!B58/100)</f>
        <v>1.5685876428321919</v>
      </c>
      <c r="E157" s="26"/>
      <c r="F157" s="54">
        <f t="shared" si="29"/>
        <v>2.0202077190856054</v>
      </c>
      <c r="G157" s="54">
        <f t="shared" si="29"/>
        <v>0.7542108817919595</v>
      </c>
      <c r="H157" s="125">
        <f>(H$118)*('Product half-life and C flows'!L58/100)</f>
        <v>1.2925583361045809</v>
      </c>
      <c r="I157" s="125">
        <f>(($C$39*$C$118*0.28)*H$41)*('Product half-life and C flows'!N58/100)</f>
        <v>0.53270751008239392</v>
      </c>
      <c r="J157" s="125">
        <f>(($C$39*$C$118*0.28)*H$41)*(+'Product half-life and C flows'!P58/100)</f>
        <v>0.26608766737382311</v>
      </c>
      <c r="K157" s="54">
        <f t="shared" si="15"/>
        <v>1.3434381331919276</v>
      </c>
      <c r="L157" s="26"/>
      <c r="M157" s="80"/>
      <c r="N157" s="80"/>
      <c r="O157" s="82"/>
      <c r="P157" s="81"/>
      <c r="Q157" s="81"/>
      <c r="R157" s="81"/>
      <c r="S157" s="81"/>
      <c r="T157" s="81"/>
      <c r="U157" s="3"/>
      <c r="V157" s="88"/>
      <c r="W157" s="88"/>
      <c r="X157" s="88"/>
      <c r="Y157" s="88"/>
      <c r="Z157" s="88"/>
      <c r="AA157" s="88"/>
      <c r="AB157" s="88"/>
      <c r="AC157" s="88"/>
      <c r="AE157">
        <f t="shared" si="19"/>
        <v>-1</v>
      </c>
      <c r="AG157" s="113">
        <f t="shared" si="20"/>
        <v>83.69778582830314</v>
      </c>
      <c r="AH157" s="124">
        <f t="shared" si="21"/>
        <v>1.5685876428321919</v>
      </c>
      <c r="AI157" s="124">
        <f t="shared" si="22"/>
        <v>0</v>
      </c>
      <c r="AJ157" s="124">
        <f t="shared" si="23"/>
        <v>2.0202077190856054</v>
      </c>
      <c r="AK157" s="124">
        <f t="shared" si="24"/>
        <v>0.7542108817919595</v>
      </c>
      <c r="AL157" s="124">
        <f t="shared" si="25"/>
        <v>1.2925583361045809</v>
      </c>
      <c r="AM157" s="124">
        <f t="shared" si="26"/>
        <v>0.53270751008239392</v>
      </c>
      <c r="AN157" s="124">
        <f t="shared" si="27"/>
        <v>0.26608766737382311</v>
      </c>
      <c r="AO157" s="124">
        <f t="shared" si="28"/>
        <v>1.3434381331919276</v>
      </c>
    </row>
    <row r="158" spans="1:42" ht="14">
      <c r="A158">
        <v>0</v>
      </c>
      <c r="B158" s="21">
        <v>80</v>
      </c>
      <c r="C158" s="26">
        <f t="shared" ref="C158:C221" si="30">B$8*(1-EXP(-B$9*$B158))^3</f>
        <v>85.420959250881964</v>
      </c>
      <c r="D158" s="125">
        <f>(($C$39*$C$118*0.72)*D$40)*('Product half-life and C flows'!B59/100)</f>
        <v>1.515155789314204</v>
      </c>
      <c r="E158" s="26"/>
      <c r="F158" s="54">
        <f t="shared" si="29"/>
        <v>2.0202077190856054</v>
      </c>
      <c r="G158" s="54">
        <f t="shared" si="29"/>
        <v>0.7542108817919595</v>
      </c>
      <c r="H158" s="125">
        <f>(H$118)*('Product half-life and C flows'!L59/100)</f>
        <v>1.272801262590562</v>
      </c>
      <c r="I158" s="125">
        <f>(($C$39*$C$118*0.28)*H$41)*('Product half-life and C flows'!N59/100)</f>
        <v>0.54259592537616042</v>
      </c>
      <c r="J158" s="125">
        <f>(($C$39*$C$118*0.28)*H$41)*(+'Product half-life and C flows'!P59/100)</f>
        <v>0.27102693575232778</v>
      </c>
      <c r="K158" s="54">
        <f t="shared" si="15"/>
        <v>1.3434381331919276</v>
      </c>
      <c r="L158" s="26"/>
      <c r="M158" s="83">
        <f>C$158*(0.4*D$14)*('Product half-life and C flows'!B19/100)</f>
        <v>25.626287775264593</v>
      </c>
      <c r="N158" s="83">
        <f t="shared" ref="N158:N221" si="31">C$8*(1-EXP(-C$9*$B78))^3</f>
        <v>0</v>
      </c>
      <c r="O158" s="84">
        <f>(C$158*((0.4*B$14))-(C$158*0.03))</f>
        <v>5.9794671475617367</v>
      </c>
      <c r="P158" s="83">
        <f>(C$158*((0.6*B$15)))</f>
        <v>12.300618132127003</v>
      </c>
      <c r="Q158" s="83">
        <f>C$158*(0.6*C$15)*('Product half-life and C flows'!L19/100)</f>
        <v>38.43943166289688</v>
      </c>
      <c r="R158" s="83">
        <f>C$158*0.6*('Product half-life and C flows'!N19/100)</f>
        <v>0</v>
      </c>
      <c r="S158" s="83">
        <f>C$158*0.6*('Product half-life and C flows'!P19/100)</f>
        <v>0</v>
      </c>
      <c r="T158" s="83">
        <f>(Q158*T$42)</f>
        <v>21.910476047851219</v>
      </c>
      <c r="U158" s="3"/>
      <c r="V158" s="88"/>
      <c r="W158" s="88"/>
      <c r="X158" s="88"/>
      <c r="Y158" s="88"/>
      <c r="Z158" s="88"/>
      <c r="AA158" s="88"/>
      <c r="AB158" s="88"/>
      <c r="AC158" s="88"/>
      <c r="AE158">
        <f t="shared" si="19"/>
        <v>0</v>
      </c>
      <c r="AF158" s="3">
        <f>D$8*(1-EXP(-D$9*$B78))^3</f>
        <v>0</v>
      </c>
      <c r="AG158" s="113">
        <f t="shared" si="20"/>
        <v>85.420959250881964</v>
      </c>
      <c r="AH158" s="124">
        <f t="shared" si="21"/>
        <v>27.141443564578797</v>
      </c>
      <c r="AI158" s="124">
        <f t="shared" si="22"/>
        <v>0</v>
      </c>
      <c r="AJ158" s="124">
        <f t="shared" si="23"/>
        <v>7.9996748666473421</v>
      </c>
      <c r="AK158" s="124">
        <f t="shared" si="24"/>
        <v>13.054829013918962</v>
      </c>
      <c r="AL158" s="124">
        <f t="shared" si="25"/>
        <v>39.712232925487442</v>
      </c>
      <c r="AM158" s="124">
        <f t="shared" si="26"/>
        <v>0.54259592537616042</v>
      </c>
      <c r="AN158" s="124">
        <f t="shared" si="27"/>
        <v>0.27102693575232778</v>
      </c>
      <c r="AO158" s="124">
        <f t="shared" si="28"/>
        <v>23.253914181043147</v>
      </c>
      <c r="AP158" s="3">
        <f t="shared" ref="AP158:AP221" si="32">SUM(AI158:AN158)</f>
        <v>61.580359667182229</v>
      </c>
    </row>
    <row r="159" spans="1:42" ht="14">
      <c r="A159">
        <f>A158+1</f>
        <v>1</v>
      </c>
      <c r="B159" s="21">
        <v>81</v>
      </c>
      <c r="C159" s="26">
        <f t="shared" si="30"/>
        <v>86.711058851161368</v>
      </c>
      <c r="D159" s="125">
        <f>(($C$39*$C$118*0.72)*D$40)*('Product half-life and C flows'!B60/100)</f>
        <v>1.4635440208793893</v>
      </c>
      <c r="E159" s="26"/>
      <c r="F159" s="54">
        <f t="shared" si="29"/>
        <v>2.0202077190856054</v>
      </c>
      <c r="G159" s="54">
        <f t="shared" si="29"/>
        <v>0.7542108817919595</v>
      </c>
      <c r="H159" s="125">
        <f>(H$118)*('Product half-life and C flows'!L60/100)</f>
        <v>1.2533461808264976</v>
      </c>
      <c r="I159" s="125">
        <f>(($C$39*$C$118*0.28)*H$41)*('Product half-life and C flows'!N60/100)</f>
        <v>0.55233319379907475</v>
      </c>
      <c r="J159" s="125">
        <f>(($C$39*$C$118*0.28)*H$41)*(+'Product half-life and C flows'!P60/100)</f>
        <v>0.27589070619334394</v>
      </c>
      <c r="K159" s="54">
        <f t="shared" si="15"/>
        <v>1.3434381331919276</v>
      </c>
      <c r="L159" s="26"/>
      <c r="M159" s="83">
        <f>C$158*(0.4*D$14)*('Product half-life and C flows'!B20/100)</f>
        <v>24.753362337610731</v>
      </c>
      <c r="N159" s="83">
        <f t="shared" si="31"/>
        <v>6.6880163224559471E-3</v>
      </c>
      <c r="O159" s="83">
        <f>O158</f>
        <v>5.9794671475617367</v>
      </c>
      <c r="P159" s="83">
        <f>P158</f>
        <v>12.300618132127003</v>
      </c>
      <c r="Q159" s="83">
        <f>C$158*(0.6*C$15)*('Product half-life and C flows'!L20/100)</f>
        <v>37.85187545286945</v>
      </c>
      <c r="R159" s="83">
        <f>C$158*0.6*('Product half-life and C flows'!N20/100)</f>
        <v>0.3920958441583029</v>
      </c>
      <c r="S159" s="83">
        <f>C$158*0.6*('Product half-life and C flows'!P20/100)</f>
        <v>0.19585207000914232</v>
      </c>
      <c r="T159" s="83">
        <f>T158</f>
        <v>21.910476047851219</v>
      </c>
      <c r="U159" s="3"/>
      <c r="V159" s="88"/>
      <c r="W159" s="88"/>
      <c r="X159" s="88"/>
      <c r="Y159" s="88"/>
      <c r="Z159" s="88"/>
      <c r="AA159" s="88"/>
      <c r="AB159" s="88"/>
      <c r="AC159" s="88"/>
      <c r="AE159">
        <f t="shared" si="19"/>
        <v>1</v>
      </c>
      <c r="AF159" s="3">
        <f t="shared" ref="AF159:AF222" si="33">D$8*(1-EXP(-D$9*$B79))^3</f>
        <v>2.3896968363273279E-3</v>
      </c>
      <c r="AG159" s="113">
        <f t="shared" si="20"/>
        <v>86.711058851161368</v>
      </c>
      <c r="AH159" s="124">
        <f t="shared" si="21"/>
        <v>26.216906358490121</v>
      </c>
      <c r="AI159" s="124">
        <f t="shared" si="22"/>
        <v>6.6880163224559471E-3</v>
      </c>
      <c r="AJ159" s="124">
        <f t="shared" si="23"/>
        <v>7.9996748666473421</v>
      </c>
      <c r="AK159" s="124">
        <f t="shared" si="24"/>
        <v>13.054829013918962</v>
      </c>
      <c r="AL159" s="124">
        <f t="shared" si="25"/>
        <v>39.105221633695948</v>
      </c>
      <c r="AM159" s="124">
        <f t="shared" si="26"/>
        <v>0.94442903795737765</v>
      </c>
      <c r="AN159" s="124">
        <f t="shared" si="27"/>
        <v>0.47174277620248628</v>
      </c>
      <c r="AO159" s="124">
        <f t="shared" si="28"/>
        <v>23.253914181043147</v>
      </c>
      <c r="AP159" s="3">
        <f t="shared" si="32"/>
        <v>61.582585344744572</v>
      </c>
    </row>
    <row r="160" spans="1:42" ht="14">
      <c r="A160">
        <f t="shared" ref="A160:A175" si="34">A159+1</f>
        <v>2</v>
      </c>
      <c r="B160" s="21">
        <v>82</v>
      </c>
      <c r="C160" s="26">
        <f t="shared" si="30"/>
        <v>87.98815549932786</v>
      </c>
      <c r="D160" s="125">
        <f>(($C$39*$C$118*0.72)*D$40)*('Product half-life and C flows'!B61/100)</f>
        <v>1.4136903387481445</v>
      </c>
      <c r="E160" s="26"/>
      <c r="F160" s="54">
        <f t="shared" si="29"/>
        <v>2.0202077190856054</v>
      </c>
      <c r="G160" s="54">
        <f t="shared" si="29"/>
        <v>0.7542108817919595</v>
      </c>
      <c r="H160" s="125">
        <f>(H$118)*('Product half-life and C flows'!L61/100)</f>
        <v>1.2341884747938774</v>
      </c>
      <c r="I160" s="125">
        <f>(($C$39*$C$118*0.28)*H$41)*('Product half-life and C flows'!N61/100)</f>
        <v>0.5619216256684012</v>
      </c>
      <c r="J160" s="125">
        <f>(($C$39*$C$118*0.28)*H$41)*(+'Product half-life and C flows'!P61/100)</f>
        <v>0.280680132701499</v>
      </c>
      <c r="K160" s="54">
        <f t="shared" si="15"/>
        <v>1.3434381331919276</v>
      </c>
      <c r="L160" s="26"/>
      <c r="M160" s="83">
        <f>C$158*(0.4*D$14)*('Product half-life and C flows'!B21/100)</f>
        <v>23.910171944938241</v>
      </c>
      <c r="N160" s="83">
        <f t="shared" si="31"/>
        <v>5.0418532610901234E-2</v>
      </c>
      <c r="O160" s="83">
        <f t="shared" ref="O160:P175" si="35">O159</f>
        <v>5.9794671475617367</v>
      </c>
      <c r="P160" s="83">
        <f t="shared" si="35"/>
        <v>12.300618132127003</v>
      </c>
      <c r="Q160" s="83">
        <f>C$158*(0.6*C$15)*('Product half-life and C flows'!L21/100)</f>
        <v>37.273300184677211</v>
      </c>
      <c r="R160" s="83">
        <f>C$158*0.6*('Product half-life and C flows'!N21/100)</f>
        <v>0.77819840646526128</v>
      </c>
      <c r="S160" s="83">
        <f>C$158*0.6*('Product half-life and C flows'!P21/100)</f>
        <v>0.38871049273989072</v>
      </c>
      <c r="T160" s="83">
        <f t="shared" ref="T160:T223" si="36">T159</f>
        <v>21.910476047851219</v>
      </c>
      <c r="U160" s="3"/>
      <c r="V160" s="88"/>
      <c r="W160" s="88"/>
      <c r="X160" s="88"/>
      <c r="Y160" s="88"/>
      <c r="Z160" s="88"/>
      <c r="AA160" s="88"/>
      <c r="AB160" s="88"/>
      <c r="AC160" s="88"/>
      <c r="AE160">
        <f t="shared" si="19"/>
        <v>2</v>
      </c>
      <c r="AF160" s="3">
        <f t="shared" si="33"/>
        <v>1.8015058884947945E-2</v>
      </c>
      <c r="AG160" s="113">
        <f t="shared" si="20"/>
        <v>87.98815549932786</v>
      </c>
      <c r="AH160" s="124">
        <f t="shared" si="21"/>
        <v>25.323862283686385</v>
      </c>
      <c r="AI160" s="124">
        <f t="shared" si="22"/>
        <v>5.0418532610901234E-2</v>
      </c>
      <c r="AJ160" s="124">
        <f t="shared" si="23"/>
        <v>7.9996748666473421</v>
      </c>
      <c r="AK160" s="124">
        <f t="shared" si="24"/>
        <v>13.054829013918962</v>
      </c>
      <c r="AL160" s="124">
        <f t="shared" si="25"/>
        <v>38.507488659471086</v>
      </c>
      <c r="AM160" s="124">
        <f t="shared" si="26"/>
        <v>1.3401200321336626</v>
      </c>
      <c r="AN160" s="124">
        <f t="shared" si="27"/>
        <v>0.66939062544138972</v>
      </c>
      <c r="AO160" s="124">
        <f t="shared" si="28"/>
        <v>23.253914181043147</v>
      </c>
      <c r="AP160" s="3">
        <f t="shared" si="32"/>
        <v>61.621921730223342</v>
      </c>
    </row>
    <row r="161" spans="1:42" ht="14">
      <c r="A161">
        <f t="shared" si="34"/>
        <v>3</v>
      </c>
      <c r="B161" s="21">
        <v>83</v>
      </c>
      <c r="C161" s="26">
        <f t="shared" si="30"/>
        <v>89.25207374798569</v>
      </c>
      <c r="D161" s="125">
        <f>(($C$39*$C$118*0.72)*D$40)*('Product half-life and C flows'!B62/100)</f>
        <v>1.3655348560469041</v>
      </c>
      <c r="E161" s="26"/>
      <c r="F161" s="54">
        <f t="shared" si="29"/>
        <v>2.0202077190856054</v>
      </c>
      <c r="G161" s="54">
        <f t="shared" si="29"/>
        <v>0.7542108817919595</v>
      </c>
      <c r="H161" s="125">
        <f>(H$118)*('Product half-life and C flows'!L62/100)</f>
        <v>1.2153235990311755</v>
      </c>
      <c r="I161" s="125">
        <f>(($C$39*$C$118*0.28)*H$41)*('Product half-life and C flows'!N62/100)</f>
        <v>0.57136349598763347</v>
      </c>
      <c r="J161" s="125">
        <f>(($C$39*$C$118*0.28)*H$41)*(+'Product half-life and C flows'!P62/100)</f>
        <v>0.28539635164217447</v>
      </c>
      <c r="K161" s="54">
        <f t="shared" si="15"/>
        <v>1.3434381331919276</v>
      </c>
      <c r="L161" s="26"/>
      <c r="M161" s="83">
        <f>C$158*(0.4*D$14)*('Product half-life and C flows'!B22/100)</f>
        <v>23.095703712455478</v>
      </c>
      <c r="N161" s="83">
        <f t="shared" si="31"/>
        <v>0.16041335764575598</v>
      </c>
      <c r="O161" s="83">
        <f t="shared" si="35"/>
        <v>5.9794671475617367</v>
      </c>
      <c r="P161" s="83">
        <f t="shared" si="35"/>
        <v>12.300618132127003</v>
      </c>
      <c r="Q161" s="83">
        <f>C$158*(0.6*C$15)*('Product half-life and C flows'!L22/100)</f>
        <v>36.703568582405303</v>
      </c>
      <c r="R161" s="83">
        <f>C$158*0.6*('Product half-life and C flows'!N22/100)</f>
        <v>1.1583992957147098</v>
      </c>
      <c r="S161" s="83">
        <f>C$158*0.6*('Product half-life and C flows'!P22/100)</f>
        <v>0.5786210268305243</v>
      </c>
      <c r="T161" s="83">
        <f t="shared" si="36"/>
        <v>21.910476047851219</v>
      </c>
      <c r="U161" s="3"/>
      <c r="V161" s="88"/>
      <c r="W161" s="88"/>
      <c r="X161" s="88"/>
      <c r="Y161" s="88"/>
      <c r="Z161" s="88"/>
      <c r="AA161" s="88"/>
      <c r="AB161" s="88"/>
      <c r="AC161" s="88"/>
      <c r="AE161">
        <f t="shared" si="19"/>
        <v>3</v>
      </c>
      <c r="AF161" s="3">
        <f t="shared" si="33"/>
        <v>5.731733817448862E-2</v>
      </c>
      <c r="AG161" s="113">
        <f t="shared" si="20"/>
        <v>89.25207374798569</v>
      </c>
      <c r="AH161" s="124">
        <f t="shared" si="21"/>
        <v>24.461238568502381</v>
      </c>
      <c r="AI161" s="124">
        <f t="shared" si="22"/>
        <v>0.16041335764575598</v>
      </c>
      <c r="AJ161" s="124">
        <f t="shared" si="23"/>
        <v>7.9996748666473421</v>
      </c>
      <c r="AK161" s="124">
        <f t="shared" si="24"/>
        <v>13.054829013918962</v>
      </c>
      <c r="AL161" s="124">
        <f t="shared" si="25"/>
        <v>37.918892181436476</v>
      </c>
      <c r="AM161" s="124">
        <f t="shared" si="26"/>
        <v>1.7297627917023433</v>
      </c>
      <c r="AN161" s="124">
        <f t="shared" si="27"/>
        <v>0.86401737847269877</v>
      </c>
      <c r="AO161" s="124">
        <f t="shared" si="28"/>
        <v>23.253914181043147</v>
      </c>
      <c r="AP161" s="3">
        <f t="shared" si="32"/>
        <v>61.727589589823573</v>
      </c>
    </row>
    <row r="162" spans="1:42" ht="14">
      <c r="A162">
        <f t="shared" si="34"/>
        <v>4</v>
      </c>
      <c r="B162" s="21">
        <v>84</v>
      </c>
      <c r="C162" s="26">
        <f t="shared" si="30"/>
        <v>90.502655169824934</v>
      </c>
      <c r="D162" s="125">
        <f>(($C$39*$C$118*0.72)*D$40)*('Product half-life and C flows'!B63/100)</f>
        <v>1.3190197258688638</v>
      </c>
      <c r="E162" s="26"/>
      <c r="F162" s="54">
        <f t="shared" si="29"/>
        <v>2.0202077190856054</v>
      </c>
      <c r="G162" s="54">
        <f t="shared" si="29"/>
        <v>0.7542108817919595</v>
      </c>
      <c r="H162" s="125">
        <f>(H$118)*('Product half-life and C flows'!L63/100)</f>
        <v>1.1967470775553679</v>
      </c>
      <c r="I162" s="125">
        <f>(($C$39*$C$118*0.28)*H$41)*('Product half-life and C flows'!N63/100)</f>
        <v>0.58066104498627524</v>
      </c>
      <c r="J162" s="125">
        <f>(($C$39*$C$118*0.28)*H$41)*(+'Product half-life and C flows'!P63/100)</f>
        <v>0.29004048201112637</v>
      </c>
      <c r="K162" s="54">
        <f t="shared" si="15"/>
        <v>1.3434381331919276</v>
      </c>
      <c r="L162" s="26"/>
      <c r="M162" s="83">
        <f>C$158*(0.4*D$14)*('Product half-life and C flows'!B23/100)</f>
        <v>22.308979257945172</v>
      </c>
      <c r="N162" s="83">
        <f t="shared" si="31"/>
        <v>0.35859718815808966</v>
      </c>
      <c r="O162" s="83">
        <f t="shared" si="35"/>
        <v>5.9794671475617367</v>
      </c>
      <c r="P162" s="83">
        <f t="shared" si="35"/>
        <v>12.300618132127003</v>
      </c>
      <c r="Q162" s="83">
        <f>C$158*(0.6*C$15)*('Product half-life and C flows'!L23/100)</f>
        <v>36.142545468435195</v>
      </c>
      <c r="R162" s="83">
        <f>C$158*0.6*('Product half-life and C flows'!N23/100)</f>
        <v>1.5327887204374295</v>
      </c>
      <c r="S162" s="83">
        <f>C$158*0.6*('Product half-life and C flows'!P23/100)</f>
        <v>0.76562873148722743</v>
      </c>
      <c r="T162" s="83">
        <f t="shared" si="36"/>
        <v>21.910476047851219</v>
      </c>
      <c r="U162" s="3"/>
      <c r="V162" s="88"/>
      <c r="W162" s="88"/>
      <c r="X162" s="88"/>
      <c r="Y162" s="88"/>
      <c r="Z162" s="88"/>
      <c r="AA162" s="88"/>
      <c r="AB162" s="88"/>
      <c r="AC162" s="88"/>
      <c r="AE162">
        <f t="shared" si="19"/>
        <v>4</v>
      </c>
      <c r="AF162" s="3">
        <f t="shared" si="33"/>
        <v>0.12813045374604898</v>
      </c>
      <c r="AG162" s="113">
        <f t="shared" si="20"/>
        <v>90.502655169824934</v>
      </c>
      <c r="AH162" s="124">
        <f t="shared" si="21"/>
        <v>23.627998983814035</v>
      </c>
      <c r="AI162" s="124">
        <f t="shared" si="22"/>
        <v>0.35859718815808966</v>
      </c>
      <c r="AJ162" s="124">
        <f t="shared" si="23"/>
        <v>7.9996748666473421</v>
      </c>
      <c r="AK162" s="124">
        <f t="shared" si="24"/>
        <v>13.054829013918962</v>
      </c>
      <c r="AL162" s="124">
        <f t="shared" si="25"/>
        <v>37.33929254599056</v>
      </c>
      <c r="AM162" s="124">
        <f t="shared" si="26"/>
        <v>2.113449765423705</v>
      </c>
      <c r="AN162" s="124">
        <f t="shared" si="27"/>
        <v>1.0556692134983539</v>
      </c>
      <c r="AO162" s="124">
        <f t="shared" si="28"/>
        <v>23.253914181043147</v>
      </c>
      <c r="AP162" s="3">
        <f t="shared" si="32"/>
        <v>61.921512593637011</v>
      </c>
    </row>
    <row r="163" spans="1:42" ht="14">
      <c r="A163">
        <f t="shared" si="34"/>
        <v>5</v>
      </c>
      <c r="B163" s="21">
        <v>85</v>
      </c>
      <c r="C163" s="26">
        <f t="shared" si="30"/>
        <v>91.73975768915416</v>
      </c>
      <c r="D163" s="125">
        <f>(($C$39*$C$118*0.72)*D$40)*('Product half-life and C flows'!B64/100)</f>
        <v>1.2740890717852267</v>
      </c>
      <c r="E163" s="26"/>
      <c r="F163" s="54">
        <f t="shared" si="29"/>
        <v>2.0202077190856054</v>
      </c>
      <c r="G163" s="54">
        <f t="shared" si="29"/>
        <v>0.7542108817919595</v>
      </c>
      <c r="H163" s="125">
        <f>(H$118)*('Product half-life and C flows'!L64/100)</f>
        <v>1.1784545027999367</v>
      </c>
      <c r="I163" s="125">
        <f>(($C$39*$C$118*0.28)*H$41)*('Product half-life and C flows'!N64/100)</f>
        <v>0.58981647865136866</v>
      </c>
      <c r="J163" s="125">
        <f>(($C$39*$C$118*0.28)*H$41)*(+'Product half-life and C flows'!P64/100)</f>
        <v>0.29461362569998417</v>
      </c>
      <c r="K163" s="54">
        <f t="shared" si="15"/>
        <v>1.3434381331919276</v>
      </c>
      <c r="L163" s="26"/>
      <c r="M163" s="83">
        <f>C$158*(0.4*D$14)*('Product half-life and C flows'!B24/100)</f>
        <v>21.549053526480083</v>
      </c>
      <c r="N163" s="83">
        <f t="shared" si="31"/>
        <v>0.66078557389625781</v>
      </c>
      <c r="O163" s="83">
        <f t="shared" si="35"/>
        <v>5.9794671475617367</v>
      </c>
      <c r="P163" s="83">
        <f t="shared" si="35"/>
        <v>12.300618132127003</v>
      </c>
      <c r="Q163" s="83">
        <f>C$158*(0.6*C$15)*('Product half-life and C flows'!L24/100)</f>
        <v>35.590097731371614</v>
      </c>
      <c r="R163" s="83">
        <f>C$158*0.6*('Product half-life and C flows'!N24/100)</f>
        <v>1.9014555103045299</v>
      </c>
      <c r="S163" s="83">
        <f>C$158*0.6*('Product half-life and C flows'!P24/100)</f>
        <v>0.94977797717508994</v>
      </c>
      <c r="T163" s="83">
        <f t="shared" si="36"/>
        <v>21.910476047851219</v>
      </c>
      <c r="U163" s="3"/>
      <c r="V163" s="88"/>
      <c r="W163" s="88"/>
      <c r="X163" s="88"/>
      <c r="Y163" s="88"/>
      <c r="Z163" s="88"/>
      <c r="AA163" s="88"/>
      <c r="AB163" s="88"/>
      <c r="AC163" s="88"/>
      <c r="AE163">
        <f t="shared" si="19"/>
        <v>5</v>
      </c>
      <c r="AF163" s="3">
        <f t="shared" si="33"/>
        <v>0.23610546375741537</v>
      </c>
      <c r="AG163" s="113">
        <f t="shared" si="20"/>
        <v>91.73975768915416</v>
      </c>
      <c r="AH163" s="124">
        <f t="shared" si="21"/>
        <v>22.82314259826531</v>
      </c>
      <c r="AI163" s="124">
        <f t="shared" si="22"/>
        <v>0.66078557389625781</v>
      </c>
      <c r="AJ163" s="124">
        <f t="shared" si="23"/>
        <v>7.9996748666473421</v>
      </c>
      <c r="AK163" s="124">
        <f t="shared" si="24"/>
        <v>13.054829013918962</v>
      </c>
      <c r="AL163" s="124">
        <f t="shared" si="25"/>
        <v>36.768552234171551</v>
      </c>
      <c r="AM163" s="124">
        <f t="shared" si="26"/>
        <v>2.4912719889558987</v>
      </c>
      <c r="AN163" s="124">
        <f t="shared" si="27"/>
        <v>1.2443916028750741</v>
      </c>
      <c r="AO163" s="124">
        <f t="shared" si="28"/>
        <v>23.253914181043147</v>
      </c>
      <c r="AP163" s="3">
        <f t="shared" si="32"/>
        <v>62.219505280465093</v>
      </c>
    </row>
    <row r="164" spans="1:42" ht="14">
      <c r="A164">
        <f t="shared" si="34"/>
        <v>6</v>
      </c>
      <c r="B164" s="21">
        <v>86</v>
      </c>
      <c r="C164" s="26">
        <f t="shared" si="30"/>
        <v>92.96325492803625</v>
      </c>
      <c r="D164" s="125">
        <f>(($C$39*$C$118*0.72)*D$40)*('Product half-life and C flows'!B65/100)</f>
        <v>1.2306889207234859</v>
      </c>
      <c r="E164" s="26"/>
      <c r="F164" s="54">
        <f t="shared" si="29"/>
        <v>2.0202077190856054</v>
      </c>
      <c r="G164" s="54">
        <f t="shared" si="29"/>
        <v>0.7542108817919595</v>
      </c>
      <c r="H164" s="125">
        <f>(H$118)*('Product half-life and C flows'!L65/100)</f>
        <v>1.1604415345691077</v>
      </c>
      <c r="I164" s="125">
        <f>(($C$39*$C$118*0.28)*H$41)*('Product half-life and C flows'!N65/100)</f>
        <v>0.59883196925089854</v>
      </c>
      <c r="J164" s="125">
        <f>(($C$39*$C$118*0.28)*H$41)*(+'Product half-life and C flows'!P65/100)</f>
        <v>0.29911686775769142</v>
      </c>
      <c r="K164" s="54">
        <f t="shared" si="15"/>
        <v>1.3434381331919276</v>
      </c>
      <c r="L164" s="26"/>
      <c r="M164" s="83">
        <f>C$158*(0.4*D$14)*('Product half-life and C flows'!B25/100)</f>
        <v>20.815013655173168</v>
      </c>
      <c r="N164" s="83">
        <f t="shared" si="31"/>
        <v>1.0777084645502373</v>
      </c>
      <c r="O164" s="83">
        <f t="shared" si="35"/>
        <v>5.9794671475617367</v>
      </c>
      <c r="P164" s="83">
        <f t="shared" si="35"/>
        <v>12.300618132127003</v>
      </c>
      <c r="Q164" s="83">
        <f>C$158*(0.6*C$15)*('Product half-life and C flows'!L25/100)</f>
        <v>35.046094294459856</v>
      </c>
      <c r="R164" s="83">
        <f>C$158*0.6*('Product half-life and C flows'!N25/100)</f>
        <v>2.2644871372036404</v>
      </c>
      <c r="S164" s="83">
        <f>C$158*0.6*('Product half-life and C flows'!P25/100)</f>
        <v>1.1311124561456747</v>
      </c>
      <c r="T164" s="83">
        <f t="shared" si="36"/>
        <v>21.910476047851219</v>
      </c>
      <c r="U164" s="3"/>
      <c r="V164" s="88"/>
      <c r="W164" s="88"/>
      <c r="X164" s="88"/>
      <c r="Y164" s="88"/>
      <c r="Z164" s="88"/>
      <c r="AA164" s="88"/>
      <c r="AB164" s="88"/>
      <c r="AC164" s="88"/>
      <c r="AE164">
        <f t="shared" si="19"/>
        <v>6</v>
      </c>
      <c r="AF164" s="3">
        <f t="shared" si="33"/>
        <v>0.38507628929846233</v>
      </c>
      <c r="AG164" s="113">
        <f t="shared" si="20"/>
        <v>92.96325492803625</v>
      </c>
      <c r="AH164" s="124">
        <f t="shared" si="21"/>
        <v>22.045702575896655</v>
      </c>
      <c r="AI164" s="124">
        <f t="shared" si="22"/>
        <v>1.0777084645502373</v>
      </c>
      <c r="AJ164" s="124">
        <f t="shared" si="23"/>
        <v>7.9996748666473421</v>
      </c>
      <c r="AK164" s="124">
        <f t="shared" si="24"/>
        <v>13.054829013918962</v>
      </c>
      <c r="AL164" s="124">
        <f t="shared" si="25"/>
        <v>36.206535829028965</v>
      </c>
      <c r="AM164" s="124">
        <f t="shared" si="26"/>
        <v>2.8633191064545391</v>
      </c>
      <c r="AN164" s="124">
        <f t="shared" si="27"/>
        <v>1.4302293239033661</v>
      </c>
      <c r="AO164" s="124">
        <f t="shared" si="28"/>
        <v>23.253914181043147</v>
      </c>
      <c r="AP164" s="3">
        <f t="shared" si="32"/>
        <v>62.632296604503416</v>
      </c>
    </row>
    <row r="165" spans="1:42" ht="14">
      <c r="A165">
        <f t="shared" si="34"/>
        <v>7</v>
      </c>
      <c r="B165" s="21">
        <v>87</v>
      </c>
      <c r="C165" s="26">
        <f t="shared" si="30"/>
        <v>94.17303556736168</v>
      </c>
      <c r="D165" s="125">
        <f>(($C$39*$C$118*0.72)*D$40)*('Product half-life and C flows'!B66/100)</f>
        <v>1.1887671381321241</v>
      </c>
      <c r="E165" s="26"/>
      <c r="F165" s="54">
        <f t="shared" si="29"/>
        <v>2.0202077190856054</v>
      </c>
      <c r="G165" s="54">
        <f t="shared" si="29"/>
        <v>0.7542108817919595</v>
      </c>
      <c r="H165" s="125">
        <f>(H$118)*('Product half-life and C flows'!L66/100)</f>
        <v>1.1427038990080711</v>
      </c>
      <c r="I165" s="125">
        <f>(($C$39*$C$118*0.28)*H$41)*('Product half-life and C flows'!N66/100)</f>
        <v>0.60770965584919734</v>
      </c>
      <c r="J165" s="125">
        <f>(($C$39*$C$118*0.28)*H$41)*(+'Product half-life and C flows'!P66/100)</f>
        <v>0.30355127664795062</v>
      </c>
      <c r="K165" s="54">
        <f t="shared" si="15"/>
        <v>1.3434381331919276</v>
      </c>
      <c r="L165" s="26"/>
      <c r="M165" s="83">
        <f>C$158*(0.4*D$14)*('Product half-life and C flows'!B26/100)</f>
        <v>20.105977876598502</v>
      </c>
      <c r="N165" s="83">
        <f t="shared" si="31"/>
        <v>1.6158903296459175</v>
      </c>
      <c r="O165" s="83">
        <f t="shared" si="35"/>
        <v>5.9794671475617367</v>
      </c>
      <c r="P165" s="83">
        <f t="shared" si="35"/>
        <v>12.300618132127003</v>
      </c>
      <c r="Q165" s="83">
        <f>C$158*(0.6*C$15)*('Product half-life and C flows'!L26/100)</f>
        <v>34.510406084485815</v>
      </c>
      <c r="R165" s="83">
        <f>C$158*0.6*('Product half-life and C flows'!N26/100)</f>
        <v>2.6219697359929812</v>
      </c>
      <c r="S165" s="83">
        <f>C$158*0.6*('Product half-life and C flows'!P26/100)</f>
        <v>1.3096751928036872</v>
      </c>
      <c r="T165" s="83">
        <f t="shared" si="36"/>
        <v>21.910476047851219</v>
      </c>
      <c r="U165" s="3"/>
      <c r="V165" s="88"/>
      <c r="W165" s="88"/>
      <c r="X165" s="88"/>
      <c r="Y165" s="88"/>
      <c r="Z165" s="88"/>
      <c r="AA165" s="88"/>
      <c r="AB165" s="88"/>
      <c r="AC165" s="88"/>
      <c r="AE165">
        <f t="shared" si="19"/>
        <v>7</v>
      </c>
      <c r="AF165" s="3">
        <f t="shared" si="33"/>
        <v>0.57737419025747405</v>
      </c>
      <c r="AG165" s="113">
        <f t="shared" si="20"/>
        <v>94.17303556736168</v>
      </c>
      <c r="AH165" s="124">
        <f t="shared" si="21"/>
        <v>21.294745014730626</v>
      </c>
      <c r="AI165" s="124">
        <f t="shared" si="22"/>
        <v>1.6158903296459175</v>
      </c>
      <c r="AJ165" s="124">
        <f t="shared" si="23"/>
        <v>7.9996748666473421</v>
      </c>
      <c r="AK165" s="124">
        <f t="shared" si="24"/>
        <v>13.054829013918962</v>
      </c>
      <c r="AL165" s="124">
        <f t="shared" si="25"/>
        <v>35.653109983493884</v>
      </c>
      <c r="AM165" s="124">
        <f t="shared" si="26"/>
        <v>3.2296793918421787</v>
      </c>
      <c r="AN165" s="124">
        <f t="shared" si="27"/>
        <v>1.6132264694516378</v>
      </c>
      <c r="AO165" s="124">
        <f t="shared" si="28"/>
        <v>23.253914181043147</v>
      </c>
      <c r="AP165" s="3">
        <f t="shared" si="32"/>
        <v>63.166410054999922</v>
      </c>
    </row>
    <row r="166" spans="1:42" ht="14">
      <c r="A166">
        <f t="shared" si="34"/>
        <v>8</v>
      </c>
      <c r="B166" s="21">
        <v>88</v>
      </c>
      <c r="C166" s="26">
        <f t="shared" si="30"/>
        <v>95.369002723123899</v>
      </c>
      <c r="D166" s="125">
        <f>(($C$39*$C$118*0.72)*D$40)*('Product half-life and C flows'!B67/100)</f>
        <v>1.1482733653538386</v>
      </c>
      <c r="E166" s="26"/>
      <c r="F166" s="54">
        <f t="shared" si="29"/>
        <v>2.0202077190856054</v>
      </c>
      <c r="G166" s="54">
        <f t="shared" si="29"/>
        <v>0.7542108817919595</v>
      </c>
      <c r="H166" s="125">
        <f>(H$118)*('Product half-life and C flows'!L67/100)</f>
        <v>1.1252373875889439</v>
      </c>
      <c r="I166" s="125">
        <f>(($C$39*$C$118*0.28)*H$41)*('Product half-life and C flows'!N67/100)</f>
        <v>0.61645164481447046</v>
      </c>
      <c r="J166" s="125">
        <f>(($C$39*$C$118*0.28)*H$41)*(+'Product half-life and C flows'!P67/100)</f>
        <v>0.30791790450273232</v>
      </c>
      <c r="K166" s="54">
        <f t="shared" si="15"/>
        <v>1.3434381331919276</v>
      </c>
      <c r="L166" s="26"/>
      <c r="M166" s="83">
        <f>C$158*(0.4*D$14)*('Product half-life and C flows'!B27/100)</f>
        <v>19.421094459565719</v>
      </c>
      <c r="N166" s="83">
        <f t="shared" si="31"/>
        <v>2.2784052810626787</v>
      </c>
      <c r="O166" s="83">
        <f t="shared" si="35"/>
        <v>5.9794671475617367</v>
      </c>
      <c r="P166" s="83">
        <f t="shared" si="35"/>
        <v>12.300618132127003</v>
      </c>
      <c r="Q166" s="83">
        <f>C$158*(0.6*C$15)*('Product half-life and C flows'!L27/100)</f>
        <v>33.982906001151349</v>
      </c>
      <c r="R166" s="83">
        <f>C$158*0.6*('Product half-life and C flows'!N27/100)</f>
        <v>2.973988124938185</v>
      </c>
      <c r="S166" s="83">
        <f>C$158*0.6*('Product half-life and C flows'!P27/100)</f>
        <v>1.4855085539151776</v>
      </c>
      <c r="T166" s="83">
        <f t="shared" si="36"/>
        <v>21.910476047851219</v>
      </c>
      <c r="U166" s="3"/>
      <c r="V166" s="88"/>
      <c r="W166" s="88"/>
      <c r="X166" s="88"/>
      <c r="Y166" s="88"/>
      <c r="Z166" s="88"/>
      <c r="AA166" s="88"/>
      <c r="AB166" s="88"/>
      <c r="AC166" s="88"/>
      <c r="AE166">
        <f t="shared" si="19"/>
        <v>8</v>
      </c>
      <c r="AF166" s="3">
        <f t="shared" si="33"/>
        <v>0.81409757834256891</v>
      </c>
      <c r="AG166" s="113">
        <f t="shared" si="20"/>
        <v>95.369002723123899</v>
      </c>
      <c r="AH166" s="124">
        <f t="shared" si="21"/>
        <v>20.569367824919556</v>
      </c>
      <c r="AI166" s="124">
        <f t="shared" si="22"/>
        <v>2.2784052810626787</v>
      </c>
      <c r="AJ166" s="124">
        <f t="shared" si="23"/>
        <v>7.9996748666473421</v>
      </c>
      <c r="AK166" s="124">
        <f t="shared" si="24"/>
        <v>13.054829013918962</v>
      </c>
      <c r="AL166" s="124">
        <f t="shared" si="25"/>
        <v>35.108143388740295</v>
      </c>
      <c r="AM166" s="124">
        <f t="shared" si="26"/>
        <v>3.5904397697526553</v>
      </c>
      <c r="AN166" s="124">
        <f t="shared" si="27"/>
        <v>1.7934264584179098</v>
      </c>
      <c r="AO166" s="124">
        <f t="shared" si="28"/>
        <v>23.253914181043147</v>
      </c>
      <c r="AP166" s="3">
        <f t="shared" si="32"/>
        <v>63.824918778539846</v>
      </c>
    </row>
    <row r="167" spans="1:42" ht="14">
      <c r="A167">
        <f t="shared" si="34"/>
        <v>9</v>
      </c>
      <c r="B167" s="21">
        <v>89</v>
      </c>
      <c r="C167" s="26">
        <f t="shared" si="30"/>
        <v>96.551073338095861</v>
      </c>
      <c r="D167" s="125">
        <f>(($C$39*$C$118*0.72)*D$40)*('Product half-life and C flows'!B68/100)</f>
        <v>1.109158959132065</v>
      </c>
      <c r="E167" s="26"/>
      <c r="F167" s="54">
        <f t="shared" si="29"/>
        <v>2.0202077190856054</v>
      </c>
      <c r="G167" s="54">
        <f t="shared" si="29"/>
        <v>0.7542108817919595</v>
      </c>
      <c r="H167" s="125">
        <f>(H$118)*('Product half-life and C flows'!L68/100)</f>
        <v>1.1080378561122319</v>
      </c>
      <c r="I167" s="125">
        <f>(($C$39*$C$118*0.28)*H$41)*('Product half-life and C flows'!N68/100)</f>
        <v>0.62506001031856484</v>
      </c>
      <c r="J167" s="125">
        <f>(($C$39*$C$118*0.28)*H$41)*(+'Product half-life and C flows'!P68/100)</f>
        <v>0.3122177873719103</v>
      </c>
      <c r="K167" s="54">
        <f t="shared" si="15"/>
        <v>1.3434381331919276</v>
      </c>
      <c r="L167" s="26"/>
      <c r="M167" s="83">
        <f>C$158*(0.4*D$14)*('Product half-life and C flows'!B28/100)</f>
        <v>18.759540685975569</v>
      </c>
      <c r="N167" s="83">
        <f t="shared" si="31"/>
        <v>3.0655233705876594</v>
      </c>
      <c r="O167" s="83">
        <f t="shared" si="35"/>
        <v>5.9794671475617367</v>
      </c>
      <c r="P167" s="83">
        <f t="shared" si="35"/>
        <v>12.300618132127003</v>
      </c>
      <c r="Q167" s="83">
        <f>C$158*(0.6*C$15)*('Product half-life and C flows'!L28/100)</f>
        <v>33.463468886917745</v>
      </c>
      <c r="R167" s="83">
        <f>C$158*0.6*('Product half-life and C flows'!N28/100)</f>
        <v>3.3206258258367409</v>
      </c>
      <c r="S167" s="83">
        <f>C$158*0.6*('Product half-life and C flows'!P28/100)</f>
        <v>1.6586542586597108</v>
      </c>
      <c r="T167" s="83">
        <f t="shared" si="36"/>
        <v>21.910476047851219</v>
      </c>
      <c r="U167" s="3"/>
      <c r="V167" s="88"/>
      <c r="W167" s="88"/>
      <c r="X167" s="88"/>
      <c r="Y167" s="88"/>
      <c r="Z167" s="88"/>
      <c r="AA167" s="88"/>
      <c r="AB167" s="88"/>
      <c r="AC167" s="88"/>
      <c r="AE167">
        <f t="shared" si="19"/>
        <v>9</v>
      </c>
      <c r="AF167" s="3">
        <f t="shared" si="33"/>
        <v>1.0953429458274277</v>
      </c>
      <c r="AG167" s="113">
        <f t="shared" si="20"/>
        <v>96.551073338095861</v>
      </c>
      <c r="AH167" s="124">
        <f t="shared" si="21"/>
        <v>19.868699645107633</v>
      </c>
      <c r="AI167" s="124">
        <f t="shared" si="22"/>
        <v>3.0655233705876594</v>
      </c>
      <c r="AJ167" s="124">
        <f t="shared" si="23"/>
        <v>7.9996748666473421</v>
      </c>
      <c r="AK167" s="124">
        <f t="shared" si="24"/>
        <v>13.054829013918962</v>
      </c>
      <c r="AL167" s="124">
        <f t="shared" si="25"/>
        <v>34.571506743029978</v>
      </c>
      <c r="AM167" s="124">
        <f t="shared" si="26"/>
        <v>3.945685836155306</v>
      </c>
      <c r="AN167" s="124">
        <f t="shared" si="27"/>
        <v>1.9708720460316211</v>
      </c>
      <c r="AO167" s="124">
        <f t="shared" si="28"/>
        <v>23.253914181043147</v>
      </c>
      <c r="AP167" s="3">
        <f t="shared" si="32"/>
        <v>64.608091876370864</v>
      </c>
    </row>
    <row r="168" spans="1:42" ht="14">
      <c r="A168">
        <f t="shared" si="34"/>
        <v>10</v>
      </c>
      <c r="B168" s="21">
        <v>90</v>
      </c>
      <c r="C168" s="26">
        <f t="shared" si="30"/>
        <v>97.71917758904894</v>
      </c>
      <c r="D168" s="125">
        <f>(($C$39*$C$118*0.72)*D$40)*('Product half-life and C flows'!B69/100)</f>
        <v>1.0713769331781295</v>
      </c>
      <c r="E168" s="26"/>
      <c r="F168" s="54">
        <f t="shared" ref="F168:G183" si="37">F167</f>
        <v>2.0202077190856054</v>
      </c>
      <c r="G168" s="54">
        <f t="shared" si="37"/>
        <v>0.7542108817919595</v>
      </c>
      <c r="H168" s="125">
        <f>(H$118)*('Product half-life and C flows'!L69/100)</f>
        <v>1.0911012237235533</v>
      </c>
      <c r="I168" s="125">
        <f>(($C$39*$C$118*0.28)*H$41)*('Product half-life and C flows'!N69/100)</f>
        <v>0.63353679482909853</v>
      </c>
      <c r="J168" s="125">
        <f>(($C$39*$C$118*0.28)*H$41)*(+'Product half-life and C flows'!P69/100)</f>
        <v>0.31645194546908006</v>
      </c>
      <c r="K168" s="54">
        <f t="shared" si="15"/>
        <v>1.3434381331919276</v>
      </c>
      <c r="L168" s="26"/>
      <c r="M168" s="83">
        <f>C$158*(0.4*D$14)*('Product half-life and C flows'!B29/100)</f>
        <v>18.120521862527522</v>
      </c>
      <c r="N168" s="83">
        <f t="shared" si="31"/>
        <v>3.9752622463725169</v>
      </c>
      <c r="O168" s="83">
        <f t="shared" si="35"/>
        <v>5.9794671475617367</v>
      </c>
      <c r="P168" s="83">
        <f t="shared" si="35"/>
        <v>12.300618132127003</v>
      </c>
      <c r="Q168" s="83">
        <f>C$158*(0.6*C$15)*('Product half-life and C flows'!L29/100)</f>
        <v>32.951971497310232</v>
      </c>
      <c r="R168" s="83">
        <f>C$158*0.6*('Product half-life and C flows'!N29/100)</f>
        <v>3.6619650838348217</v>
      </c>
      <c r="S168" s="83">
        <f>C$158*0.6*('Product half-life and C flows'!P29/100)</f>
        <v>1.8291533885288822</v>
      </c>
      <c r="T168" s="83">
        <f t="shared" si="36"/>
        <v>21.910476047851219</v>
      </c>
      <c r="U168" s="3"/>
      <c r="V168" s="88"/>
      <c r="W168" s="88"/>
      <c r="X168" s="88"/>
      <c r="Y168" s="88"/>
      <c r="Z168" s="88"/>
      <c r="AA168" s="88"/>
      <c r="AB168" s="88"/>
      <c r="AC168" s="88"/>
      <c r="AE168">
        <f t="shared" si="19"/>
        <v>10</v>
      </c>
      <c r="AF168" s="3">
        <f t="shared" si="33"/>
        <v>1.4204019780620747</v>
      </c>
      <c r="AG168" s="113">
        <f t="shared" si="20"/>
        <v>97.71917758904894</v>
      </c>
      <c r="AH168" s="124">
        <f t="shared" si="21"/>
        <v>19.191898795705651</v>
      </c>
      <c r="AI168" s="124">
        <f t="shared" si="22"/>
        <v>3.9752622463725169</v>
      </c>
      <c r="AJ168" s="124">
        <f t="shared" si="23"/>
        <v>7.9996748666473421</v>
      </c>
      <c r="AK168" s="124">
        <f t="shared" si="24"/>
        <v>13.054829013918962</v>
      </c>
      <c r="AL168" s="124">
        <f t="shared" si="25"/>
        <v>34.043072721033788</v>
      </c>
      <c r="AM168" s="124">
        <f t="shared" si="26"/>
        <v>4.2955018786639201</v>
      </c>
      <c r="AN168" s="124">
        <f t="shared" si="27"/>
        <v>2.1456053339979624</v>
      </c>
      <c r="AO168" s="124">
        <f t="shared" si="28"/>
        <v>23.253914181043147</v>
      </c>
      <c r="AP168" s="3">
        <f t="shared" si="32"/>
        <v>65.513946060634481</v>
      </c>
    </row>
    <row r="169" spans="1:42" ht="14">
      <c r="A169">
        <f t="shared" si="34"/>
        <v>11</v>
      </c>
      <c r="B169" s="21">
        <v>91</v>
      </c>
      <c r="C169" s="26">
        <f t="shared" si="30"/>
        <v>98.87325830960242</v>
      </c>
      <c r="D169" s="125">
        <f>(($C$39*$C$118*0.72)*D$40)*('Product half-life and C flows'!B70/100)</f>
        <v>1.0348819017288424</v>
      </c>
      <c r="E169" s="26"/>
      <c r="F169" s="54">
        <f t="shared" si="37"/>
        <v>2.0202077190856054</v>
      </c>
      <c r="G169" s="54">
        <f t="shared" si="37"/>
        <v>0.7542108817919595</v>
      </c>
      <c r="H169" s="125">
        <f>(H$118)*('Product half-life and C flows'!L70/100)</f>
        <v>1.0744234719453944</v>
      </c>
      <c r="I169" s="125">
        <f>(($C$39*$C$118*0.28)*H$41)*('Product half-life and C flows'!N70/100)</f>
        <v>0.641884009594067</v>
      </c>
      <c r="J169" s="125">
        <f>(($C$39*$C$118*0.28)*H$41)*(+'Product half-life and C flows'!P70/100)</f>
        <v>0.32062138341361973</v>
      </c>
      <c r="K169" s="54">
        <f t="shared" si="15"/>
        <v>1.3434381331919276</v>
      </c>
      <c r="L169" s="26"/>
      <c r="M169" s="83">
        <f>C$158*(0.4*D$14)*('Product half-life and C flows'!B30/100)</f>
        <v>17.503270366092234</v>
      </c>
      <c r="N169" s="83">
        <f t="shared" si="31"/>
        <v>5.0038566008813614</v>
      </c>
      <c r="O169" s="83">
        <f t="shared" si="35"/>
        <v>5.9794671475617367</v>
      </c>
      <c r="P169" s="83">
        <f t="shared" si="35"/>
        <v>12.300618132127003</v>
      </c>
      <c r="Q169" s="83">
        <f>C$158*(0.6*C$15)*('Product half-life and C flows'!L30/100)</f>
        <v>32.448292471676268</v>
      </c>
      <c r="R169" s="83">
        <f>C$158*0.6*('Product half-life and C flows'!N30/100)</f>
        <v>3.9980868869412203</v>
      </c>
      <c r="S169" s="83">
        <f>C$158*0.6*('Product half-life and C flows'!P30/100)</f>
        <v>1.9970463970735366</v>
      </c>
      <c r="T169" s="83">
        <f t="shared" si="36"/>
        <v>21.910476047851219</v>
      </c>
      <c r="U169" s="3"/>
      <c r="V169" s="88"/>
      <c r="W169" s="88"/>
      <c r="X169" s="88"/>
      <c r="Y169" s="88"/>
      <c r="Z169" s="88"/>
      <c r="AA169" s="88"/>
      <c r="AB169" s="88"/>
      <c r="AC169" s="88"/>
      <c r="AE169">
        <f t="shared" si="19"/>
        <v>11</v>
      </c>
      <c r="AF169" s="3">
        <f t="shared" si="33"/>
        <v>1.7879292920401766</v>
      </c>
      <c r="AG169" s="113">
        <f t="shared" si="20"/>
        <v>98.87325830960242</v>
      </c>
      <c r="AH169" s="124">
        <f t="shared" si="21"/>
        <v>18.538152267821076</v>
      </c>
      <c r="AI169" s="124">
        <f t="shared" si="22"/>
        <v>5.0038566008813614</v>
      </c>
      <c r="AJ169" s="124">
        <f t="shared" si="23"/>
        <v>7.9996748666473421</v>
      </c>
      <c r="AK169" s="124">
        <f t="shared" si="24"/>
        <v>13.054829013918962</v>
      </c>
      <c r="AL169" s="124">
        <f t="shared" si="25"/>
        <v>33.522715943621662</v>
      </c>
      <c r="AM169" s="124">
        <f t="shared" si="26"/>
        <v>4.6399708965352868</v>
      </c>
      <c r="AN169" s="124">
        <f t="shared" si="27"/>
        <v>2.3176677804871564</v>
      </c>
      <c r="AO169" s="124">
        <f t="shared" si="28"/>
        <v>23.253914181043147</v>
      </c>
      <c r="AP169" s="3">
        <f t="shared" si="32"/>
        <v>66.538715102091771</v>
      </c>
    </row>
    <row r="170" spans="1:42" ht="14">
      <c r="A170">
        <f t="shared" si="34"/>
        <v>12</v>
      </c>
      <c r="B170" s="21">
        <v>92</v>
      </c>
      <c r="C170" s="26">
        <f t="shared" si="30"/>
        <v>100.0132704287426</v>
      </c>
      <c r="D170" s="125">
        <f>(($C$39*$C$118*0.72)*D$40)*('Product half-life and C flows'!B71/100)</f>
        <v>0.99963002502672038</v>
      </c>
      <c r="E170" s="26"/>
      <c r="F170" s="54">
        <f t="shared" si="37"/>
        <v>2.0202077190856054</v>
      </c>
      <c r="G170" s="54">
        <f t="shared" si="37"/>
        <v>0.7542108817919595</v>
      </c>
      <c r="H170" s="125">
        <f>(H$118)*('Product half-life and C flows'!L71/100)</f>
        <v>1.0580006437236629</v>
      </c>
      <c r="I170" s="125">
        <f>(($C$39*$C$118*0.28)*H$41)*('Product half-life and C flows'!N71/100)</f>
        <v>0.65010363511904368</v>
      </c>
      <c r="J170" s="125">
        <f>(($C$39*$C$118*0.28)*H$41)*(+'Product half-life and C flows'!P71/100)</f>
        <v>0.32472709046905263</v>
      </c>
      <c r="K170" s="54">
        <f t="shared" si="15"/>
        <v>1.3434381331919276</v>
      </c>
      <c r="L170" s="26"/>
      <c r="M170" s="83">
        <f>C$158*(0.4*D$14)*('Product half-life and C flows'!B31/100)</f>
        <v>16.907044721602173</v>
      </c>
      <c r="N170" s="83">
        <f t="shared" si="31"/>
        <v>6.1461563011223976</v>
      </c>
      <c r="O170" s="83">
        <f t="shared" si="35"/>
        <v>5.9794671475617367</v>
      </c>
      <c r="P170" s="83">
        <f t="shared" si="35"/>
        <v>12.300618132127003</v>
      </c>
      <c r="Q170" s="83">
        <f>C$158*(0.6*C$15)*('Product half-life and C flows'!L31/100)</f>
        <v>31.952312304390862</v>
      </c>
      <c r="R170" s="83">
        <f>C$158*0.6*('Product half-life and C flows'!N31/100)</f>
        <v>4.3290709852430149</v>
      </c>
      <c r="S170" s="83">
        <f>C$158*0.6*('Product half-life and C flows'!P31/100)</f>
        <v>2.1623731195020053</v>
      </c>
      <c r="T170" s="83">
        <f t="shared" si="36"/>
        <v>21.910476047851219</v>
      </c>
      <c r="U170" s="3"/>
      <c r="V170" s="88"/>
      <c r="W170" s="88"/>
      <c r="X170" s="88"/>
      <c r="Y170" s="88"/>
      <c r="Z170" s="88"/>
      <c r="AA170" s="88"/>
      <c r="AB170" s="88"/>
      <c r="AC170" s="88"/>
      <c r="AE170">
        <f t="shared" si="19"/>
        <v>12</v>
      </c>
      <c r="AF170" s="3">
        <f t="shared" si="33"/>
        <v>2.1960846924147455</v>
      </c>
      <c r="AG170" s="113">
        <f t="shared" si="20"/>
        <v>100.0132704287426</v>
      </c>
      <c r="AH170" s="124">
        <f t="shared" si="21"/>
        <v>17.906674746628894</v>
      </c>
      <c r="AI170" s="124">
        <f t="shared" si="22"/>
        <v>6.1461563011223976</v>
      </c>
      <c r="AJ170" s="124">
        <f t="shared" si="23"/>
        <v>7.9996748666473421</v>
      </c>
      <c r="AK170" s="124">
        <f t="shared" si="24"/>
        <v>13.054829013918962</v>
      </c>
      <c r="AL170" s="124">
        <f t="shared" si="25"/>
        <v>33.010312948114525</v>
      </c>
      <c r="AM170" s="124">
        <f t="shared" si="26"/>
        <v>4.979174620362059</v>
      </c>
      <c r="AN170" s="124">
        <f t="shared" si="27"/>
        <v>2.4871002099710577</v>
      </c>
      <c r="AO170" s="124">
        <f t="shared" si="28"/>
        <v>23.253914181043147</v>
      </c>
      <c r="AP170" s="3">
        <f t="shared" si="32"/>
        <v>67.677247960136341</v>
      </c>
    </row>
    <row r="171" spans="1:42" ht="14">
      <c r="A171">
        <f t="shared" si="34"/>
        <v>13</v>
      </c>
      <c r="B171" s="21">
        <v>93</v>
      </c>
      <c r="C171" s="26">
        <f t="shared" si="30"/>
        <v>101.13918042500804</v>
      </c>
      <c r="D171" s="125">
        <f>(($C$39*$C$118*0.72)*D$40)*('Product half-life and C flows'!B72/100)</f>
        <v>0.96557895665736204</v>
      </c>
      <c r="E171" s="26"/>
      <c r="F171" s="54">
        <f t="shared" si="37"/>
        <v>2.0202077190856054</v>
      </c>
      <c r="G171" s="54">
        <f t="shared" si="37"/>
        <v>0.7542108817919595</v>
      </c>
      <c r="H171" s="125">
        <f>(H$118)*('Product half-life and C flows'!L72/100)</f>
        <v>1.0418288424888158</v>
      </c>
      <c r="I171" s="125">
        <f>(($C$39*$C$118*0.28)*H$41)*('Product half-life and C flows'!N72/100)</f>
        <v>0.65819762163708462</v>
      </c>
      <c r="J171" s="125">
        <f>(($C$39*$C$118*0.28)*H$41)*(+'Product half-life and C flows'!P72/100)</f>
        <v>0.32877004077776445</v>
      </c>
      <c r="K171" s="54">
        <f t="shared" si="15"/>
        <v>1.3434381331919276</v>
      </c>
      <c r="L171" s="26"/>
      <c r="M171" s="83">
        <f>C$158*(0.4*D$14)*('Product half-life and C flows'!B32/100)</f>
        <v>16.331128711352591</v>
      </c>
      <c r="N171" s="83">
        <f t="shared" si="31"/>
        <v>7.3959627350682862</v>
      </c>
      <c r="O171" s="83">
        <f t="shared" si="35"/>
        <v>5.9794671475617367</v>
      </c>
      <c r="P171" s="83">
        <f t="shared" si="35"/>
        <v>12.300618132127003</v>
      </c>
      <c r="Q171" s="83">
        <f>C$158*(0.6*C$15)*('Product half-life and C flows'!L32/100)</f>
        <v>31.463913316502037</v>
      </c>
      <c r="R171" s="83">
        <f>C$158*0.6*('Product half-life and C flows'!N32/100)</f>
        <v>4.6549959098274911</v>
      </c>
      <c r="S171" s="83">
        <f>C$158*0.6*('Product half-life and C flows'!P32/100)</f>
        <v>2.3251727821316144</v>
      </c>
      <c r="T171" s="83">
        <f t="shared" si="36"/>
        <v>21.910476047851219</v>
      </c>
      <c r="U171" s="3"/>
      <c r="V171" s="88"/>
      <c r="W171" s="88"/>
      <c r="X171" s="88"/>
      <c r="Y171" s="88"/>
      <c r="Z171" s="88"/>
      <c r="AA171" s="88"/>
      <c r="AB171" s="88"/>
      <c r="AC171" s="88"/>
      <c r="AE171">
        <f t="shared" si="19"/>
        <v>13</v>
      </c>
      <c r="AF171" s="3">
        <f t="shared" si="33"/>
        <v>2.6426533515243094</v>
      </c>
      <c r="AG171" s="113">
        <f t="shared" si="20"/>
        <v>101.13918042500804</v>
      </c>
      <c r="AH171" s="124">
        <f t="shared" si="21"/>
        <v>17.296707668009951</v>
      </c>
      <c r="AI171" s="124">
        <f t="shared" si="22"/>
        <v>7.3959627350682862</v>
      </c>
      <c r="AJ171" s="124">
        <f t="shared" si="23"/>
        <v>7.9996748666473421</v>
      </c>
      <c r="AK171" s="124">
        <f t="shared" si="24"/>
        <v>13.054829013918962</v>
      </c>
      <c r="AL171" s="124">
        <f t="shared" si="25"/>
        <v>32.505742158990856</v>
      </c>
      <c r="AM171" s="124">
        <f t="shared" si="26"/>
        <v>5.3131935314645755</v>
      </c>
      <c r="AN171" s="124">
        <f t="shared" si="27"/>
        <v>2.6539428229093787</v>
      </c>
      <c r="AO171" s="124">
        <f t="shared" si="28"/>
        <v>23.253914181043147</v>
      </c>
      <c r="AP171" s="3">
        <f t="shared" si="32"/>
        <v>68.923345128999387</v>
      </c>
    </row>
    <row r="172" spans="1:42" ht="14">
      <c r="A172">
        <f t="shared" si="34"/>
        <v>14</v>
      </c>
      <c r="B172" s="21">
        <v>94</v>
      </c>
      <c r="C172" s="26">
        <f t="shared" si="30"/>
        <v>102.25096579629684</v>
      </c>
      <c r="D172" s="125">
        <f>(($C$39*$C$118*0.72)*D$40)*('Product half-life and C flows'!B73/100)</f>
        <v>0.93268779268069468</v>
      </c>
      <c r="E172" s="26"/>
      <c r="F172" s="54">
        <f t="shared" si="37"/>
        <v>2.0202077190856054</v>
      </c>
      <c r="G172" s="54">
        <f t="shared" si="37"/>
        <v>0.7542108817919595</v>
      </c>
      <c r="H172" s="125">
        <f>(H$118)*('Product half-life and C flows'!L73/100)</f>
        <v>1.0259042312313387</v>
      </c>
      <c r="I172" s="125">
        <f>(($C$39*$C$118*0.28)*H$41)*('Product half-life and C flows'!N73/100)</f>
        <v>0.66616788957145179</v>
      </c>
      <c r="J172" s="125">
        <f>(($C$39*$C$118*0.28)*H$41)*(+'Product half-life and C flows'!P73/100)</f>
        <v>0.33275119359213368</v>
      </c>
      <c r="K172" s="54">
        <f t="shared" si="15"/>
        <v>1.3434381331919276</v>
      </c>
      <c r="L172" s="26"/>
      <c r="M172" s="83">
        <f>C$158*(0.4*D$14)*('Product half-life and C flows'!B33/100)</f>
        <v>15.774830514643064</v>
      </c>
      <c r="N172" s="83">
        <f t="shared" si="31"/>
        <v>8.7463117144652891</v>
      </c>
      <c r="O172" s="83">
        <f t="shared" si="35"/>
        <v>5.9794671475617367</v>
      </c>
      <c r="P172" s="83">
        <f t="shared" si="35"/>
        <v>12.300618132127003</v>
      </c>
      <c r="Q172" s="83">
        <f>C$158*(0.6*C$15)*('Product half-life and C flows'!L33/100)</f>
        <v>30.982979627809666</v>
      </c>
      <c r="R172" s="83">
        <f>C$158*0.6*('Product half-life and C flows'!N33/100)</f>
        <v>4.9759389914148668</v>
      </c>
      <c r="S172" s="83">
        <f>C$158*0.6*('Product half-life and C flows'!P33/100)</f>
        <v>2.4854840116957377</v>
      </c>
      <c r="T172" s="83">
        <f t="shared" si="36"/>
        <v>21.910476047851219</v>
      </c>
      <c r="U172" s="3"/>
      <c r="V172" s="88"/>
      <c r="W172" s="88"/>
      <c r="X172" s="88"/>
      <c r="Y172" s="88"/>
      <c r="Z172" s="88"/>
      <c r="AA172" s="88"/>
      <c r="AB172" s="88"/>
      <c r="AC172" s="88"/>
      <c r="AE172">
        <f t="shared" si="19"/>
        <v>14</v>
      </c>
      <c r="AF172" s="3">
        <f t="shared" si="33"/>
        <v>3.1251468934685782</v>
      </c>
      <c r="AG172" s="113">
        <f t="shared" si="20"/>
        <v>102.25096579629684</v>
      </c>
      <c r="AH172" s="124">
        <f t="shared" si="21"/>
        <v>16.70751830732376</v>
      </c>
      <c r="AI172" s="124">
        <f t="shared" si="22"/>
        <v>8.7463117144652891</v>
      </c>
      <c r="AJ172" s="124">
        <f t="shared" si="23"/>
        <v>7.9996748666473421</v>
      </c>
      <c r="AK172" s="124">
        <f t="shared" si="24"/>
        <v>13.054829013918962</v>
      </c>
      <c r="AL172" s="124">
        <f t="shared" si="25"/>
        <v>32.008883859041006</v>
      </c>
      <c r="AM172" s="124">
        <f t="shared" si="26"/>
        <v>5.6421068809863186</v>
      </c>
      <c r="AN172" s="124">
        <f t="shared" si="27"/>
        <v>2.8182352052878716</v>
      </c>
      <c r="AO172" s="124">
        <f t="shared" si="28"/>
        <v>23.253914181043147</v>
      </c>
      <c r="AP172" s="3">
        <f t="shared" si="32"/>
        <v>70.270041540346796</v>
      </c>
    </row>
    <row r="173" spans="1:42" ht="14">
      <c r="A173">
        <f t="shared" si="34"/>
        <v>15</v>
      </c>
      <c r="B173" s="21">
        <v>95</v>
      </c>
      <c r="C173" s="26">
        <f t="shared" si="30"/>
        <v>103.34861454521752</v>
      </c>
      <c r="D173" s="125">
        <f>(($C$39*$C$118*0.72)*D$40)*('Product half-life and C flows'!B74/100)</f>
        <v>0.9009170224950076</v>
      </c>
      <c r="E173" s="26"/>
      <c r="F173" s="54">
        <f t="shared" si="37"/>
        <v>2.0202077190856054</v>
      </c>
      <c r="G173" s="54">
        <f t="shared" si="37"/>
        <v>0.7542108817919595</v>
      </c>
      <c r="H173" s="125">
        <f>(H$118)*('Product half-life and C flows'!L74/100)</f>
        <v>1.0102230315913552</v>
      </c>
      <c r="I173" s="125">
        <f>(($C$39*$C$118*0.28)*H$41)*('Product half-life and C flows'!N74/100)</f>
        <v>0.6740163299912636</v>
      </c>
      <c r="J173" s="125">
        <f>(($C$39*$C$118*0.28)*H$41)*(+'Product half-life and C flows'!P74/100)</f>
        <v>0.33667149350212955</v>
      </c>
      <c r="K173" s="54">
        <f t="shared" si="15"/>
        <v>1.3434381331919276</v>
      </c>
      <c r="L173" s="26"/>
      <c r="M173" s="83">
        <f>C$158*(0.4*D$14)*('Product half-life and C flows'!B34/100)</f>
        <v>15.237481876725953</v>
      </c>
      <c r="N173" s="83">
        <f t="shared" si="31"/>
        <v>10.189710224502418</v>
      </c>
      <c r="O173" s="83">
        <f t="shared" si="35"/>
        <v>5.9794671475617367</v>
      </c>
      <c r="P173" s="83">
        <f t="shared" si="35"/>
        <v>12.300618132127003</v>
      </c>
      <c r="Q173" s="83">
        <f>C$158*(0.6*C$15)*('Product half-life and C flows'!L34/100)</f>
        <v>30.509397129371113</v>
      </c>
      <c r="R173" s="83">
        <f>C$158*0.6*('Product half-life and C flows'!N34/100)</f>
        <v>5.2919763787061953</v>
      </c>
      <c r="S173" s="83">
        <f>C$158*0.6*('Product half-life and C flows'!P34/100)</f>
        <v>2.6433448445085883</v>
      </c>
      <c r="T173" s="83">
        <f t="shared" si="36"/>
        <v>21.910476047851219</v>
      </c>
      <c r="U173" s="3"/>
      <c r="V173" s="88"/>
      <c r="W173" s="88"/>
      <c r="X173" s="88"/>
      <c r="Y173" s="88"/>
      <c r="Z173" s="88"/>
      <c r="AA173" s="88"/>
      <c r="AB173" s="88"/>
      <c r="AC173" s="88"/>
      <c r="AE173">
        <f t="shared" si="19"/>
        <v>15</v>
      </c>
      <c r="AF173" s="3">
        <f t="shared" si="33"/>
        <v>3.6408879871937612</v>
      </c>
      <c r="AG173" s="113">
        <f t="shared" si="20"/>
        <v>103.34861454521752</v>
      </c>
      <c r="AH173" s="124">
        <f t="shared" si="21"/>
        <v>16.138398899220959</v>
      </c>
      <c r="AI173" s="124">
        <f t="shared" si="22"/>
        <v>10.189710224502418</v>
      </c>
      <c r="AJ173" s="124">
        <f t="shared" si="23"/>
        <v>7.9996748666473421</v>
      </c>
      <c r="AK173" s="124">
        <f t="shared" si="24"/>
        <v>13.054829013918962</v>
      </c>
      <c r="AL173" s="124">
        <f t="shared" si="25"/>
        <v>31.519620160962468</v>
      </c>
      <c r="AM173" s="124">
        <f t="shared" si="26"/>
        <v>5.9659927086974589</v>
      </c>
      <c r="AN173" s="124">
        <f t="shared" si="27"/>
        <v>2.9800163380107181</v>
      </c>
      <c r="AO173" s="124">
        <f t="shared" si="28"/>
        <v>23.253914181043147</v>
      </c>
      <c r="AP173" s="3">
        <f t="shared" si="32"/>
        <v>71.709843312739366</v>
      </c>
    </row>
    <row r="174" spans="1:42" ht="14">
      <c r="A174">
        <f t="shared" si="34"/>
        <v>16</v>
      </c>
      <c r="B174" s="21">
        <v>96</v>
      </c>
      <c r="C174" s="26">
        <f t="shared" si="30"/>
        <v>104.43212467987155</v>
      </c>
      <c r="D174" s="125">
        <f>(($C$39*$C$118*0.72)*D$40)*('Product half-life and C flows'!B75/100)</f>
        <v>0.87022848137473041</v>
      </c>
      <c r="E174" s="26"/>
      <c r="F174" s="54">
        <f t="shared" si="37"/>
        <v>2.0202077190856054</v>
      </c>
      <c r="G174" s="54">
        <f t="shared" si="37"/>
        <v>0.7542108817919595</v>
      </c>
      <c r="H174" s="125">
        <f>(H$118)*('Product half-life and C flows'!L75/100)</f>
        <v>0.99478152296215372</v>
      </c>
      <c r="I174" s="125">
        <f>(($C$39*$C$118*0.28)*H$41)*('Product half-life and C flows'!N75/100)</f>
        <v>0.68174480506017898</v>
      </c>
      <c r="J174" s="125">
        <f>(($C$39*$C$118*0.28)*H$41)*(+'Product half-life and C flows'!P75/100)</f>
        <v>0.34053187065942991</v>
      </c>
      <c r="K174" s="54">
        <f t="shared" si="15"/>
        <v>1.3434381331919276</v>
      </c>
      <c r="L174" s="26"/>
      <c r="M174" s="83">
        <f>C$158*(0.4*D$14)*('Product half-life and C flows'!B35/100)</f>
        <v>14.718437306063535</v>
      </c>
      <c r="N174" s="83">
        <f t="shared" si="31"/>
        <v>11.718333388083606</v>
      </c>
      <c r="O174" s="83">
        <f t="shared" si="35"/>
        <v>5.9794671475617367</v>
      </c>
      <c r="P174" s="83">
        <f t="shared" si="35"/>
        <v>12.300618132127003</v>
      </c>
      <c r="Q174" s="83">
        <f>C$158*(0.6*C$15)*('Product half-life and C flows'!L35/100)</f>
        <v>30.043053456427124</v>
      </c>
      <c r="R174" s="83">
        <f>C$158*0.6*('Product half-life and C flows'!N35/100)</f>
        <v>5.6031830564508187</v>
      </c>
      <c r="S174" s="83">
        <f>C$158*0.6*('Product half-life and C flows'!P35/100)</f>
        <v>2.7987927354899194</v>
      </c>
      <c r="T174" s="83">
        <f t="shared" si="36"/>
        <v>21.910476047851219</v>
      </c>
      <c r="U174" s="3"/>
      <c r="V174" s="88"/>
      <c r="W174" s="88"/>
      <c r="X174" s="88"/>
      <c r="Y174" s="88"/>
      <c r="Z174" s="88"/>
      <c r="AA174" s="88"/>
      <c r="AB174" s="88"/>
      <c r="AC174" s="88"/>
      <c r="AE174">
        <f t="shared" si="19"/>
        <v>16</v>
      </c>
      <c r="AF174" s="3">
        <f t="shared" si="33"/>
        <v>4.1870807238474326</v>
      </c>
      <c r="AG174" s="113">
        <f t="shared" si="20"/>
        <v>104.43212467987155</v>
      </c>
      <c r="AH174" s="124">
        <f t="shared" si="21"/>
        <v>15.588665787438266</v>
      </c>
      <c r="AI174" s="124">
        <f t="shared" si="22"/>
        <v>11.718333388083606</v>
      </c>
      <c r="AJ174" s="124">
        <f t="shared" si="23"/>
        <v>7.9996748666473421</v>
      </c>
      <c r="AK174" s="124">
        <f t="shared" si="24"/>
        <v>13.054829013918962</v>
      </c>
      <c r="AL174" s="124">
        <f t="shared" si="25"/>
        <v>31.037834979389277</v>
      </c>
      <c r="AM174" s="124">
        <f t="shared" si="26"/>
        <v>6.2849278615109974</v>
      </c>
      <c r="AN174" s="124">
        <f t="shared" si="27"/>
        <v>3.1393246061493492</v>
      </c>
      <c r="AO174" s="124">
        <f t="shared" si="28"/>
        <v>23.253914181043147</v>
      </c>
      <c r="AP174" s="3">
        <f t="shared" si="32"/>
        <v>73.23492471569952</v>
      </c>
    </row>
    <row r="175" spans="1:42" ht="14">
      <c r="A175">
        <f t="shared" si="34"/>
        <v>17</v>
      </c>
      <c r="B175" s="21">
        <v>97</v>
      </c>
      <c r="C175" s="26">
        <f t="shared" si="30"/>
        <v>105.50150372992968</v>
      </c>
      <c r="D175" s="125">
        <f>(($C$39*$C$118*0.72)*D$40)*('Product half-life and C flows'!B76/100)</f>
        <v>0.84058530462495018</v>
      </c>
      <c r="E175" s="26"/>
      <c r="F175" s="54">
        <f t="shared" si="37"/>
        <v>2.0202077190856054</v>
      </c>
      <c r="G175" s="54">
        <f t="shared" si="37"/>
        <v>0.7542108817919595</v>
      </c>
      <c r="H175" s="125">
        <f>(H$118)*('Product half-life and C flows'!L76/100)</f>
        <v>0.97957604160741441</v>
      </c>
      <c r="I175" s="125">
        <f>(($C$39*$C$118*0.28)*H$41)*('Product half-life and C flows'!N76/100)</f>
        <v>0.68935514847822599</v>
      </c>
      <c r="J175" s="125">
        <f>(($C$39*$C$118*0.28)*H$41)*(+'Product half-life and C flows'!P76/100)</f>
        <v>0.34433324099811474</v>
      </c>
      <c r="K175" s="54">
        <f t="shared" si="15"/>
        <v>1.3434381331919276</v>
      </c>
      <c r="L175" s="26"/>
      <c r="M175" s="83">
        <f>C$158*(0.4*D$14)*('Product half-life and C flows'!B36/100)</f>
        <v>14.217073298929503</v>
      </c>
      <c r="N175" s="83">
        <f t="shared" si="31"/>
        <v>13.324187201714368</v>
      </c>
      <c r="O175" s="83">
        <f t="shared" si="35"/>
        <v>5.9794671475617367</v>
      </c>
      <c r="P175" s="83">
        <f t="shared" si="35"/>
        <v>12.300618132127003</v>
      </c>
      <c r="Q175" s="83">
        <f>C$158*(0.6*C$15)*('Product half-life and C flows'!L36/100)</f>
        <v>29.583837961741541</v>
      </c>
      <c r="R175" s="83">
        <f>C$158*0.6*('Product half-life and C flows'!N36/100)</f>
        <v>5.9096328632376611</v>
      </c>
      <c r="S175" s="83">
        <f>C$158*0.6*('Product half-life and C flows'!P36/100)</f>
        <v>2.9518645670517789</v>
      </c>
      <c r="T175" s="83">
        <f t="shared" si="36"/>
        <v>21.910476047851219</v>
      </c>
      <c r="U175" s="3"/>
      <c r="V175" s="88"/>
      <c r="W175" s="88"/>
      <c r="X175" s="88"/>
      <c r="Y175" s="88"/>
      <c r="Z175" s="88"/>
      <c r="AA175" s="88"/>
      <c r="AB175" s="88"/>
      <c r="AC175" s="88"/>
      <c r="AE175">
        <f t="shared" si="19"/>
        <v>17</v>
      </c>
      <c r="AF175" s="3">
        <f t="shared" si="33"/>
        <v>4.760868763980147</v>
      </c>
      <c r="AG175" s="113">
        <f t="shared" si="20"/>
        <v>105.50150372992968</v>
      </c>
      <c r="AH175" s="124">
        <f t="shared" si="21"/>
        <v>15.057658603554453</v>
      </c>
      <c r="AI175" s="124">
        <f t="shared" si="22"/>
        <v>13.324187201714368</v>
      </c>
      <c r="AJ175" s="124">
        <f t="shared" si="23"/>
        <v>7.9996748666473421</v>
      </c>
      <c r="AK175" s="124">
        <f t="shared" si="24"/>
        <v>13.054829013918962</v>
      </c>
      <c r="AL175" s="124">
        <f t="shared" si="25"/>
        <v>30.563414003348957</v>
      </c>
      <c r="AM175" s="124">
        <f t="shared" si="26"/>
        <v>6.5989880117158872</v>
      </c>
      <c r="AN175" s="124">
        <f t="shared" si="27"/>
        <v>3.2961978080498935</v>
      </c>
      <c r="AO175" s="124">
        <f t="shared" si="28"/>
        <v>23.253914181043147</v>
      </c>
      <c r="AP175" s="3">
        <f t="shared" si="32"/>
        <v>74.837290905395406</v>
      </c>
    </row>
    <row r="176" spans="1:42" ht="14">
      <c r="A176">
        <f t="shared" ref="A176:B191" si="38">A175+1</f>
        <v>18</v>
      </c>
      <c r="B176" s="21">
        <v>98</v>
      </c>
      <c r="C176" s="26">
        <f t="shared" si="30"/>
        <v>106.55676827783559</v>
      </c>
      <c r="D176" s="125">
        <f>(($C$39*$C$118*0.72)*D$40)*('Product half-life and C flows'!B77/100)</f>
        <v>0.81195188329759749</v>
      </c>
      <c r="E176" s="26"/>
      <c r="F176" s="54">
        <f t="shared" si="37"/>
        <v>2.0202077190856054</v>
      </c>
      <c r="G176" s="54">
        <f t="shared" si="37"/>
        <v>0.7542108817919595</v>
      </c>
      <c r="H176" s="125">
        <f>(H$118)*('Product half-life and C flows'!L77/100)</f>
        <v>0.96460297979193321</v>
      </c>
      <c r="I176" s="125">
        <f>(($C$39*$C$118*0.28)*H$41)*('Product half-life and C flows'!N77/100)</f>
        <v>0.6968491659168744</v>
      </c>
      <c r="J176" s="125">
        <f>(($C$39*$C$118*0.28)*H$41)*(+'Product half-life and C flows'!P77/100)</f>
        <v>0.34807650645198501</v>
      </c>
      <c r="K176" s="54">
        <f t="shared" si="15"/>
        <v>1.3434381331919276</v>
      </c>
      <c r="L176" s="26"/>
      <c r="M176" s="83">
        <f>C$158*(0.4*D$14)*('Product half-life and C flows'!B37/100)</f>
        <v>13.732787590423406</v>
      </c>
      <c r="N176" s="83">
        <f t="shared" si="31"/>
        <v>14.999241888023334</v>
      </c>
      <c r="O176" s="83">
        <f t="shared" ref="O176:P191" si="39">O175</f>
        <v>5.9794671475617367</v>
      </c>
      <c r="P176" s="83">
        <f t="shared" si="39"/>
        <v>12.300618132127003</v>
      </c>
      <c r="Q176" s="83">
        <f>C$158*(0.6*C$15)*('Product half-life and C flows'!L37/100)</f>
        <v>29.131641689348573</v>
      </c>
      <c r="R176" s="83">
        <f>C$158*0.6*('Product half-life and C flows'!N37/100)</f>
        <v>6.21139850901457</v>
      </c>
      <c r="S176" s="83">
        <f>C$158*0.6*('Product half-life and C flows'!P37/100)</f>
        <v>3.1025966578494355</v>
      </c>
      <c r="T176" s="83">
        <f t="shared" si="36"/>
        <v>21.910476047851219</v>
      </c>
      <c r="U176" s="3"/>
      <c r="V176" s="88"/>
      <c r="W176" s="88"/>
      <c r="X176" s="88"/>
      <c r="Y176" s="88"/>
      <c r="Z176" s="88"/>
      <c r="AA176" s="88"/>
      <c r="AB176" s="88"/>
      <c r="AC176" s="88"/>
      <c r="AE176">
        <f t="shared" si="19"/>
        <v>18</v>
      </c>
      <c r="AF176" s="3">
        <f t="shared" si="33"/>
        <v>5.3593829857692894</v>
      </c>
      <c r="AG176" s="113">
        <f t="shared" si="20"/>
        <v>106.55676827783559</v>
      </c>
      <c r="AH176" s="124">
        <f t="shared" si="21"/>
        <v>14.544739473721004</v>
      </c>
      <c r="AI176" s="124">
        <f t="shared" si="22"/>
        <v>14.999241888023334</v>
      </c>
      <c r="AJ176" s="124">
        <f t="shared" si="23"/>
        <v>7.9996748666473421</v>
      </c>
      <c r="AK176" s="124">
        <f t="shared" si="24"/>
        <v>13.054829013918962</v>
      </c>
      <c r="AL176" s="124">
        <f t="shared" si="25"/>
        <v>30.096244669140507</v>
      </c>
      <c r="AM176" s="124">
        <f t="shared" si="26"/>
        <v>6.9082476749314443</v>
      </c>
      <c r="AN176" s="124">
        <f t="shared" si="27"/>
        <v>3.4506731643014206</v>
      </c>
      <c r="AO176" s="124">
        <f t="shared" si="28"/>
        <v>23.253914181043147</v>
      </c>
      <c r="AP176" s="3">
        <f t="shared" si="32"/>
        <v>76.508911276963005</v>
      </c>
    </row>
    <row r="177" spans="1:42" ht="14">
      <c r="A177">
        <f t="shared" si="38"/>
        <v>19</v>
      </c>
      <c r="B177" s="21">
        <v>99</v>
      </c>
      <c r="C177" s="26">
        <f t="shared" si="30"/>
        <v>107.59794350495081</v>
      </c>
      <c r="D177" s="125">
        <f>(($C$39*$C$118*0.72)*D$40)*('Product half-life and C flows'!B78/100)</f>
        <v>0.78429382141609549</v>
      </c>
      <c r="E177" s="26"/>
      <c r="F177" s="54">
        <f t="shared" si="37"/>
        <v>2.0202077190856054</v>
      </c>
      <c r="G177" s="54">
        <f t="shared" si="37"/>
        <v>0.7542108817919595</v>
      </c>
      <c r="H177" s="125">
        <f>(H$118)*('Product half-life and C flows'!L78/100)</f>
        <v>0.9498587849256297</v>
      </c>
      <c r="I177" s="125">
        <f>(($C$39*$C$118*0.28)*H$41)*('Product half-life and C flows'!N78/100)</f>
        <v>0.70422863544745928</v>
      </c>
      <c r="J177" s="125">
        <f>(($C$39*$C$118*0.28)*H$41)*(+'Product half-life and C flows'!P78/100)</f>
        <v>0.35176255516856092</v>
      </c>
      <c r="K177" s="54">
        <f t="shared" si="15"/>
        <v>1.3434381331919276</v>
      </c>
      <c r="L177" s="26"/>
      <c r="M177" s="83">
        <f>C$158*(0.4*D$14)*('Product half-life and C flows'!B38/100)</f>
        <v>13.264998430998263</v>
      </c>
      <c r="N177" s="83">
        <f t="shared" si="31"/>
        <v>16.7355400849764</v>
      </c>
      <c r="O177" s="83">
        <f t="shared" si="39"/>
        <v>5.9794671475617367</v>
      </c>
      <c r="P177" s="83">
        <f t="shared" si="39"/>
        <v>12.300618132127003</v>
      </c>
      <c r="Q177" s="83">
        <f>C$158*(0.6*C$15)*('Product half-life and C flows'!L38/100)</f>
        <v>28.686357348701257</v>
      </c>
      <c r="R177" s="83">
        <f>C$158*0.6*('Product half-life and C flows'!N38/100)</f>
        <v>6.5085515923398818</v>
      </c>
      <c r="S177" s="83">
        <f>C$158*0.6*('Product half-life and C flows'!P38/100)</f>
        <v>3.2510247713985421</v>
      </c>
      <c r="T177" s="83">
        <f t="shared" si="36"/>
        <v>21.910476047851219</v>
      </c>
      <c r="U177" s="3"/>
      <c r="V177" s="88"/>
      <c r="W177" s="88"/>
      <c r="X177" s="88"/>
      <c r="Y177" s="88"/>
      <c r="Z177" s="88"/>
      <c r="AA177" s="88"/>
      <c r="AB177" s="88"/>
      <c r="AC177" s="88"/>
      <c r="AE177">
        <f t="shared" si="19"/>
        <v>19</v>
      </c>
      <c r="AF177" s="3">
        <f t="shared" si="33"/>
        <v>5.9797801421350689</v>
      </c>
      <c r="AG177" s="113">
        <f t="shared" si="20"/>
        <v>107.59794350495081</v>
      </c>
      <c r="AH177" s="124">
        <f t="shared" si="21"/>
        <v>14.049292252414359</v>
      </c>
      <c r="AI177" s="124">
        <f t="shared" si="22"/>
        <v>16.7355400849764</v>
      </c>
      <c r="AJ177" s="124">
        <f t="shared" si="23"/>
        <v>7.9996748666473421</v>
      </c>
      <c r="AK177" s="124">
        <f t="shared" si="24"/>
        <v>13.054829013918962</v>
      </c>
      <c r="AL177" s="124">
        <f t="shared" si="25"/>
        <v>29.636216133626888</v>
      </c>
      <c r="AM177" s="124">
        <f t="shared" si="26"/>
        <v>7.2127802277873414</v>
      </c>
      <c r="AN177" s="124">
        <f t="shared" si="27"/>
        <v>3.6027873265671029</v>
      </c>
      <c r="AO177" s="124">
        <f t="shared" si="28"/>
        <v>23.253914181043147</v>
      </c>
      <c r="AP177" s="3">
        <f t="shared" si="32"/>
        <v>78.241827653524041</v>
      </c>
    </row>
    <row r="178" spans="1:42" ht="14">
      <c r="A178">
        <f t="shared" si="38"/>
        <v>20</v>
      </c>
      <c r="B178" s="21">
        <v>100</v>
      </c>
      <c r="C178" s="26">
        <f t="shared" si="30"/>
        <v>108.62506275243267</v>
      </c>
      <c r="D178" s="125">
        <f>(($C$39*$C$118*0.72)*D$40)*('Product half-life and C flows'!B79/100)</f>
        <v>0.75757789465710201</v>
      </c>
      <c r="E178" s="26"/>
      <c r="F178" s="54">
        <f t="shared" si="37"/>
        <v>2.0202077190856054</v>
      </c>
      <c r="G178" s="54">
        <f t="shared" si="37"/>
        <v>0.7542108817919595</v>
      </c>
      <c r="H178" s="125">
        <f>(H$118)*('Product half-life and C flows'!L79/100)</f>
        <v>0.93533995872064057</v>
      </c>
      <c r="I178" s="125">
        <f>(($C$39*$C$118*0.28)*H$41)*('Product half-life and C flows'!N79/100)</f>
        <v>0.71149530796305638</v>
      </c>
      <c r="J178" s="125">
        <f>(($C$39*$C$118*0.28)*H$41)*(+'Product half-life and C flows'!P79/100)</f>
        <v>0.3553922617198082</v>
      </c>
      <c r="K178" s="54">
        <f t="shared" si="15"/>
        <v>1.3434381331919276</v>
      </c>
      <c r="L178" s="26"/>
      <c r="M178" s="83">
        <f>C$158*(0.4*D$14)*('Product half-life and C flows'!B39/100)</f>
        <v>12.813143887632297</v>
      </c>
      <c r="N178" s="83">
        <f t="shared" si="31"/>
        <v>18.5252835435601</v>
      </c>
      <c r="O178" s="83">
        <f t="shared" si="39"/>
        <v>5.9794671475617367</v>
      </c>
      <c r="P178" s="83">
        <f t="shared" si="39"/>
        <v>12.300618132127003</v>
      </c>
      <c r="Q178" s="83">
        <f>C$158*(0.6*C$15)*('Product half-life and C flows'!L39/100)</f>
        <v>28.24787928921516</v>
      </c>
      <c r="R178" s="83">
        <f>C$158*0.6*('Product half-life and C flows'!N39/100)</f>
        <v>6.8011626173702675</v>
      </c>
      <c r="S178" s="83">
        <f>C$158*0.6*('Product half-life and C flows'!P39/100)</f>
        <v>3.3971841245605732</v>
      </c>
      <c r="T178" s="83">
        <f t="shared" si="36"/>
        <v>21.910476047851219</v>
      </c>
      <c r="U178" s="3"/>
      <c r="V178" s="88"/>
      <c r="W178" s="88"/>
      <c r="X178" s="88"/>
      <c r="Y178" s="88"/>
      <c r="Z178" s="88"/>
      <c r="AA178" s="88"/>
      <c r="AB178" s="88"/>
      <c r="AC178" s="88"/>
      <c r="AE178">
        <f t="shared" si="19"/>
        <v>20</v>
      </c>
      <c r="AF178" s="3">
        <f t="shared" si="33"/>
        <v>6.6192738387121182</v>
      </c>
      <c r="AG178" s="113">
        <f t="shared" si="20"/>
        <v>108.62506275243267</v>
      </c>
      <c r="AH178" s="124">
        <f t="shared" si="21"/>
        <v>13.570721782289398</v>
      </c>
      <c r="AI178" s="124">
        <f t="shared" si="22"/>
        <v>18.5252835435601</v>
      </c>
      <c r="AJ178" s="124">
        <f t="shared" si="23"/>
        <v>7.9996748666473421</v>
      </c>
      <c r="AK178" s="124">
        <f t="shared" si="24"/>
        <v>13.054829013918962</v>
      </c>
      <c r="AL178" s="124">
        <f t="shared" si="25"/>
        <v>29.183219247935799</v>
      </c>
      <c r="AM178" s="124">
        <f t="shared" si="26"/>
        <v>7.5126579253333237</v>
      </c>
      <c r="AN178" s="124">
        <f t="shared" si="27"/>
        <v>3.7525763862803814</v>
      </c>
      <c r="AO178" s="124">
        <f t="shared" si="28"/>
        <v>23.253914181043147</v>
      </c>
      <c r="AP178" s="3">
        <f t="shared" si="32"/>
        <v>80.028240983675914</v>
      </c>
    </row>
    <row r="179" spans="1:42" ht="14">
      <c r="A179">
        <f t="shared" si="38"/>
        <v>21</v>
      </c>
      <c r="B179" s="19">
        <f>B178+1</f>
        <v>101</v>
      </c>
      <c r="C179" s="26">
        <f t="shared" si="30"/>
        <v>109.63816709662152</v>
      </c>
      <c r="D179" s="125">
        <f>(($C$39*$C$118*0.72)*D$40)*('Product half-life and C flows'!B80/100)</f>
        <v>0.73177201043969464</v>
      </c>
      <c r="E179" s="26"/>
      <c r="F179" s="54">
        <f t="shared" si="37"/>
        <v>2.0202077190856054</v>
      </c>
      <c r="G179" s="54">
        <f t="shared" si="37"/>
        <v>0.7542108817919595</v>
      </c>
      <c r="H179" s="125">
        <f>(H$118)*('Product half-life and C flows'!L80/100)</f>
        <v>0.9210430563612968</v>
      </c>
      <c r="I179" s="125">
        <f>(($C$39*$C$118*0.28)*H$41)*('Product half-life and C flows'!N80/100)</f>
        <v>0.71865090759390804</v>
      </c>
      <c r="J179" s="125">
        <f>(($C$39*$C$118*0.28)*H$41)*(+'Product half-life and C flows'!P80/100)</f>
        <v>0.3589664873096442</v>
      </c>
      <c r="K179" s="54">
        <f t="shared" si="15"/>
        <v>1.3434381331919276</v>
      </c>
      <c r="L179" s="26"/>
      <c r="M179" s="83">
        <f>C$158*(0.4*D$14)*('Product half-life and C flows'!B40/100)</f>
        <v>12.376681168805366</v>
      </c>
      <c r="N179" s="83">
        <f t="shared" si="31"/>
        <v>20.360901524976995</v>
      </c>
      <c r="O179" s="83">
        <f t="shared" si="39"/>
        <v>5.9794671475617367</v>
      </c>
      <c r="P179" s="83">
        <f t="shared" si="39"/>
        <v>12.300618132127003</v>
      </c>
      <c r="Q179" s="83">
        <f>C$158*(0.6*C$15)*('Product half-life and C flows'!L40/100)</f>
        <v>27.816103475201142</v>
      </c>
      <c r="R179" s="83">
        <f>C$158*0.6*('Product half-life and C flows'!N40/100)</f>
        <v>7.0893010105889553</v>
      </c>
      <c r="S179" s="83">
        <f>C$158*0.6*('Product half-life and C flows'!P40/100)</f>
        <v>3.5411093958985784</v>
      </c>
      <c r="T179" s="83">
        <f t="shared" si="36"/>
        <v>21.910476047851219</v>
      </c>
      <c r="U179" s="3"/>
      <c r="V179" s="88"/>
      <c r="W179" s="88"/>
      <c r="X179" s="88"/>
      <c r="Y179" s="88"/>
      <c r="Z179" s="88"/>
      <c r="AA179" s="88"/>
      <c r="AB179" s="88"/>
      <c r="AC179" s="88"/>
      <c r="AE179">
        <f t="shared" si="19"/>
        <v>21</v>
      </c>
      <c r="AF179" s="3">
        <f t="shared" si="33"/>
        <v>7.2751589728690114</v>
      </c>
      <c r="AG179" s="113">
        <f t="shared" si="20"/>
        <v>109.63816709662152</v>
      </c>
      <c r="AH179" s="124">
        <f t="shared" si="21"/>
        <v>13.10845317924506</v>
      </c>
      <c r="AI179" s="124">
        <f t="shared" si="22"/>
        <v>20.360901524976995</v>
      </c>
      <c r="AJ179" s="124">
        <f t="shared" si="23"/>
        <v>7.9996748666473421</v>
      </c>
      <c r="AK179" s="124">
        <f t="shared" si="24"/>
        <v>13.054829013918962</v>
      </c>
      <c r="AL179" s="124">
        <f t="shared" si="25"/>
        <v>28.737146531562438</v>
      </c>
      <c r="AM179" s="124">
        <f t="shared" si="26"/>
        <v>7.8079519181828632</v>
      </c>
      <c r="AN179" s="124">
        <f t="shared" si="27"/>
        <v>3.9000758832082227</v>
      </c>
      <c r="AO179" s="124">
        <f t="shared" si="28"/>
        <v>23.253914181043147</v>
      </c>
      <c r="AP179" s="3">
        <f t="shared" si="32"/>
        <v>81.86057973849681</v>
      </c>
    </row>
    <row r="180" spans="1:42" ht="14">
      <c r="A180">
        <f t="shared" si="38"/>
        <v>22</v>
      </c>
      <c r="B180" s="19">
        <f t="shared" si="38"/>
        <v>102</v>
      </c>
      <c r="C180" s="26">
        <f t="shared" si="30"/>
        <v>110.63730493869643</v>
      </c>
      <c r="D180" s="125">
        <f>(($C$39*$C$118*0.72)*D$40)*('Product half-life and C flows'!B81/100)</f>
        <v>0.70684516937407227</v>
      </c>
      <c r="E180" s="26"/>
      <c r="F180" s="54">
        <f t="shared" si="37"/>
        <v>2.0202077190856054</v>
      </c>
      <c r="G180" s="54">
        <f t="shared" si="37"/>
        <v>0.7542108817919595</v>
      </c>
      <c r="H180" s="125">
        <f>(H$118)*('Product half-life and C flows'!L81/100)</f>
        <v>0.90696468568678767</v>
      </c>
      <c r="I180" s="125">
        <f>(($C$39*$C$118*0.28)*H$41)*('Product half-life and C flows'!N81/100)</f>
        <v>0.72569713211649967</v>
      </c>
      <c r="J180" s="125">
        <f>(($C$39*$C$118*0.28)*H$41)*(+'Product half-life and C flows'!P81/100)</f>
        <v>0.36248607997827142</v>
      </c>
      <c r="K180" s="54">
        <f t="shared" si="15"/>
        <v>1.3434381331919276</v>
      </c>
      <c r="L180" s="26"/>
      <c r="M180" s="83">
        <f>C$158*(0.4*D$14)*('Product half-life and C flows'!B41/100)</f>
        <v>11.955085972469121</v>
      </c>
      <c r="N180" s="83">
        <f t="shared" si="31"/>
        <v>22.235103667138301</v>
      </c>
      <c r="O180" s="83">
        <f t="shared" si="39"/>
        <v>5.9794671475617367</v>
      </c>
      <c r="P180" s="83">
        <f t="shared" si="39"/>
        <v>12.300618132127003</v>
      </c>
      <c r="Q180" s="83">
        <f>C$158*(0.6*C$15)*('Product half-life and C flows'!L41/100)</f>
        <v>27.390927461181274</v>
      </c>
      <c r="R180" s="83">
        <f>C$158*0.6*('Product half-life and C flows'!N41/100)</f>
        <v>7.3730351372782161</v>
      </c>
      <c r="S180" s="83">
        <f>C$158*0.6*('Product half-life and C flows'!P41/100)</f>
        <v>3.6828347339052026</v>
      </c>
      <c r="T180" s="83">
        <f t="shared" si="36"/>
        <v>21.910476047851219</v>
      </c>
      <c r="U180" s="3"/>
      <c r="V180" s="88"/>
      <c r="W180" s="88"/>
      <c r="X180" s="88"/>
      <c r="Y180" s="88"/>
      <c r="Z180" s="88"/>
      <c r="AA180" s="88"/>
      <c r="AB180" s="88"/>
      <c r="AC180" s="88"/>
      <c r="AE180">
        <f t="shared" si="19"/>
        <v>22</v>
      </c>
      <c r="AF180" s="3">
        <f t="shared" si="33"/>
        <v>7.9448306234483717</v>
      </c>
      <c r="AG180" s="113">
        <f t="shared" si="20"/>
        <v>110.63730493869643</v>
      </c>
      <c r="AH180" s="124">
        <f t="shared" si="21"/>
        <v>12.661931141843192</v>
      </c>
      <c r="AI180" s="124">
        <f t="shared" si="22"/>
        <v>22.235103667138301</v>
      </c>
      <c r="AJ180" s="124">
        <f t="shared" si="23"/>
        <v>7.9996748666473421</v>
      </c>
      <c r="AK180" s="124">
        <f t="shared" si="24"/>
        <v>13.054829013918962</v>
      </c>
      <c r="AL180" s="124">
        <f t="shared" si="25"/>
        <v>28.297892146868062</v>
      </c>
      <c r="AM180" s="124">
        <f t="shared" si="26"/>
        <v>8.0987322693947164</v>
      </c>
      <c r="AN180" s="124">
        <f t="shared" si="27"/>
        <v>4.0453208138834738</v>
      </c>
      <c r="AO180" s="124">
        <f t="shared" si="28"/>
        <v>23.253914181043147</v>
      </c>
      <c r="AP180" s="3">
        <f t="shared" si="32"/>
        <v>83.731552777850865</v>
      </c>
    </row>
    <row r="181" spans="1:42" ht="14">
      <c r="A181">
        <f t="shared" si="38"/>
        <v>23</v>
      </c>
      <c r="B181" s="19">
        <f t="shared" si="38"/>
        <v>103</v>
      </c>
      <c r="C181" s="26">
        <f t="shared" si="30"/>
        <v>111.62253160834713</v>
      </c>
      <c r="D181" s="125">
        <f>(($C$39*$C$118*0.72)*D$40)*('Product half-life and C flows'!B82/100)</f>
        <v>0.68276742802345214</v>
      </c>
      <c r="E181" s="26"/>
      <c r="F181" s="54">
        <f t="shared" si="37"/>
        <v>2.0202077190856054</v>
      </c>
      <c r="G181" s="54">
        <f t="shared" si="37"/>
        <v>0.7542108817919595</v>
      </c>
      <c r="H181" s="125">
        <f>(H$118)*('Product half-life and C flows'!L82/100)</f>
        <v>0.89310150638631924</v>
      </c>
      <c r="I181" s="125">
        <f>(($C$39*$C$118*0.28)*H$41)*('Product half-life and C flows'!N82/100)</f>
        <v>0.73263565335638414</v>
      </c>
      <c r="J181" s="125">
        <f>(($C$39*$C$118*0.28)*H$41)*(+'Product half-life and C flows'!P82/100)</f>
        <v>0.36595187480338848</v>
      </c>
      <c r="K181" s="54">
        <f t="shared" si="15"/>
        <v>1.3434381331919276</v>
      </c>
      <c r="L181" s="26"/>
      <c r="M181" s="83">
        <f>C$158*(0.4*D$14)*('Product half-life and C flows'!B42/100)</f>
        <v>11.547851856227741</v>
      </c>
      <c r="N181" s="83">
        <f t="shared" si="31"/>
        <v>24.140919721338808</v>
      </c>
      <c r="O181" s="83">
        <f t="shared" si="39"/>
        <v>5.9794671475617367</v>
      </c>
      <c r="P181" s="83">
        <f t="shared" si="39"/>
        <v>12.300618132127003</v>
      </c>
      <c r="Q181" s="83">
        <f>C$158*(0.6*C$15)*('Product half-life and C flows'!L42/100)</f>
        <v>26.972250367582042</v>
      </c>
      <c r="R181" s="83">
        <f>C$158*0.6*('Product half-life and C flows'!N42/100)</f>
        <v>7.6524323177401028</v>
      </c>
      <c r="S181" s="83">
        <f>C$158*0.6*('Product half-life and C flows'!P42/100)</f>
        <v>3.8223937651049456</v>
      </c>
      <c r="T181" s="83">
        <f t="shared" si="36"/>
        <v>21.910476047851219</v>
      </c>
      <c r="U181" s="3"/>
      <c r="V181" s="88"/>
      <c r="W181" s="88"/>
      <c r="X181" s="88"/>
      <c r="Y181" s="88"/>
      <c r="Z181" s="88"/>
      <c r="AA181" s="88"/>
      <c r="AB181" s="88"/>
      <c r="AC181" s="88"/>
      <c r="AE181">
        <f t="shared" si="19"/>
        <v>23</v>
      </c>
      <c r="AF181" s="3">
        <f t="shared" si="33"/>
        <v>8.6257982490884295</v>
      </c>
      <c r="AG181" s="113">
        <f t="shared" si="20"/>
        <v>111.62253160834713</v>
      </c>
      <c r="AH181" s="124">
        <f t="shared" si="21"/>
        <v>12.230619284251192</v>
      </c>
      <c r="AI181" s="124">
        <f t="shared" si="22"/>
        <v>24.140919721338808</v>
      </c>
      <c r="AJ181" s="124">
        <f t="shared" si="23"/>
        <v>7.9996748666473421</v>
      </c>
      <c r="AK181" s="124">
        <f t="shared" si="24"/>
        <v>13.054829013918962</v>
      </c>
      <c r="AL181" s="124">
        <f t="shared" si="25"/>
        <v>27.865351873968361</v>
      </c>
      <c r="AM181" s="124">
        <f t="shared" si="26"/>
        <v>8.3850679710964862</v>
      </c>
      <c r="AN181" s="124">
        <f t="shared" si="27"/>
        <v>4.1883456399083343</v>
      </c>
      <c r="AO181" s="124">
        <f t="shared" si="28"/>
        <v>23.253914181043147</v>
      </c>
      <c r="AP181" s="3">
        <f t="shared" si="32"/>
        <v>85.634189086878294</v>
      </c>
    </row>
    <row r="182" spans="1:42" ht="14">
      <c r="A182">
        <f t="shared" si="38"/>
        <v>24</v>
      </c>
      <c r="B182" s="19">
        <f t="shared" si="38"/>
        <v>104</v>
      </c>
      <c r="C182" s="26">
        <f t="shared" si="30"/>
        <v>112.59390898119706</v>
      </c>
      <c r="D182" s="125">
        <f>(($C$39*$C$118*0.72)*D$40)*('Product half-life and C flows'!B83/100)</f>
        <v>0.65950986293443203</v>
      </c>
      <c r="E182" s="26"/>
      <c r="F182" s="54">
        <f t="shared" si="37"/>
        <v>2.0202077190856054</v>
      </c>
      <c r="G182" s="54">
        <f t="shared" si="37"/>
        <v>0.7542108817919595</v>
      </c>
      <c r="H182" s="125">
        <f>(H$118)*('Product half-life and C flows'!L83/100)</f>
        <v>0.87945022920657268</v>
      </c>
      <c r="I182" s="125">
        <f>(($C$39*$C$118*0.28)*H$41)*('Product half-life and C flows'!N83/100)</f>
        <v>0.73946811758484732</v>
      </c>
      <c r="J182" s="125">
        <f>(($C$39*$C$118*0.28)*H$41)*(+'Product half-life and C flows'!P83/100)</f>
        <v>0.36936469409832517</v>
      </c>
      <c r="K182" s="54">
        <f t="shared" si="15"/>
        <v>1.3434381331919276</v>
      </c>
      <c r="L182" s="26"/>
      <c r="M182" s="83">
        <f>C$158*(0.4*D$14)*('Product half-life and C flows'!B43/100)</f>
        <v>11.154489628972586</v>
      </c>
      <c r="N182" s="83">
        <f t="shared" si="31"/>
        <v>26.071728237167552</v>
      </c>
      <c r="O182" s="83">
        <f t="shared" si="39"/>
        <v>5.9794671475617367</v>
      </c>
      <c r="P182" s="83">
        <f t="shared" si="39"/>
        <v>12.300618132127003</v>
      </c>
      <c r="Q182" s="83">
        <f>C$158*(0.6*C$15)*('Product half-life and C flows'!L43/100)</f>
        <v>26.559972856799167</v>
      </c>
      <c r="R182" s="83">
        <f>C$158*0.6*('Product half-life and C flows'!N43/100)</f>
        <v>7.9275588432692068</v>
      </c>
      <c r="S182" s="83">
        <f>C$158*0.6*('Product half-life and C flows'!P43/100)</f>
        <v>3.9598196020325704</v>
      </c>
      <c r="T182" s="83">
        <f t="shared" si="36"/>
        <v>21.910476047851219</v>
      </c>
      <c r="U182" s="3"/>
      <c r="V182" s="88"/>
      <c r="W182" s="88"/>
      <c r="X182" s="88"/>
      <c r="Y182" s="88"/>
      <c r="Z182" s="88"/>
      <c r="AA182" s="88"/>
      <c r="AB182" s="88"/>
      <c r="AC182" s="88"/>
      <c r="AE182">
        <f t="shared" si="19"/>
        <v>24</v>
      </c>
      <c r="AF182" s="3">
        <f t="shared" si="33"/>
        <v>9.315695937635855</v>
      </c>
      <c r="AG182" s="113">
        <f t="shared" si="20"/>
        <v>112.59390898119706</v>
      </c>
      <c r="AH182" s="124">
        <f t="shared" ref="AH182:AH216" si="40">D182+M182+V182</f>
        <v>11.813999491907017</v>
      </c>
      <c r="AI182" s="124">
        <f t="shared" ref="AI182:AI216" si="41">E182+N182+W182</f>
        <v>26.071728237167552</v>
      </c>
      <c r="AJ182" s="124">
        <f t="shared" ref="AJ182:AJ216" si="42">F182+O182+X182</f>
        <v>7.9996748666473421</v>
      </c>
      <c r="AK182" s="124">
        <f t="shared" ref="AK182:AK216" si="43">G182+P182+Y182</f>
        <v>13.054829013918962</v>
      </c>
      <c r="AL182" s="124">
        <f t="shared" ref="AL182:AL216" si="44">H182+Q182+Z182</f>
        <v>27.439423086005739</v>
      </c>
      <c r="AM182" s="124">
        <f t="shared" ref="AM182:AM216" si="45">I182+R182+AA182</f>
        <v>8.667026960854054</v>
      </c>
      <c r="AN182" s="124">
        <f t="shared" ref="AN182:AN216" si="46">J182+S182+AB182</f>
        <v>4.3291842961308955</v>
      </c>
      <c r="AO182" s="124">
        <f t="shared" ref="AO182:AO216" si="47">K182+T182+AC182</f>
        <v>23.253914181043147</v>
      </c>
      <c r="AP182" s="3">
        <f t="shared" si="32"/>
        <v>87.561866460724545</v>
      </c>
    </row>
    <row r="183" spans="1:42" ht="14">
      <c r="A183">
        <f t="shared" si="38"/>
        <v>25</v>
      </c>
      <c r="B183" s="19">
        <f t="shared" si="38"/>
        <v>105</v>
      </c>
      <c r="C183" s="26">
        <f t="shared" si="30"/>
        <v>113.55150510970481</v>
      </c>
      <c r="D183" s="125">
        <f>(($C$39*$C$118*0.72)*D$40)*('Product half-life and C flows'!B84/100)</f>
        <v>0.63704453589261345</v>
      </c>
      <c r="E183" s="26"/>
      <c r="F183" s="54">
        <f t="shared" si="37"/>
        <v>2.0202077190856054</v>
      </c>
      <c r="G183" s="54">
        <f t="shared" si="37"/>
        <v>0.7542108817919595</v>
      </c>
      <c r="H183" s="125">
        <f>(H$118)*('Product half-life and C flows'!L84/100)</f>
        <v>0.86600761517127911</v>
      </c>
      <c r="I183" s="125">
        <f>(($C$39*$C$118*0.28)*H$41)*('Product half-life and C flows'!N84/100)</f>
        <v>0.74619614590951167</v>
      </c>
      <c r="J183" s="125">
        <f>(($C$39*$C$118*0.28)*H$41)*(+'Product half-life and C flows'!P84/100)</f>
        <v>0.37272534760714859</v>
      </c>
      <c r="K183" s="54">
        <f t="shared" si="15"/>
        <v>1.3434381331919276</v>
      </c>
      <c r="L183" s="26"/>
      <c r="M183" s="83">
        <f>C$158*(0.4*D$14)*('Product half-life and C flows'!B44/100)</f>
        <v>10.774526763240042</v>
      </c>
      <c r="N183" s="83">
        <f t="shared" si="31"/>
        <v>28.021275991399175</v>
      </c>
      <c r="O183" s="83">
        <f t="shared" si="39"/>
        <v>5.9794671475617367</v>
      </c>
      <c r="P183" s="83">
        <f t="shared" si="39"/>
        <v>12.300618132127003</v>
      </c>
      <c r="Q183" s="83">
        <f>C$158*(0.6*C$15)*('Product half-life and C flows'!L44/100)</f>
        <v>26.153997109628197</v>
      </c>
      <c r="R183" s="83">
        <f>C$158*0.6*('Product half-life and C flows'!N44/100)</f>
        <v>8.1984799918813032</v>
      </c>
      <c r="S183" s="83">
        <f>C$158*0.6*('Product half-life and C flows'!P44/100)</f>
        <v>4.0951448510895618</v>
      </c>
      <c r="T183" s="83">
        <f t="shared" si="36"/>
        <v>21.910476047851219</v>
      </c>
      <c r="U183" s="3"/>
      <c r="V183" s="88"/>
      <c r="W183" s="88"/>
      <c r="X183" s="88"/>
      <c r="Y183" s="88"/>
      <c r="Z183" s="88"/>
      <c r="AA183" s="88"/>
      <c r="AB183" s="88"/>
      <c r="AC183" s="88"/>
      <c r="AE183">
        <f t="shared" si="19"/>
        <v>25</v>
      </c>
      <c r="AF183" s="3">
        <f t="shared" si="33"/>
        <v>10.012289348287933</v>
      </c>
      <c r="AG183" s="113">
        <f t="shared" si="20"/>
        <v>113.55150510970481</v>
      </c>
      <c r="AH183" s="124">
        <f t="shared" si="40"/>
        <v>11.411571299132655</v>
      </c>
      <c r="AI183" s="124">
        <f t="shared" si="41"/>
        <v>28.021275991399175</v>
      </c>
      <c r="AJ183" s="124">
        <f t="shared" si="42"/>
        <v>7.9996748666473421</v>
      </c>
      <c r="AK183" s="124">
        <f t="shared" si="43"/>
        <v>13.054829013918962</v>
      </c>
      <c r="AL183" s="124">
        <f t="shared" si="44"/>
        <v>27.020004724799477</v>
      </c>
      <c r="AM183" s="124">
        <f t="shared" si="45"/>
        <v>8.9446761377908146</v>
      </c>
      <c r="AN183" s="124">
        <f t="shared" si="46"/>
        <v>4.4678701986967102</v>
      </c>
      <c r="AO183" s="124">
        <f t="shared" si="47"/>
        <v>23.253914181043147</v>
      </c>
      <c r="AP183" s="3">
        <f t="shared" si="32"/>
        <v>89.508330933252495</v>
      </c>
    </row>
    <row r="184" spans="1:42" ht="14">
      <c r="A184">
        <f t="shared" si="38"/>
        <v>26</v>
      </c>
      <c r="B184" s="19">
        <f t="shared" si="38"/>
        <v>106</v>
      </c>
      <c r="C184" s="26">
        <f t="shared" si="30"/>
        <v>114.4953938672609</v>
      </c>
      <c r="D184" s="125">
        <f>(($C$39*$C$118*0.72)*D$40)*('Product half-life and C flows'!B85/100)</f>
        <v>0.61534446036174295</v>
      </c>
      <c r="E184" s="26"/>
      <c r="F184" s="54">
        <f t="shared" ref="F184:G199" si="48">F183</f>
        <v>2.0202077190856054</v>
      </c>
      <c r="G184" s="54">
        <f t="shared" si="48"/>
        <v>0.7542108817919595</v>
      </c>
      <c r="H184" s="125">
        <f>(H$118)*('Product half-life and C flows'!L85/100)</f>
        <v>0.85277047481272206</v>
      </c>
      <c r="I184" s="125">
        <f>(($C$39*$C$118*0.28)*H$41)*('Product half-life and C flows'!N85/100)</f>
        <v>0.7528213346589695</v>
      </c>
      <c r="J184" s="125">
        <f>(($C$39*$C$118*0.28)*H$41)*(+'Product half-life and C flows'!P85/100)</f>
        <v>0.37603463269678783</v>
      </c>
      <c r="K184" s="54">
        <f t="shared" ref="K184:K238" si="49">K183</f>
        <v>1.3434381331919276</v>
      </c>
      <c r="L184" s="26"/>
      <c r="M184" s="83">
        <f>C$158*(0.4*D$14)*('Product half-life and C flows'!B45/100)</f>
        <v>10.407506827586584</v>
      </c>
      <c r="N184" s="83">
        <f t="shared" si="31"/>
        <v>29.983689709930267</v>
      </c>
      <c r="O184" s="83">
        <f t="shared" si="39"/>
        <v>5.9794671475617367</v>
      </c>
      <c r="P184" s="83">
        <f t="shared" si="39"/>
        <v>12.300618132127003</v>
      </c>
      <c r="Q184" s="83">
        <f>C$158*(0.6*C$15)*('Product half-life and C flows'!L45/100)</f>
        <v>25.754226802055364</v>
      </c>
      <c r="R184" s="83">
        <f>C$158*0.6*('Product half-life and C flows'!N45/100)</f>
        <v>8.4652600438015728</v>
      </c>
      <c r="S184" s="83">
        <f>C$158*0.6*('Product half-life and C flows'!P45/100)</f>
        <v>4.2284016202805059</v>
      </c>
      <c r="T184" s="83">
        <f t="shared" si="36"/>
        <v>21.910476047851219</v>
      </c>
      <c r="U184" s="3"/>
      <c r="V184" s="88"/>
      <c r="W184" s="88"/>
      <c r="X184" s="88"/>
      <c r="Y184" s="88"/>
      <c r="Z184" s="88"/>
      <c r="AA184" s="88"/>
      <c r="AB184" s="88"/>
      <c r="AC184" s="88"/>
      <c r="AE184">
        <f t="shared" si="19"/>
        <v>26</v>
      </c>
      <c r="AF184" s="3">
        <f t="shared" si="33"/>
        <v>10.713479899960662</v>
      </c>
      <c r="AG184" s="113">
        <f t="shared" si="20"/>
        <v>114.4953938672609</v>
      </c>
      <c r="AH184" s="124">
        <f t="shared" si="40"/>
        <v>11.022851287948328</v>
      </c>
      <c r="AI184" s="124">
        <f t="shared" si="41"/>
        <v>29.983689709930267</v>
      </c>
      <c r="AJ184" s="124">
        <f t="shared" si="42"/>
        <v>7.9996748666473421</v>
      </c>
      <c r="AK184" s="124">
        <f t="shared" si="43"/>
        <v>13.054829013918962</v>
      </c>
      <c r="AL184" s="124">
        <f t="shared" si="44"/>
        <v>26.606997276868086</v>
      </c>
      <c r="AM184" s="124">
        <f t="shared" si="45"/>
        <v>9.2180813784605427</v>
      </c>
      <c r="AN184" s="124">
        <f t="shared" si="46"/>
        <v>4.604436252977294</v>
      </c>
      <c r="AO184" s="124">
        <f t="shared" si="47"/>
        <v>23.253914181043147</v>
      </c>
      <c r="AP184" s="3">
        <f t="shared" si="32"/>
        <v>91.46770849880248</v>
      </c>
    </row>
    <row r="185" spans="1:42" ht="14">
      <c r="A185">
        <f t="shared" si="38"/>
        <v>27</v>
      </c>
      <c r="B185" s="19">
        <f t="shared" si="38"/>
        <v>107</v>
      </c>
      <c r="C185" s="26">
        <f t="shared" si="30"/>
        <v>115.42565460519332</v>
      </c>
      <c r="D185" s="125">
        <f>(($C$39*$C$118*0.72)*D$40)*('Product half-life and C flows'!B86/100)</f>
        <v>0.59438356906606216</v>
      </c>
      <c r="E185" s="26"/>
      <c r="F185" s="54">
        <f t="shared" si="48"/>
        <v>2.0202077190856054</v>
      </c>
      <c r="G185" s="54">
        <f t="shared" si="48"/>
        <v>0.7542108817919595</v>
      </c>
      <c r="H185" s="125">
        <f>(H$118)*('Product half-life and C flows'!L86/100)</f>
        <v>0.8397356674149874</v>
      </c>
      <c r="I185" s="125">
        <f>(($C$39*$C$118*0.28)*H$41)*('Product half-life and C flows'!N86/100)</f>
        <v>0.75934525576153566</v>
      </c>
      <c r="J185" s="125">
        <f>(($C$39*$C$118*0.28)*H$41)*(+'Product half-life and C flows'!P86/100)</f>
        <v>0.37929333454622149</v>
      </c>
      <c r="K185" s="54">
        <f t="shared" si="49"/>
        <v>1.3434381331919276</v>
      </c>
      <c r="L185" s="26"/>
      <c r="M185" s="83">
        <f>C$158*(0.4*D$14)*('Product half-life and C flows'!B46/100)</f>
        <v>10.052988938299251</v>
      </c>
      <c r="N185" s="83">
        <f t="shared" si="31"/>
        <v>31.953481416457699</v>
      </c>
      <c r="O185" s="83">
        <f t="shared" si="39"/>
        <v>5.9794671475617367</v>
      </c>
      <c r="P185" s="83">
        <f t="shared" si="39"/>
        <v>12.300618132127003</v>
      </c>
      <c r="Q185" s="83">
        <f>C$158*(0.6*C$15)*('Product half-life and C flows'!L46/100)</f>
        <v>25.36056708240325</v>
      </c>
      <c r="R185" s="83">
        <f>C$158*0.6*('Product half-life and C flows'!N46/100)</f>
        <v>8.7279622967160861</v>
      </c>
      <c r="S185" s="83">
        <f>C$158*0.6*('Product half-life and C flows'!P46/100)</f>
        <v>4.3596215268312113</v>
      </c>
      <c r="T185" s="83">
        <f t="shared" si="36"/>
        <v>21.910476047851219</v>
      </c>
      <c r="U185" s="3"/>
      <c r="V185" s="88"/>
      <c r="W185" s="88"/>
      <c r="X185" s="88"/>
      <c r="Y185" s="88"/>
      <c r="Z185" s="88"/>
      <c r="AA185" s="88"/>
      <c r="AB185" s="88"/>
      <c r="AC185" s="88"/>
      <c r="AE185">
        <f t="shared" si="19"/>
        <v>27</v>
      </c>
      <c r="AF185" s="3">
        <f t="shared" si="33"/>
        <v>11.417306682426386</v>
      </c>
      <c r="AG185" s="113">
        <f t="shared" si="20"/>
        <v>115.42565460519332</v>
      </c>
      <c r="AH185" s="124">
        <f t="shared" si="40"/>
        <v>10.647372507365313</v>
      </c>
      <c r="AI185" s="124">
        <f t="shared" si="41"/>
        <v>31.953481416457699</v>
      </c>
      <c r="AJ185" s="124">
        <f t="shared" si="42"/>
        <v>7.9996748666473421</v>
      </c>
      <c r="AK185" s="124">
        <f t="shared" si="43"/>
        <v>13.054829013918962</v>
      </c>
      <c r="AL185" s="124">
        <f t="shared" si="44"/>
        <v>26.200302749818238</v>
      </c>
      <c r="AM185" s="124">
        <f t="shared" si="45"/>
        <v>9.4873075524776223</v>
      </c>
      <c r="AN185" s="124">
        <f t="shared" si="46"/>
        <v>4.7389148613774328</v>
      </c>
      <c r="AO185" s="124">
        <f t="shared" si="47"/>
        <v>23.253914181043147</v>
      </c>
      <c r="AP185" s="3">
        <f t="shared" si="32"/>
        <v>93.434510460697297</v>
      </c>
    </row>
    <row r="186" spans="1:42" ht="14">
      <c r="A186">
        <f t="shared" si="38"/>
        <v>28</v>
      </c>
      <c r="B186" s="19">
        <f t="shared" si="38"/>
        <v>108</v>
      </c>
      <c r="C186" s="26">
        <f t="shared" si="30"/>
        <v>116.34237182238667</v>
      </c>
      <c r="D186" s="125">
        <f>(($C$39*$C$118*0.72)*D$40)*('Product half-life and C flows'!B87/100)</f>
        <v>0.57413668267691942</v>
      </c>
      <c r="E186" s="26"/>
      <c r="F186" s="54">
        <f t="shared" si="48"/>
        <v>2.0202077190856054</v>
      </c>
      <c r="G186" s="54">
        <f t="shared" si="48"/>
        <v>0.7542108817919595</v>
      </c>
      <c r="H186" s="125">
        <f>(H$118)*('Product half-life and C flows'!L87/100)</f>
        <v>0.82690010026877914</v>
      </c>
      <c r="I186" s="125">
        <f>(($C$39*$C$118*0.28)*H$41)*('Product half-life and C flows'!N87/100)</f>
        <v>0.76576945711821298</v>
      </c>
      <c r="J186" s="125">
        <f>(($C$39*$C$118*0.28)*H$41)*(+'Product half-life and C flows'!P87/100)</f>
        <v>0.38250222633277359</v>
      </c>
      <c r="K186" s="54">
        <f t="shared" si="49"/>
        <v>1.3434381331919276</v>
      </c>
      <c r="L186" s="26"/>
      <c r="M186" s="83">
        <f>C$158*(0.4*D$14)*('Product half-life and C flows'!B47/100)</f>
        <v>9.7105472297828594</v>
      </c>
      <c r="N186" s="83">
        <f t="shared" si="31"/>
        <v>33.925548553733627</v>
      </c>
      <c r="O186" s="83">
        <f t="shared" si="39"/>
        <v>5.9794671475617367</v>
      </c>
      <c r="P186" s="83">
        <f t="shared" si="39"/>
        <v>12.300618132127003</v>
      </c>
      <c r="Q186" s="83">
        <f>C$158*(0.6*C$15)*('Product half-life and C flows'!L47/100)</f>
        <v>24.972924548825787</v>
      </c>
      <c r="R186" s="83">
        <f>C$158*0.6*('Product half-life and C flows'!N47/100)</f>
        <v>8.9866490807901087</v>
      </c>
      <c r="S186" s="83">
        <f>C$158*0.6*('Product half-life and C flows'!P47/100)</f>
        <v>4.4888357046903637</v>
      </c>
      <c r="T186" s="83">
        <f t="shared" si="36"/>
        <v>21.910476047851219</v>
      </c>
      <c r="U186" s="3"/>
      <c r="V186" s="88"/>
      <c r="W186" s="88"/>
      <c r="X186" s="88"/>
      <c r="Y186" s="88"/>
      <c r="Z186" s="88"/>
      <c r="AA186" s="88"/>
      <c r="AB186" s="88"/>
      <c r="AC186" s="88"/>
      <c r="AE186">
        <f t="shared" si="19"/>
        <v>28</v>
      </c>
      <c r="AF186" s="3">
        <f t="shared" si="33"/>
        <v>12.121946499639455</v>
      </c>
      <c r="AG186" s="113">
        <f t="shared" si="20"/>
        <v>116.34237182238667</v>
      </c>
      <c r="AH186" s="124">
        <f t="shared" si="40"/>
        <v>10.284683912459778</v>
      </c>
      <c r="AI186" s="124">
        <f t="shared" si="41"/>
        <v>33.925548553733627</v>
      </c>
      <c r="AJ186" s="124">
        <f t="shared" si="42"/>
        <v>7.9996748666473421</v>
      </c>
      <c r="AK186" s="124">
        <f t="shared" si="43"/>
        <v>13.054829013918962</v>
      </c>
      <c r="AL186" s="124">
        <f t="shared" si="44"/>
        <v>25.799824649094568</v>
      </c>
      <c r="AM186" s="124">
        <f t="shared" si="45"/>
        <v>9.752418537908321</v>
      </c>
      <c r="AN186" s="124">
        <f t="shared" si="46"/>
        <v>4.8713379310231373</v>
      </c>
      <c r="AO186" s="124">
        <f t="shared" si="47"/>
        <v>23.253914181043147</v>
      </c>
      <c r="AP186" s="3">
        <f t="shared" si="32"/>
        <v>95.403633552325957</v>
      </c>
    </row>
    <row r="187" spans="1:42" ht="14">
      <c r="A187">
        <f t="shared" si="38"/>
        <v>29</v>
      </c>
      <c r="B187" s="19">
        <f t="shared" si="38"/>
        <v>109</v>
      </c>
      <c r="C187" s="26">
        <f t="shared" si="30"/>
        <v>117.24563484721969</v>
      </c>
      <c r="D187" s="125">
        <f>(($C$39*$C$118*0.72)*D$40)*('Product half-life and C flows'!B88/100)</f>
        <v>0.5545794795660326</v>
      </c>
      <c r="E187" s="26"/>
      <c r="F187" s="54">
        <f t="shared" si="48"/>
        <v>2.0202077190856054</v>
      </c>
      <c r="G187" s="54">
        <f t="shared" si="48"/>
        <v>0.7542108817919595</v>
      </c>
      <c r="H187" s="125">
        <f>(H$118)*('Product half-life and C flows'!L88/100)</f>
        <v>0.81426072793762694</v>
      </c>
      <c r="I187" s="125">
        <f>(($C$39*$C$118*0.28)*H$41)*('Product half-life and C flows'!N88/100)</f>
        <v>0.77209546296995457</v>
      </c>
      <c r="J187" s="125">
        <f>(($C$39*$C$118*0.28)*H$41)*(+'Product half-life and C flows'!P88/100)</f>
        <v>0.38566206941556164</v>
      </c>
      <c r="K187" s="54">
        <f t="shared" si="49"/>
        <v>1.3434381331919276</v>
      </c>
      <c r="L187" s="26"/>
      <c r="M187" s="83">
        <f>C$158*(0.4*D$14)*('Product half-life and C flows'!B48/100)</f>
        <v>9.3797703429877863</v>
      </c>
      <c r="N187" s="83">
        <f t="shared" si="31"/>
        <v>35.895169859521509</v>
      </c>
      <c r="O187" s="83">
        <f t="shared" si="39"/>
        <v>5.9794671475617367</v>
      </c>
      <c r="P187" s="83">
        <f t="shared" si="39"/>
        <v>12.300618132127003</v>
      </c>
      <c r="Q187" s="83">
        <f>C$158*(0.6*C$15)*('Product half-life and C flows'!L48/100)</f>
        <v>24.591207227147176</v>
      </c>
      <c r="R187" s="83">
        <f>C$158*0.6*('Product half-life and C flows'!N48/100)</f>
        <v>9.2413817734569701</v>
      </c>
      <c r="S187" s="83">
        <f>C$158*0.6*('Product half-life and C flows'!P48/100)</f>
        <v>4.616074811916568</v>
      </c>
      <c r="T187" s="83">
        <f t="shared" si="36"/>
        <v>21.910476047851219</v>
      </c>
      <c r="U187" s="3"/>
      <c r="V187" s="88"/>
      <c r="W187" s="88"/>
      <c r="X187" s="88"/>
      <c r="Y187" s="88"/>
      <c r="Z187" s="88"/>
      <c r="AA187" s="88"/>
      <c r="AB187" s="88"/>
      <c r="AC187" s="88"/>
      <c r="AE187">
        <f t="shared" si="19"/>
        <v>29</v>
      </c>
      <c r="AF187" s="3">
        <f t="shared" si="33"/>
        <v>12.825712396173001</v>
      </c>
      <c r="AG187" s="113">
        <f t="shared" si="20"/>
        <v>117.24563484721969</v>
      </c>
      <c r="AH187" s="124">
        <f t="shared" si="40"/>
        <v>9.9343498225538198</v>
      </c>
      <c r="AI187" s="124">
        <f t="shared" si="41"/>
        <v>35.895169859521509</v>
      </c>
      <c r="AJ187" s="124">
        <f t="shared" si="42"/>
        <v>7.9996748666473421</v>
      </c>
      <c r="AK187" s="124">
        <f t="shared" si="43"/>
        <v>13.054829013918962</v>
      </c>
      <c r="AL187" s="124">
        <f t="shared" si="44"/>
        <v>25.405467955084802</v>
      </c>
      <c r="AM187" s="124">
        <f t="shared" si="45"/>
        <v>10.013477236426924</v>
      </c>
      <c r="AN187" s="124">
        <f t="shared" si="46"/>
        <v>5.0017368813321292</v>
      </c>
      <c r="AO187" s="124">
        <f t="shared" si="47"/>
        <v>23.253914181043147</v>
      </c>
      <c r="AP187" s="3">
        <f t="shared" si="32"/>
        <v>97.370355812931678</v>
      </c>
    </row>
    <row r="188" spans="1:42" ht="14">
      <c r="A188">
        <f t="shared" si="38"/>
        <v>30</v>
      </c>
      <c r="B188" s="19">
        <f t="shared" si="38"/>
        <v>110</v>
      </c>
      <c r="C188" s="26">
        <f t="shared" si="30"/>
        <v>118.1355375315197</v>
      </c>
      <c r="D188" s="125">
        <f>(($C$39*$C$118*0.72)*D$40)*('Product half-life and C flows'!B89/100)</f>
        <v>0.53568846658906477</v>
      </c>
      <c r="E188" s="26"/>
      <c r="F188" s="54">
        <f t="shared" si="48"/>
        <v>2.0202077190856054</v>
      </c>
      <c r="G188" s="54">
        <f t="shared" si="48"/>
        <v>0.7542108817919595</v>
      </c>
      <c r="H188" s="125">
        <f>(H$118)*('Product half-life and C flows'!L89/100)</f>
        <v>0.80181455153531056</v>
      </c>
      <c r="I188" s="125">
        <f>(($C$39*$C$118*0.28)*H$41)*('Product half-life and C flows'!N89/100)</f>
        <v>0.7783247742593139</v>
      </c>
      <c r="J188" s="125">
        <f>(($C$39*$C$118*0.28)*H$41)*(+'Product half-life and C flows'!P89/100)</f>
        <v>0.38877361351614065</v>
      </c>
      <c r="K188" s="54">
        <f t="shared" si="49"/>
        <v>1.3434381331919276</v>
      </c>
      <c r="L188" s="26"/>
      <c r="M188" s="83">
        <f>C$158*(0.4*D$14)*('Product half-life and C flows'!B49/100)</f>
        <v>9.0602609312637608</v>
      </c>
      <c r="N188" s="83">
        <f t="shared" si="31"/>
        <v>37.85799783686052</v>
      </c>
      <c r="O188" s="83">
        <f t="shared" si="39"/>
        <v>5.9794671475617367</v>
      </c>
      <c r="P188" s="83">
        <f t="shared" si="39"/>
        <v>12.300618132127003</v>
      </c>
      <c r="Q188" s="83">
        <f>C$158*(0.6*C$15)*('Product half-life and C flows'!L49/100)</f>
        <v>24.215324549039632</v>
      </c>
      <c r="R188" s="83">
        <f>C$158*0.6*('Product half-life and C flows'!N49/100)</f>
        <v>9.4922208139807385</v>
      </c>
      <c r="S188" s="83">
        <f>C$158*0.6*('Product half-life and C flows'!P49/100)</f>
        <v>4.741369037952416</v>
      </c>
      <c r="T188" s="83">
        <f t="shared" si="36"/>
        <v>21.910476047851219</v>
      </c>
      <c r="U188" s="3"/>
      <c r="V188" s="88"/>
      <c r="W188" s="88"/>
      <c r="X188" s="88"/>
      <c r="Y188" s="88"/>
      <c r="Z188" s="88"/>
      <c r="AA188" s="88"/>
      <c r="AB188" s="88"/>
      <c r="AC188" s="88"/>
      <c r="AE188">
        <f t="shared" si="19"/>
        <v>30</v>
      </c>
      <c r="AF188" s="3">
        <f t="shared" si="33"/>
        <v>13.527050966767179</v>
      </c>
      <c r="AG188" s="113">
        <f t="shared" si="20"/>
        <v>118.1355375315197</v>
      </c>
      <c r="AH188" s="124">
        <f t="shared" si="40"/>
        <v>9.5959493978528254</v>
      </c>
      <c r="AI188" s="124">
        <f t="shared" si="41"/>
        <v>37.85799783686052</v>
      </c>
      <c r="AJ188" s="124">
        <f t="shared" si="42"/>
        <v>7.9996748666473421</v>
      </c>
      <c r="AK188" s="124">
        <f t="shared" si="43"/>
        <v>13.054829013918962</v>
      </c>
      <c r="AL188" s="124">
        <f t="shared" si="44"/>
        <v>25.017139100574944</v>
      </c>
      <c r="AM188" s="124">
        <f t="shared" si="45"/>
        <v>10.270545588240052</v>
      </c>
      <c r="AN188" s="124">
        <f t="shared" si="46"/>
        <v>5.1301426514685566</v>
      </c>
      <c r="AO188" s="124">
        <f t="shared" si="47"/>
        <v>23.253914181043147</v>
      </c>
      <c r="AP188" s="3">
        <f t="shared" si="32"/>
        <v>99.330329057710372</v>
      </c>
    </row>
    <row r="189" spans="1:42" ht="14">
      <c r="A189">
        <f t="shared" si="38"/>
        <v>31</v>
      </c>
      <c r="B189" s="19">
        <f t="shared" si="38"/>
        <v>111</v>
      </c>
      <c r="C189" s="26">
        <f t="shared" si="30"/>
        <v>119.01217795623283</v>
      </c>
      <c r="D189" s="125">
        <f>(($C$39*$C$118*0.72)*D$40)*('Product half-life and C flows'!B90/100)</f>
        <v>0.5174409508644211</v>
      </c>
      <c r="E189" s="26"/>
      <c r="F189" s="54">
        <f t="shared" si="48"/>
        <v>2.0202077190856054</v>
      </c>
      <c r="G189" s="54">
        <f t="shared" si="48"/>
        <v>0.7542108817919595</v>
      </c>
      <c r="H189" s="125">
        <f>(H$118)*('Product half-life and C flows'!L90/100)</f>
        <v>0.78955861801432536</v>
      </c>
      <c r="I189" s="125">
        <f>(($C$39*$C$118*0.28)*H$41)*('Product half-life and C flows'!N90/100)</f>
        <v>0.78445886898656703</v>
      </c>
      <c r="J189" s="125">
        <f>(($C$39*$C$118*0.28)*H$41)*(+'Product half-life and C flows'!P90/100)</f>
        <v>0.39183759689638703</v>
      </c>
      <c r="K189" s="54">
        <f t="shared" si="49"/>
        <v>1.3434381331919276</v>
      </c>
      <c r="L189" s="26"/>
      <c r="M189" s="83">
        <f>C$158*(0.4*D$14)*('Product half-life and C flows'!B50/100)</f>
        <v>8.751635183046119</v>
      </c>
      <c r="N189" s="83">
        <f t="shared" si="31"/>
        <v>39.810048534318845</v>
      </c>
      <c r="O189" s="83">
        <f t="shared" si="39"/>
        <v>5.9794671475617367</v>
      </c>
      <c r="P189" s="83">
        <f t="shared" si="39"/>
        <v>12.300618132127003</v>
      </c>
      <c r="Q189" s="83">
        <f>C$158*(0.6*C$15)*('Product half-life and C flows'!L50/100)</f>
        <v>23.845187330534632</v>
      </c>
      <c r="R189" s="83">
        <f>C$158*0.6*('Product half-life and C flows'!N50/100)</f>
        <v>9.7392257177964101</v>
      </c>
      <c r="S189" s="83">
        <f>C$158*0.6*('Product half-life and C flows'!P50/100)</f>
        <v>4.8647481107874171</v>
      </c>
      <c r="T189" s="83">
        <f t="shared" si="36"/>
        <v>21.910476047851219</v>
      </c>
      <c r="U189" s="3"/>
      <c r="V189" s="88"/>
      <c r="W189" s="88"/>
      <c r="X189" s="88"/>
      <c r="Y189" s="88"/>
      <c r="Z189" s="88"/>
      <c r="AA189" s="88"/>
      <c r="AB189" s="88"/>
      <c r="AC189" s="88"/>
      <c r="AE189">
        <f t="shared" si="19"/>
        <v>31</v>
      </c>
      <c r="AF189" s="3">
        <f t="shared" si="33"/>
        <v>14.224538704708843</v>
      </c>
      <c r="AG189" s="113">
        <f t="shared" si="20"/>
        <v>119.01217795623283</v>
      </c>
      <c r="AH189" s="124">
        <f t="shared" si="40"/>
        <v>9.2690761339105396</v>
      </c>
      <c r="AI189" s="124">
        <f t="shared" si="41"/>
        <v>39.810048534318845</v>
      </c>
      <c r="AJ189" s="124">
        <f t="shared" si="42"/>
        <v>7.9996748666473421</v>
      </c>
      <c r="AK189" s="124">
        <f t="shared" si="43"/>
        <v>13.054829013918962</v>
      </c>
      <c r="AL189" s="124">
        <f t="shared" si="44"/>
        <v>24.634745948548957</v>
      </c>
      <c r="AM189" s="124">
        <f t="shared" si="45"/>
        <v>10.523684586782977</v>
      </c>
      <c r="AN189" s="124">
        <f t="shared" si="46"/>
        <v>5.2565857076838043</v>
      </c>
      <c r="AO189" s="124">
        <f t="shared" si="47"/>
        <v>23.253914181043147</v>
      </c>
      <c r="AP189" s="3">
        <f t="shared" si="32"/>
        <v>101.27956865790088</v>
      </c>
    </row>
    <row r="190" spans="1:42" ht="14">
      <c r="A190">
        <f t="shared" si="38"/>
        <v>32</v>
      </c>
      <c r="B190" s="19">
        <f t="shared" si="38"/>
        <v>112</v>
      </c>
      <c r="C190" s="26">
        <f t="shared" si="30"/>
        <v>119.8756581485074</v>
      </c>
      <c r="D190" s="125">
        <f>(($C$39*$C$118*0.72)*D$40)*('Product half-life and C flows'!B91/100)</f>
        <v>0.4998150125133603</v>
      </c>
      <c r="E190" s="26"/>
      <c r="F190" s="54">
        <f t="shared" si="48"/>
        <v>2.0202077190856054</v>
      </c>
      <c r="G190" s="54">
        <f t="shared" si="48"/>
        <v>0.7542108817919595</v>
      </c>
      <c r="H190" s="125">
        <f>(H$118)*('Product half-life and C flows'!L91/100)</f>
        <v>0.77749001946522722</v>
      </c>
      <c r="I190" s="125">
        <f>(($C$39*$C$118*0.28)*H$41)*('Product half-life and C flows'!N91/100)</f>
        <v>0.79049920256039063</v>
      </c>
      <c r="J190" s="125">
        <f>(($C$39*$C$118*0.28)*H$41)*(+'Product half-life and C flows'!P91/100)</f>
        <v>0.39485474653366154</v>
      </c>
      <c r="K190" s="54">
        <f t="shared" si="49"/>
        <v>1.3434381331919276</v>
      </c>
      <c r="L190" s="26"/>
      <c r="M190" s="83">
        <f>C$158*(0.4*D$14)*('Product half-life and C flows'!B51/100)</f>
        <v>8.4535223608010863</v>
      </c>
      <c r="N190" s="83">
        <f t="shared" si="31"/>
        <v>41.747689244282668</v>
      </c>
      <c r="O190" s="83">
        <f t="shared" si="39"/>
        <v>5.9794671475617367</v>
      </c>
      <c r="P190" s="83">
        <f t="shared" si="39"/>
        <v>12.300618132127003</v>
      </c>
      <c r="Q190" s="83">
        <f>C$158*(0.6*C$15)*('Product half-life and C flows'!L51/100)</f>
        <v>23.480707750862639</v>
      </c>
      <c r="R190" s="83">
        <f>C$158*0.6*('Product half-life and C flows'!N51/100)</f>
        <v>9.982455090630852</v>
      </c>
      <c r="S190" s="83">
        <f>C$158*0.6*('Product half-life and C flows'!P51/100)</f>
        <v>4.986241304011414</v>
      </c>
      <c r="T190" s="83">
        <f t="shared" si="36"/>
        <v>21.910476047851219</v>
      </c>
      <c r="U190" s="3"/>
      <c r="V190" s="88"/>
      <c r="W190" s="88"/>
      <c r="X190" s="88"/>
      <c r="Y190" s="88"/>
      <c r="Z190" s="88"/>
      <c r="AA190" s="88"/>
      <c r="AB190" s="88"/>
      <c r="AC190" s="88"/>
      <c r="AE190">
        <f t="shared" si="19"/>
        <v>32</v>
      </c>
      <c r="AF190" s="3">
        <f t="shared" si="33"/>
        <v>14.916877606303993</v>
      </c>
      <c r="AG190" s="113">
        <f t="shared" si="20"/>
        <v>119.8756581485074</v>
      </c>
      <c r="AH190" s="124">
        <f t="shared" si="40"/>
        <v>8.9533373733144472</v>
      </c>
      <c r="AI190" s="124">
        <f t="shared" si="41"/>
        <v>41.747689244282668</v>
      </c>
      <c r="AJ190" s="124">
        <f t="shared" si="42"/>
        <v>7.9996748666473421</v>
      </c>
      <c r="AK190" s="124">
        <f t="shared" si="43"/>
        <v>13.054829013918962</v>
      </c>
      <c r="AL190" s="124">
        <f t="shared" si="44"/>
        <v>24.258197770327865</v>
      </c>
      <c r="AM190" s="124">
        <f t="shared" si="45"/>
        <v>10.772954293191242</v>
      </c>
      <c r="AN190" s="124">
        <f t="shared" si="46"/>
        <v>5.3810960505450751</v>
      </c>
      <c r="AO190" s="124">
        <f t="shared" si="47"/>
        <v>23.253914181043147</v>
      </c>
      <c r="AP190" s="3">
        <f t="shared" si="32"/>
        <v>103.21444123891317</v>
      </c>
    </row>
    <row r="191" spans="1:42" ht="14">
      <c r="A191">
        <f t="shared" si="38"/>
        <v>33</v>
      </c>
      <c r="B191" s="19">
        <f t="shared" si="38"/>
        <v>113</v>
      </c>
      <c r="C191" s="26">
        <f t="shared" si="30"/>
        <v>120.72608380988746</v>
      </c>
      <c r="D191" s="125">
        <f>(($C$39*$C$118*0.72)*D$40)*('Product half-life and C flows'!B92/100)</f>
        <v>0.48278947832868097</v>
      </c>
      <c r="E191" s="26"/>
      <c r="F191" s="54">
        <f t="shared" si="48"/>
        <v>2.0202077190856054</v>
      </c>
      <c r="G191" s="54">
        <f t="shared" si="48"/>
        <v>0.7542108817919595</v>
      </c>
      <c r="H191" s="125">
        <f>(H$118)*('Product half-life and C flows'!L92/100)</f>
        <v>0.76560589242668731</v>
      </c>
      <c r="I191" s="125">
        <f>(($C$39*$C$118*0.28)*H$41)*('Product half-life and C flows'!N92/100)</f>
        <v>0.79644720814317982</v>
      </c>
      <c r="J191" s="125">
        <f>(($C$39*$C$118*0.28)*H$41)*(+'Product half-life and C flows'!P92/100)</f>
        <v>0.39782577829329657</v>
      </c>
      <c r="K191" s="54">
        <f t="shared" si="49"/>
        <v>1.3434381331919276</v>
      </c>
      <c r="L191" s="26"/>
      <c r="M191" s="83">
        <f>C$158*(0.4*D$14)*('Product half-life and C flows'!B52/100)</f>
        <v>8.1655643556762953</v>
      </c>
      <c r="N191" s="83">
        <f t="shared" si="31"/>
        <v>43.667624633970696</v>
      </c>
      <c r="O191" s="83">
        <f t="shared" si="39"/>
        <v>5.9794671475617367</v>
      </c>
      <c r="P191" s="83">
        <f t="shared" si="39"/>
        <v>12.300618132127003</v>
      </c>
      <c r="Q191" s="83">
        <f>C$158*(0.6*C$15)*('Product half-life and C flows'!L52/100)</f>
        <v>23.121799331616288</v>
      </c>
      <c r="R191" s="83">
        <f>C$158*0.6*('Product half-life and C flows'!N52/100)</f>
        <v>10.221966642407917</v>
      </c>
      <c r="S191" s="83">
        <f>C$158*0.6*('Product half-life and C flows'!P52/100)</f>
        <v>5.1058774437601979</v>
      </c>
      <c r="T191" s="83">
        <f t="shared" si="36"/>
        <v>21.910476047851219</v>
      </c>
      <c r="U191" s="3"/>
      <c r="V191" s="88"/>
      <c r="W191" s="88"/>
      <c r="X191" s="88"/>
      <c r="Y191" s="88"/>
      <c r="Z191" s="88"/>
      <c r="AA191" s="88"/>
      <c r="AB191" s="88"/>
      <c r="AC191" s="88"/>
      <c r="AE191">
        <f t="shared" si="19"/>
        <v>33</v>
      </c>
      <c r="AF191" s="3">
        <f t="shared" si="33"/>
        <v>15.602890215347021</v>
      </c>
      <c r="AG191" s="113">
        <f t="shared" si="20"/>
        <v>120.72608380988746</v>
      </c>
      <c r="AH191" s="124">
        <f t="shared" si="40"/>
        <v>8.6483538340049755</v>
      </c>
      <c r="AI191" s="124">
        <f t="shared" si="41"/>
        <v>43.667624633970696</v>
      </c>
      <c r="AJ191" s="124">
        <f t="shared" si="42"/>
        <v>7.9996748666473421</v>
      </c>
      <c r="AK191" s="124">
        <f t="shared" si="43"/>
        <v>13.054829013918962</v>
      </c>
      <c r="AL191" s="124">
        <f t="shared" si="44"/>
        <v>23.887405224042976</v>
      </c>
      <c r="AM191" s="124">
        <f t="shared" si="45"/>
        <v>11.018413850551097</v>
      </c>
      <c r="AN191" s="124">
        <f t="shared" si="46"/>
        <v>5.5037032220534945</v>
      </c>
      <c r="AO191" s="124">
        <f t="shared" si="47"/>
        <v>23.253914181043147</v>
      </c>
      <c r="AP191" s="3">
        <f t="shared" si="32"/>
        <v>105.13165081118456</v>
      </c>
    </row>
    <row r="192" spans="1:42" ht="14">
      <c r="A192">
        <f t="shared" ref="A192:B207" si="50">A191+1</f>
        <v>34</v>
      </c>
      <c r="B192" s="19">
        <f t="shared" si="50"/>
        <v>114</v>
      </c>
      <c r="C192" s="26">
        <f t="shared" si="30"/>
        <v>121.56356405531533</v>
      </c>
      <c r="D192" s="125">
        <f>(($C$39*$C$118*0.72)*D$40)*('Product half-life and C flows'!B93/100)</f>
        <v>0.4663438963403474</v>
      </c>
      <c r="E192" s="26"/>
      <c r="F192" s="54">
        <f t="shared" si="48"/>
        <v>2.0202077190856054</v>
      </c>
      <c r="G192" s="54">
        <f t="shared" si="48"/>
        <v>0.7542108817919595</v>
      </c>
      <c r="H192" s="125">
        <f>(H$118)*('Product half-life and C flows'!L93/100)</f>
        <v>0.75390341720609022</v>
      </c>
      <c r="I192" s="125">
        <f>(($C$39*$C$118*0.28)*H$41)*('Product half-life and C flows'!N93/100)</f>
        <v>0.80230429699108863</v>
      </c>
      <c r="J192" s="125">
        <f>(($C$39*$C$118*0.28)*H$41)*(+'Product half-life and C flows'!P93/100)</f>
        <v>0.40075139709844582</v>
      </c>
      <c r="K192" s="54">
        <f t="shared" si="49"/>
        <v>1.3434381331919276</v>
      </c>
      <c r="L192" s="26"/>
      <c r="M192" s="83">
        <f>C$158*(0.4*D$14)*('Product half-life and C flows'!B53/100)</f>
        <v>7.8874152573215319</v>
      </c>
      <c r="N192" s="83">
        <f t="shared" si="31"/>
        <v>45.566881743001851</v>
      </c>
      <c r="O192" s="83">
        <f t="shared" ref="O192:P207" si="51">O191</f>
        <v>5.9794671475617367</v>
      </c>
      <c r="P192" s="83">
        <f t="shared" si="51"/>
        <v>12.300618132127003</v>
      </c>
      <c r="Q192" s="83">
        <f>C$158*(0.6*C$15)*('Product half-life and C flows'!L53/100)</f>
        <v>22.768376916232032</v>
      </c>
      <c r="R192" s="83">
        <f>C$158*0.6*('Product half-life and C flows'!N53/100)</f>
        <v>10.457817200941012</v>
      </c>
      <c r="S192" s="83">
        <f>C$158*0.6*('Product half-life and C flows'!P53/100)</f>
        <v>5.2236849155549505</v>
      </c>
      <c r="T192" s="83">
        <f t="shared" si="36"/>
        <v>21.910476047851219</v>
      </c>
      <c r="U192" s="3"/>
      <c r="V192" s="88"/>
      <c r="W192" s="88"/>
      <c r="X192" s="88"/>
      <c r="Y192" s="88"/>
      <c r="Z192" s="88"/>
      <c r="AA192" s="88"/>
      <c r="AB192" s="88"/>
      <c r="AC192" s="88"/>
      <c r="AE192">
        <f t="shared" si="19"/>
        <v>34</v>
      </c>
      <c r="AF192" s="3">
        <f t="shared" si="33"/>
        <v>16.281514262597739</v>
      </c>
      <c r="AG192" s="113">
        <f t="shared" si="20"/>
        <v>121.56356405531533</v>
      </c>
      <c r="AH192" s="124">
        <f t="shared" si="40"/>
        <v>8.3537591536618798</v>
      </c>
      <c r="AI192" s="124">
        <f t="shared" si="41"/>
        <v>45.566881743001851</v>
      </c>
      <c r="AJ192" s="124">
        <f t="shared" si="42"/>
        <v>7.9996748666473421</v>
      </c>
      <c r="AK192" s="124">
        <f t="shared" si="43"/>
        <v>13.054829013918962</v>
      </c>
      <c r="AL192" s="124">
        <f t="shared" si="44"/>
        <v>23.522280333438122</v>
      </c>
      <c r="AM192" s="124">
        <f t="shared" si="45"/>
        <v>11.260121497932101</v>
      </c>
      <c r="AN192" s="124">
        <f t="shared" si="46"/>
        <v>5.6244363126533967</v>
      </c>
      <c r="AO192" s="124">
        <f t="shared" si="47"/>
        <v>23.253914181043147</v>
      </c>
      <c r="AP192" s="3">
        <f t="shared" si="32"/>
        <v>107.02822376759178</v>
      </c>
    </row>
    <row r="193" spans="1:42" ht="14">
      <c r="A193">
        <f t="shared" si="50"/>
        <v>35</v>
      </c>
      <c r="B193" s="19">
        <f t="shared" si="50"/>
        <v>115</v>
      </c>
      <c r="C193" s="26">
        <f t="shared" si="30"/>
        <v>122.3882111626412</v>
      </c>
      <c r="D193" s="125">
        <f>(($C$39*$C$118*0.72)*D$40)*('Product half-life and C flows'!B94/100)</f>
        <v>0.45045851124750386</v>
      </c>
      <c r="E193" s="26"/>
      <c r="F193" s="54">
        <f t="shared" si="48"/>
        <v>2.0202077190856054</v>
      </c>
      <c r="G193" s="54">
        <f t="shared" si="48"/>
        <v>0.7542108817919595</v>
      </c>
      <c r="H193" s="125">
        <f>(H$118)*('Product half-life and C flows'!L94/100)</f>
        <v>0.74237981721051849</v>
      </c>
      <c r="I193" s="125">
        <f>(($C$39*$C$118*0.28)*H$41)*('Product half-life and C flows'!N94/100)</f>
        <v>0.80807185878887222</v>
      </c>
      <c r="J193" s="125">
        <f>(($C$39*$C$118*0.28)*H$41)*(+'Product half-life and C flows'!P94/100)</f>
        <v>0.40363229709733878</v>
      </c>
      <c r="K193" s="54">
        <f t="shared" si="49"/>
        <v>1.3434381331919276</v>
      </c>
      <c r="L193" s="26"/>
      <c r="M193" s="83">
        <f>C$158*(0.4*D$14)*('Product half-life and C flows'!B54/100)</f>
        <v>7.6187409383629774</v>
      </c>
      <c r="N193" s="83">
        <f t="shared" si="31"/>
        <v>47.44279421141578</v>
      </c>
      <c r="O193" s="83">
        <f t="shared" si="51"/>
        <v>5.9794671475617367</v>
      </c>
      <c r="P193" s="83">
        <f t="shared" si="51"/>
        <v>12.300618132127003</v>
      </c>
      <c r="Q193" s="83">
        <f>C$158*(0.6*C$15)*('Product half-life and C flows'!L54/100)</f>
        <v>22.420356649785429</v>
      </c>
      <c r="R193" s="83">
        <f>C$158*0.6*('Product half-life and C flows'!N54/100)</f>
        <v>10.690062725416377</v>
      </c>
      <c r="S193" s="83">
        <f>C$158*0.6*('Product half-life and C flows'!P54/100)</f>
        <v>5.3396916710371505</v>
      </c>
      <c r="T193" s="83">
        <f t="shared" si="36"/>
        <v>21.910476047851219</v>
      </c>
      <c r="U193" s="3"/>
      <c r="V193" s="88"/>
      <c r="W193" s="88"/>
      <c r="X193" s="88"/>
      <c r="Y193" s="88"/>
      <c r="Z193" s="88"/>
      <c r="AA193" s="88"/>
      <c r="AB193" s="88"/>
      <c r="AC193" s="88"/>
      <c r="AE193">
        <f t="shared" si="19"/>
        <v>35</v>
      </c>
      <c r="AF193" s="3">
        <f t="shared" si="33"/>
        <v>16.951797030291342</v>
      </c>
      <c r="AG193" s="113">
        <f t="shared" si="20"/>
        <v>122.3882111626412</v>
      </c>
      <c r="AH193" s="124">
        <f t="shared" si="40"/>
        <v>8.0691994496104815</v>
      </c>
      <c r="AI193" s="124">
        <f t="shared" si="41"/>
        <v>47.44279421141578</v>
      </c>
      <c r="AJ193" s="124">
        <f t="shared" si="42"/>
        <v>7.9996748666473421</v>
      </c>
      <c r="AK193" s="124">
        <f t="shared" si="43"/>
        <v>13.054829013918962</v>
      </c>
      <c r="AL193" s="124">
        <f t="shared" si="44"/>
        <v>23.162736466995948</v>
      </c>
      <c r="AM193" s="124">
        <f t="shared" si="45"/>
        <v>11.49813458420525</v>
      </c>
      <c r="AN193" s="124">
        <f t="shared" si="46"/>
        <v>5.7433239681344892</v>
      </c>
      <c r="AO193" s="124">
        <f t="shared" si="47"/>
        <v>23.253914181043147</v>
      </c>
      <c r="AP193" s="3">
        <f t="shared" si="32"/>
        <v>108.90149311131778</v>
      </c>
    </row>
    <row r="194" spans="1:42" ht="14">
      <c r="A194">
        <f t="shared" si="50"/>
        <v>36</v>
      </c>
      <c r="B194" s="19">
        <f t="shared" si="50"/>
        <v>116</v>
      </c>
      <c r="C194" s="26">
        <f t="shared" si="30"/>
        <v>123.20014033234281</v>
      </c>
      <c r="D194" s="125">
        <f>(($C$39*$C$118*0.72)*D$40)*('Product half-life and C flows'!B95/100)</f>
        <v>0.43511424068736509</v>
      </c>
      <c r="E194" s="26"/>
      <c r="F194" s="54">
        <f t="shared" si="48"/>
        <v>2.0202077190856054</v>
      </c>
      <c r="G194" s="54">
        <f t="shared" si="48"/>
        <v>0.7542108817919595</v>
      </c>
      <c r="H194" s="125">
        <f>(H$118)*('Product half-life and C flows'!L95/100)</f>
        <v>0.73103235828796398</v>
      </c>
      <c r="I194" s="125">
        <f>(($C$39*$C$118*0.28)*H$41)*('Product half-life and C flows'!N95/100)</f>
        <v>0.81375126197961078</v>
      </c>
      <c r="J194" s="125">
        <f>(($C$39*$C$118*0.28)*H$41)*(+'Product half-life and C flows'!P95/100)</f>
        <v>0.40646916182797738</v>
      </c>
      <c r="K194" s="54">
        <f t="shared" si="49"/>
        <v>1.3434381331919276</v>
      </c>
      <c r="L194" s="26"/>
      <c r="M194" s="83">
        <f>C$158*(0.4*D$14)*('Product half-life and C flows'!B55/100)</f>
        <v>7.3592186530317676</v>
      </c>
      <c r="N194" s="83">
        <f t="shared" si="31"/>
        <v>49.292986041673906</v>
      </c>
      <c r="O194" s="83">
        <f t="shared" si="51"/>
        <v>5.9794671475617367</v>
      </c>
      <c r="P194" s="83">
        <f t="shared" si="51"/>
        <v>12.300618132127003</v>
      </c>
      <c r="Q194" s="83">
        <f>C$158*(0.6*C$15)*('Product half-life and C flows'!L55/100)</f>
        <v>22.077655959095296</v>
      </c>
      <c r="R194" s="83">
        <f>C$158*0.6*('Product half-life and C flows'!N55/100)</f>
        <v>10.91875831967026</v>
      </c>
      <c r="S194" s="83">
        <f>C$158*0.6*('Product half-life and C flows'!P55/100)</f>
        <v>5.4539252346005291</v>
      </c>
      <c r="T194" s="83">
        <f t="shared" si="36"/>
        <v>21.910476047851219</v>
      </c>
      <c r="U194" s="3"/>
      <c r="V194" s="88"/>
      <c r="W194" s="88"/>
      <c r="X194" s="88"/>
      <c r="Y194" s="88"/>
      <c r="Z194" s="88"/>
      <c r="AA194" s="88"/>
      <c r="AB194" s="88"/>
      <c r="AC194" s="88"/>
      <c r="AE194">
        <f t="shared" si="19"/>
        <v>36</v>
      </c>
      <c r="AF194" s="3">
        <f t="shared" si="33"/>
        <v>17.612889550134792</v>
      </c>
      <c r="AG194" s="113">
        <f t="shared" si="20"/>
        <v>123.20014033234281</v>
      </c>
      <c r="AH194" s="124">
        <f t="shared" si="40"/>
        <v>7.7943328937191323</v>
      </c>
      <c r="AI194" s="124">
        <f t="shared" si="41"/>
        <v>49.292986041673906</v>
      </c>
      <c r="AJ194" s="124">
        <f t="shared" si="42"/>
        <v>7.9996748666473421</v>
      </c>
      <c r="AK194" s="124">
        <f t="shared" si="43"/>
        <v>13.054829013918962</v>
      </c>
      <c r="AL194" s="124">
        <f t="shared" si="44"/>
        <v>22.808688317383261</v>
      </c>
      <c r="AM194" s="124">
        <f t="shared" si="45"/>
        <v>11.732509581649872</v>
      </c>
      <c r="AN194" s="124">
        <f t="shared" si="46"/>
        <v>5.8603943964285063</v>
      </c>
      <c r="AO194" s="124">
        <f t="shared" si="47"/>
        <v>23.253914181043147</v>
      </c>
      <c r="AP194" s="3">
        <f t="shared" si="32"/>
        <v>110.74908221770185</v>
      </c>
    </row>
    <row r="195" spans="1:42" ht="14">
      <c r="A195">
        <f t="shared" si="50"/>
        <v>37</v>
      </c>
      <c r="B195" s="19">
        <f t="shared" si="50"/>
        <v>117</v>
      </c>
      <c r="C195" s="26">
        <f t="shared" si="30"/>
        <v>123.99946945715783</v>
      </c>
      <c r="D195" s="125">
        <f>(($C$39*$C$118*0.72)*D$40)*('Product half-life and C flows'!B96/100)</f>
        <v>0.42029265231247509</v>
      </c>
      <c r="E195" s="26"/>
      <c r="F195" s="54">
        <f t="shared" si="48"/>
        <v>2.0202077190856054</v>
      </c>
      <c r="G195" s="54">
        <f t="shared" si="48"/>
        <v>0.7542108817919595</v>
      </c>
      <c r="H195" s="125">
        <f>(H$118)*('Product half-life and C flows'!L96/100)</f>
        <v>0.71985834807860705</v>
      </c>
      <c r="I195" s="125">
        <f>(($C$39*$C$118*0.28)*H$41)*('Product half-life and C flows'!N96/100)</f>
        <v>0.81934385408939392</v>
      </c>
      <c r="J195" s="125">
        <f>(($C$39*$C$118*0.28)*H$41)*(+'Product half-life and C flows'!P96/100)</f>
        <v>0.40926266438031667</v>
      </c>
      <c r="K195" s="54">
        <f t="shared" si="49"/>
        <v>1.3434381331919276</v>
      </c>
      <c r="L195" s="26"/>
      <c r="M195" s="83">
        <f>C$158*(0.4*D$14)*('Product half-life and C flows'!B56/100)</f>
        <v>7.1085366494647513</v>
      </c>
      <c r="N195" s="83">
        <f t="shared" si="31"/>
        <v>51.115355146144822</v>
      </c>
      <c r="O195" s="83">
        <f t="shared" si="51"/>
        <v>5.9794671475617367</v>
      </c>
      <c r="P195" s="83">
        <f t="shared" si="51"/>
        <v>12.300618132127003</v>
      </c>
      <c r="Q195" s="83">
        <f>C$158*(0.6*C$15)*('Product half-life and C flows'!L56/100)</f>
        <v>21.740193533131897</v>
      </c>
      <c r="R195" s="83">
        <f>C$158*0.6*('Product half-life and C flows'!N56/100)</f>
        <v>11.143958245263169</v>
      </c>
      <c r="S195" s="83">
        <f>C$158*0.6*('Product half-life and C flows'!P56/100)</f>
        <v>5.5664127099216616</v>
      </c>
      <c r="T195" s="83">
        <f t="shared" si="36"/>
        <v>21.910476047851219</v>
      </c>
      <c r="U195" s="3"/>
      <c r="V195" s="88"/>
      <c r="W195" s="88"/>
      <c r="X195" s="88"/>
      <c r="Y195" s="88"/>
      <c r="Z195" s="88"/>
      <c r="AA195" s="88"/>
      <c r="AB195" s="88"/>
      <c r="AC195" s="88"/>
      <c r="AE195">
        <f t="shared" si="19"/>
        <v>37</v>
      </c>
      <c r="AF195" s="3">
        <f t="shared" si="33"/>
        <v>18.264040724654595</v>
      </c>
      <c r="AG195" s="113">
        <f t="shared" si="20"/>
        <v>123.99946945715783</v>
      </c>
      <c r="AH195" s="124">
        <f t="shared" si="40"/>
        <v>7.5288293017772263</v>
      </c>
      <c r="AI195" s="124">
        <f t="shared" si="41"/>
        <v>51.115355146144822</v>
      </c>
      <c r="AJ195" s="124">
        <f t="shared" si="42"/>
        <v>7.9996748666473421</v>
      </c>
      <c r="AK195" s="124">
        <f t="shared" si="43"/>
        <v>13.054829013918962</v>
      </c>
      <c r="AL195" s="124">
        <f t="shared" si="44"/>
        <v>22.460051881210504</v>
      </c>
      <c r="AM195" s="124">
        <f t="shared" si="45"/>
        <v>11.963302099352564</v>
      </c>
      <c r="AN195" s="124">
        <f t="shared" si="46"/>
        <v>5.9756753743019786</v>
      </c>
      <c r="AO195" s="124">
        <f t="shared" si="47"/>
        <v>23.253914181043147</v>
      </c>
      <c r="AP195" s="3">
        <f t="shared" si="32"/>
        <v>112.56888838157616</v>
      </c>
    </row>
    <row r="196" spans="1:42" ht="14">
      <c r="A196">
        <f t="shared" si="50"/>
        <v>38</v>
      </c>
      <c r="B196" s="19">
        <f t="shared" si="50"/>
        <v>118</v>
      </c>
      <c r="C196" s="26">
        <f t="shared" si="30"/>
        <v>124.78631890133678</v>
      </c>
      <c r="D196" s="125">
        <f>(($C$39*$C$118*0.72)*D$40)*('Product half-life and C flows'!B97/100)</f>
        <v>0.40597594164879874</v>
      </c>
      <c r="E196" s="26"/>
      <c r="F196" s="54">
        <f t="shared" si="48"/>
        <v>2.0202077190856054</v>
      </c>
      <c r="G196" s="54">
        <f t="shared" si="48"/>
        <v>0.7542108817919595</v>
      </c>
      <c r="H196" s="125">
        <f>(H$118)*('Product half-life and C flows'!L97/100)</f>
        <v>0.7088551353760133</v>
      </c>
      <c r="I196" s="125">
        <f>(($C$39*$C$118*0.28)*H$41)*('Product half-life and C flows'!N97/100)</f>
        <v>0.824850962047042</v>
      </c>
      <c r="J196" s="125">
        <f>(($C$39*$C$118*0.28)*H$41)*(+'Product half-life and C flows'!P97/100)</f>
        <v>0.41201346755596507</v>
      </c>
      <c r="K196" s="54">
        <f t="shared" si="49"/>
        <v>1.3434381331919276</v>
      </c>
      <c r="L196" s="26"/>
      <c r="M196" s="83">
        <f>C$158*(0.4*D$14)*('Product half-life and C flows'!B57/100)</f>
        <v>6.8663937952117031</v>
      </c>
      <c r="N196" s="83">
        <f t="shared" si="31"/>
        <v>52.908056886839212</v>
      </c>
      <c r="O196" s="83">
        <f t="shared" si="51"/>
        <v>5.9794671475617367</v>
      </c>
      <c r="P196" s="83">
        <f t="shared" si="51"/>
        <v>12.300618132127003</v>
      </c>
      <c r="Q196" s="83">
        <f>C$158*(0.6*C$15)*('Product half-life and C flows'!L57/100)</f>
        <v>21.407889303724694</v>
      </c>
      <c r="R196" s="83">
        <f>C$158*0.6*('Product half-life and C flows'!N57/100)</f>
        <v>11.365715934354242</v>
      </c>
      <c r="S196" s="83">
        <f>C$158*0.6*('Product half-life and C flows'!P57/100)</f>
        <v>5.6771807863907293</v>
      </c>
      <c r="T196" s="83">
        <f t="shared" si="36"/>
        <v>21.910476047851219</v>
      </c>
      <c r="U196" s="3"/>
      <c r="V196" s="88"/>
      <c r="W196" s="88"/>
      <c r="X196" s="88"/>
      <c r="Y196" s="88"/>
      <c r="Z196" s="88"/>
      <c r="AA196" s="88"/>
      <c r="AB196" s="88"/>
      <c r="AC196" s="88"/>
      <c r="AE196">
        <f t="shared" si="19"/>
        <v>38</v>
      </c>
      <c r="AF196" s="3">
        <f t="shared" si="33"/>
        <v>18.90459144577525</v>
      </c>
      <c r="AG196" s="113">
        <f t="shared" si="20"/>
        <v>124.78631890133678</v>
      </c>
      <c r="AH196" s="124">
        <f t="shared" si="40"/>
        <v>7.2723697368605018</v>
      </c>
      <c r="AI196" s="124">
        <f t="shared" si="41"/>
        <v>52.908056886839212</v>
      </c>
      <c r="AJ196" s="124">
        <f t="shared" si="42"/>
        <v>7.9996748666473421</v>
      </c>
      <c r="AK196" s="124">
        <f t="shared" si="43"/>
        <v>13.054829013918962</v>
      </c>
      <c r="AL196" s="124">
        <f t="shared" si="44"/>
        <v>22.116744439100707</v>
      </c>
      <c r="AM196" s="124">
        <f t="shared" si="45"/>
        <v>12.190566896401284</v>
      </c>
      <c r="AN196" s="124">
        <f t="shared" si="46"/>
        <v>6.0891942539466948</v>
      </c>
      <c r="AO196" s="124">
        <f t="shared" si="47"/>
        <v>23.253914181043147</v>
      </c>
      <c r="AP196" s="3">
        <f t="shared" si="32"/>
        <v>114.35906635685419</v>
      </c>
    </row>
    <row r="197" spans="1:42" ht="14">
      <c r="A197">
        <f t="shared" si="50"/>
        <v>39</v>
      </c>
      <c r="B197" s="19">
        <f t="shared" si="50"/>
        <v>119</v>
      </c>
      <c r="C197" s="26">
        <f t="shared" si="30"/>
        <v>125.56081128922662</v>
      </c>
      <c r="D197" s="125">
        <f>(($C$39*$C$118*0.72)*D$40)*('Product half-life and C flows'!B98/100)</f>
        <v>0.39214691070804797</v>
      </c>
      <c r="E197" s="26"/>
      <c r="F197" s="54">
        <f t="shared" si="48"/>
        <v>2.0202077190856054</v>
      </c>
      <c r="G197" s="54">
        <f t="shared" si="48"/>
        <v>0.7542108817919595</v>
      </c>
      <c r="H197" s="125">
        <f>(H$118)*('Product half-life and C flows'!L98/100)</f>
        <v>0.69802010949809379</v>
      </c>
      <c r="I197" s="125">
        <f>(($C$39*$C$118*0.28)*H$41)*('Product half-life and C flows'!N98/100)</f>
        <v>0.83027389249894068</v>
      </c>
      <c r="J197" s="125">
        <f>(($C$39*$C$118*0.28)*H$41)*(+'Product half-life and C flows'!P98/100)</f>
        <v>0.41472222402544495</v>
      </c>
      <c r="K197" s="54">
        <f t="shared" si="49"/>
        <v>1.3434381331919276</v>
      </c>
      <c r="L197" s="26"/>
      <c r="M197" s="83">
        <f>C$158*(0.4*D$14)*('Product half-life and C flows'!B58/100)</f>
        <v>6.6324992154991316</v>
      </c>
      <c r="N197" s="83">
        <f t="shared" si="31"/>
        <v>54.669487775772701</v>
      </c>
      <c r="O197" s="83">
        <f t="shared" si="51"/>
        <v>5.9794671475617367</v>
      </c>
      <c r="P197" s="83">
        <f t="shared" si="51"/>
        <v>12.300618132127003</v>
      </c>
      <c r="Q197" s="83">
        <f>C$158*(0.6*C$15)*('Product half-life and C flows'!L58/100)</f>
        <v>21.080664426564915</v>
      </c>
      <c r="R197" s="83">
        <f>C$158*0.6*('Product half-life and C flows'!N58/100)</f>
        <v>11.584084002378869</v>
      </c>
      <c r="S197" s="83">
        <f>C$158*0.6*('Product half-life and C flows'!P58/100)</f>
        <v>5.7862557454439889</v>
      </c>
      <c r="T197" s="83">
        <f t="shared" si="36"/>
        <v>21.910476047851219</v>
      </c>
      <c r="U197" s="3"/>
      <c r="V197" s="88"/>
      <c r="W197" s="88"/>
      <c r="X197" s="88"/>
      <c r="Y197" s="88"/>
      <c r="Z197" s="88"/>
      <c r="AA197" s="88"/>
      <c r="AB197" s="88"/>
      <c r="AC197" s="88"/>
      <c r="AE197">
        <f t="shared" si="19"/>
        <v>39</v>
      </c>
      <c r="AF197" s="3">
        <f t="shared" si="33"/>
        <v>19.533968770791688</v>
      </c>
      <c r="AG197" s="113">
        <f t="shared" si="20"/>
        <v>125.56081128922662</v>
      </c>
      <c r="AH197" s="124">
        <f t="shared" si="40"/>
        <v>7.0246461262071795</v>
      </c>
      <c r="AI197" s="124">
        <f t="shared" si="41"/>
        <v>54.669487775772701</v>
      </c>
      <c r="AJ197" s="124">
        <f t="shared" si="42"/>
        <v>7.9996748666473421</v>
      </c>
      <c r="AK197" s="124">
        <f t="shared" si="43"/>
        <v>13.054829013918962</v>
      </c>
      <c r="AL197" s="124">
        <f t="shared" si="44"/>
        <v>21.778684536063011</v>
      </c>
      <c r="AM197" s="124">
        <f t="shared" si="45"/>
        <v>12.41435789487781</v>
      </c>
      <c r="AN197" s="124">
        <f t="shared" si="46"/>
        <v>6.2009779694694336</v>
      </c>
      <c r="AO197" s="124">
        <f t="shared" si="47"/>
        <v>23.253914181043147</v>
      </c>
      <c r="AP197" s="3">
        <f t="shared" si="32"/>
        <v>116.11801205674925</v>
      </c>
    </row>
    <row r="198" spans="1:42" ht="14">
      <c r="A198">
        <f t="shared" si="50"/>
        <v>40</v>
      </c>
      <c r="B198" s="19">
        <f t="shared" si="50"/>
        <v>120</v>
      </c>
      <c r="C198" s="26">
        <f t="shared" si="30"/>
        <v>126.32307130289904</v>
      </c>
      <c r="D198" s="125">
        <f>(($C$39*$C$118*0.72)*D$40)*('Product half-life and C flows'!B99/100)</f>
        <v>0.37878894732855101</v>
      </c>
      <c r="E198" s="26"/>
      <c r="F198" s="54">
        <f t="shared" si="48"/>
        <v>2.0202077190856054</v>
      </c>
      <c r="G198" s="54">
        <f t="shared" si="48"/>
        <v>0.7542108817919595</v>
      </c>
      <c r="H198" s="125">
        <f>(H$118)*('Product half-life and C flows'!L99/100)</f>
        <v>0.68735069966768003</v>
      </c>
      <c r="I198" s="125">
        <f>(($C$39*$C$118*0.28)*H$41)*('Product half-life and C flows'!N99/100)</f>
        <v>0.83561393211906287</v>
      </c>
      <c r="J198" s="125">
        <f>(($C$39*$C$118*0.28)*H$41)*(+'Product half-life and C flows'!P99/100)</f>
        <v>0.41738957648304836</v>
      </c>
      <c r="K198" s="54">
        <f t="shared" si="49"/>
        <v>1.3434381331919276</v>
      </c>
      <c r="L198" s="26"/>
      <c r="M198" s="83">
        <f>C$158*(0.4*D$14)*('Product half-life and C flows'!B59/100)</f>
        <v>6.4065719438161484</v>
      </c>
      <c r="N198" s="83">
        <f t="shared" si="31"/>
        <v>56.398269471480361</v>
      </c>
      <c r="O198" s="83">
        <f t="shared" si="51"/>
        <v>5.9794671475617367</v>
      </c>
      <c r="P198" s="83">
        <f t="shared" si="51"/>
        <v>12.300618132127003</v>
      </c>
      <c r="Q198" s="83">
        <f>C$158*(0.6*C$15)*('Product half-life and C flows'!L59/100)</f>
        <v>20.758441262498526</v>
      </c>
      <c r="R198" s="83">
        <f>C$158*0.6*('Product half-life and C flows'!N59/100)</f>
        <v>11.799114260532507</v>
      </c>
      <c r="S198" s="83">
        <f>C$158*0.6*('Product half-life and C flows'!P59/100)</f>
        <v>5.8936634667994516</v>
      </c>
      <c r="T198" s="83">
        <f t="shared" si="36"/>
        <v>21.910476047851219</v>
      </c>
      <c r="U198" s="3"/>
      <c r="V198" s="88"/>
      <c r="W198" s="88"/>
      <c r="X198" s="88"/>
      <c r="Y198" s="88"/>
      <c r="Z198" s="88"/>
      <c r="AA198" s="88"/>
      <c r="AB198" s="88"/>
      <c r="AC198" s="88"/>
      <c r="AE198">
        <f t="shared" si="19"/>
        <v>40</v>
      </c>
      <c r="AF198" s="3">
        <f t="shared" si="33"/>
        <v>20.151680204159739</v>
      </c>
      <c r="AG198" s="113">
        <f t="shared" si="20"/>
        <v>126.32307130289904</v>
      </c>
      <c r="AH198" s="124">
        <f t="shared" si="40"/>
        <v>6.7853608911446992</v>
      </c>
      <c r="AI198" s="124">
        <f t="shared" si="41"/>
        <v>56.398269471480361</v>
      </c>
      <c r="AJ198" s="124">
        <f t="shared" si="42"/>
        <v>7.9996748666473421</v>
      </c>
      <c r="AK198" s="124">
        <f t="shared" si="43"/>
        <v>13.054829013918962</v>
      </c>
      <c r="AL198" s="124">
        <f t="shared" si="44"/>
        <v>21.445791962166204</v>
      </c>
      <c r="AM198" s="124">
        <f t="shared" si="45"/>
        <v>12.63472819265157</v>
      </c>
      <c r="AN198" s="124">
        <f t="shared" si="46"/>
        <v>6.3110530432824996</v>
      </c>
      <c r="AO198" s="124">
        <f t="shared" si="47"/>
        <v>23.253914181043147</v>
      </c>
      <c r="AP198" s="3">
        <f t="shared" si="32"/>
        <v>117.84434655014694</v>
      </c>
    </row>
    <row r="199" spans="1:42" ht="14">
      <c r="A199">
        <f t="shared" si="50"/>
        <v>41</v>
      </c>
      <c r="B199" s="19">
        <f t="shared" si="50"/>
        <v>121</v>
      </c>
      <c r="C199" s="26">
        <f t="shared" si="30"/>
        <v>127.07322548854273</v>
      </c>
      <c r="D199" s="125">
        <f>(($C$39*$C$118*0.72)*D$40)*('Product half-life and C flows'!B100/100)</f>
        <v>0.36588600521984727</v>
      </c>
      <c r="E199" s="26"/>
      <c r="F199" s="54">
        <f t="shared" si="48"/>
        <v>2.0202077190856054</v>
      </c>
      <c r="G199" s="54">
        <f t="shared" si="48"/>
        <v>0.7542108817919595</v>
      </c>
      <c r="H199" s="125">
        <f>(H$118)*('Product half-life and C flows'!L100/100)</f>
        <v>0.67684437440256806</v>
      </c>
      <c r="I199" s="125">
        <f>(($C$39*$C$118*0.28)*H$41)*('Product half-life and C flows'!N100/100)</f>
        <v>0.84087234791425125</v>
      </c>
      <c r="J199" s="125">
        <f>(($C$39*$C$118*0.28)*H$41)*(+'Product half-life and C flows'!P100/100)</f>
        <v>0.42001615779932633</v>
      </c>
      <c r="K199" s="54">
        <f t="shared" si="49"/>
        <v>1.3434381331919276</v>
      </c>
      <c r="L199" s="26"/>
      <c r="M199" s="83">
        <f>C$158*(0.4*D$14)*('Product half-life and C flows'!B60/100)</f>
        <v>6.1883405844026838</v>
      </c>
      <c r="N199" s="83">
        <f t="shared" si="31"/>
        <v>58.093233179167008</v>
      </c>
      <c r="O199" s="83">
        <f t="shared" si="51"/>
        <v>5.9794671475617367</v>
      </c>
      <c r="P199" s="83">
        <f t="shared" si="51"/>
        <v>12.300618132127003</v>
      </c>
      <c r="Q199" s="83">
        <f>C$158*(0.6*C$15)*('Product half-life and C flows'!L60/100)</f>
        <v>20.441143359105141</v>
      </c>
      <c r="R199" s="83">
        <f>C$158*0.6*('Product half-life and C flows'!N60/100)</f>
        <v>12.010857728063694</v>
      </c>
      <c r="S199" s="83">
        <f>C$158*0.6*('Product half-life and C flows'!P60/100)</f>
        <v>5.9994294345972472</v>
      </c>
      <c r="T199" s="83">
        <f t="shared" si="36"/>
        <v>21.910476047851219</v>
      </c>
      <c r="U199" s="3"/>
      <c r="V199" s="88"/>
      <c r="W199" s="88"/>
      <c r="X199" s="88"/>
      <c r="Y199" s="88"/>
      <c r="Z199" s="88"/>
      <c r="AA199" s="88"/>
      <c r="AB199" s="88"/>
      <c r="AC199" s="88"/>
      <c r="AE199">
        <f t="shared" si="19"/>
        <v>41</v>
      </c>
      <c r="AF199" s="3">
        <f t="shared" si="33"/>
        <v>20.757308123509826</v>
      </c>
      <c r="AG199" s="113">
        <f t="shared" si="20"/>
        <v>127.07322548854273</v>
      </c>
      <c r="AH199" s="124">
        <f t="shared" si="40"/>
        <v>6.5542265896225311</v>
      </c>
      <c r="AI199" s="124">
        <f t="shared" si="41"/>
        <v>58.093233179167008</v>
      </c>
      <c r="AJ199" s="124">
        <f t="shared" si="42"/>
        <v>7.9996748666473421</v>
      </c>
      <c r="AK199" s="124">
        <f t="shared" si="43"/>
        <v>13.054829013918962</v>
      </c>
      <c r="AL199" s="124">
        <f t="shared" si="44"/>
        <v>21.117987733507707</v>
      </c>
      <c r="AM199" s="124">
        <f t="shared" si="45"/>
        <v>12.851730075977946</v>
      </c>
      <c r="AN199" s="124">
        <f t="shared" si="46"/>
        <v>6.4194455923965732</v>
      </c>
      <c r="AO199" s="124">
        <f t="shared" si="47"/>
        <v>23.253914181043147</v>
      </c>
      <c r="AP199" s="3">
        <f t="shared" si="32"/>
        <v>119.53690046161553</v>
      </c>
    </row>
    <row r="200" spans="1:42" ht="14">
      <c r="A200">
        <f t="shared" si="50"/>
        <v>42</v>
      </c>
      <c r="B200" s="19">
        <f t="shared" si="50"/>
        <v>122</v>
      </c>
      <c r="C200" s="26">
        <f t="shared" si="30"/>
        <v>127.81140207134142</v>
      </c>
      <c r="D200" s="125">
        <f>(($C$39*$C$118*0.72)*D$40)*('Product half-life and C flows'!B101/100)</f>
        <v>0.3534225846870363</v>
      </c>
      <c r="E200" s="26"/>
      <c r="F200" s="54">
        <f t="shared" ref="F200:G215" si="52">F199</f>
        <v>2.0202077190856054</v>
      </c>
      <c r="G200" s="54">
        <f t="shared" si="52"/>
        <v>0.7542108817919595</v>
      </c>
      <c r="H200" s="125">
        <f>(H$118)*('Product half-life and C flows'!L101/100)</f>
        <v>0.66649864091488453</v>
      </c>
      <c r="I200" s="125">
        <f>(($C$39*$C$118*0.28)*H$41)*('Product half-life and C flows'!N101/100)</f>
        <v>0.84605038752483686</v>
      </c>
      <c r="J200" s="125">
        <f>(($C$39*$C$118*0.28)*H$41)*(+'Product half-life and C flows'!P101/100)</f>
        <v>0.42260259117124727</v>
      </c>
      <c r="K200" s="54">
        <f t="shared" si="49"/>
        <v>1.3434381331919276</v>
      </c>
      <c r="L200" s="26"/>
      <c r="M200" s="83">
        <f>C$158*(0.4*D$14)*('Product half-life and C flows'!B61/100)</f>
        <v>5.9775429862345604</v>
      </c>
      <c r="N200" s="83">
        <f t="shared" si="31"/>
        <v>59.753404538120442</v>
      </c>
      <c r="O200" s="83">
        <f t="shared" si="51"/>
        <v>5.9794671475617367</v>
      </c>
      <c r="P200" s="83">
        <f t="shared" si="51"/>
        <v>12.300618132127003</v>
      </c>
      <c r="Q200" s="83">
        <f>C$158*(0.6*C$15)*('Product half-life and C flows'!L61/100)</f>
        <v>20.128695432558505</v>
      </c>
      <c r="R200" s="83">
        <f>C$158*0.6*('Product half-life and C flows'!N61/100)</f>
        <v>12.219364644379148</v>
      </c>
      <c r="S200" s="83">
        <f>C$158*0.6*('Product half-life and C flows'!P61/100)</f>
        <v>6.1035787434461257</v>
      </c>
      <c r="T200" s="83">
        <f t="shared" si="36"/>
        <v>21.910476047851219</v>
      </c>
      <c r="U200" s="3"/>
      <c r="V200" s="88"/>
      <c r="W200" s="88"/>
      <c r="X200" s="88"/>
      <c r="Y200" s="88"/>
      <c r="Z200" s="88"/>
      <c r="AA200" s="88"/>
      <c r="AB200" s="88"/>
      <c r="AC200" s="88"/>
      <c r="AE200">
        <f t="shared" si="19"/>
        <v>42</v>
      </c>
      <c r="AF200" s="3">
        <f t="shared" si="33"/>
        <v>21.350504379764686</v>
      </c>
      <c r="AG200" s="113">
        <f t="shared" si="20"/>
        <v>127.81140207134142</v>
      </c>
      <c r="AH200" s="124">
        <f t="shared" si="40"/>
        <v>6.3309655709215971</v>
      </c>
      <c r="AI200" s="124">
        <f t="shared" si="41"/>
        <v>59.753404538120442</v>
      </c>
      <c r="AJ200" s="124">
        <f t="shared" si="42"/>
        <v>7.9996748666473421</v>
      </c>
      <c r="AK200" s="124">
        <f t="shared" si="43"/>
        <v>13.054829013918962</v>
      </c>
      <c r="AL200" s="124">
        <f t="shared" si="44"/>
        <v>20.79519407347339</v>
      </c>
      <c r="AM200" s="124">
        <f t="shared" si="45"/>
        <v>13.065415031903985</v>
      </c>
      <c r="AN200" s="124">
        <f t="shared" si="46"/>
        <v>6.5261813346173732</v>
      </c>
      <c r="AO200" s="124">
        <f t="shared" si="47"/>
        <v>23.253914181043147</v>
      </c>
      <c r="AP200" s="3">
        <f t="shared" si="32"/>
        <v>121.19469885868149</v>
      </c>
    </row>
    <row r="201" spans="1:42" ht="14">
      <c r="A201">
        <f t="shared" si="50"/>
        <v>43</v>
      </c>
      <c r="B201" s="19">
        <f t="shared" si="50"/>
        <v>123</v>
      </c>
      <c r="C201" s="26">
        <f t="shared" si="30"/>
        <v>128.53773077856621</v>
      </c>
      <c r="D201" s="125">
        <f>(($C$39*$C$118*0.72)*D$40)*('Product half-life and C flows'!B102/100)</f>
        <v>0.34138371401172585</v>
      </c>
      <c r="E201" s="26"/>
      <c r="F201" s="54">
        <f t="shared" si="52"/>
        <v>2.0202077190856054</v>
      </c>
      <c r="G201" s="54">
        <f t="shared" si="52"/>
        <v>0.7542108817919595</v>
      </c>
      <c r="H201" s="125">
        <f>(H$118)*('Product half-life and C flows'!L102/100)</f>
        <v>0.65631104451963462</v>
      </c>
      <c r="I201" s="125">
        <f>(($C$39*$C$118*0.28)*H$41)*('Product half-life and C flows'!N102/100)</f>
        <v>0.85114927952065955</v>
      </c>
      <c r="J201" s="125">
        <f>(($C$39*$C$118*0.28)*H$41)*(+'Product half-life and C flows'!P102/100)</f>
        <v>0.42514949027005966</v>
      </c>
      <c r="K201" s="54">
        <f t="shared" si="49"/>
        <v>1.3434381331919276</v>
      </c>
      <c r="L201" s="26"/>
      <c r="M201" s="83">
        <f>C$158*(0.4*D$14)*('Product half-life and C flows'!B62/100)</f>
        <v>5.7739259281138704</v>
      </c>
      <c r="N201" s="83">
        <f t="shared" si="31"/>
        <v>61.377989059788973</v>
      </c>
      <c r="O201" s="83">
        <f t="shared" si="51"/>
        <v>5.9794671475617367</v>
      </c>
      <c r="P201" s="83">
        <f t="shared" si="51"/>
        <v>12.300618132127003</v>
      </c>
      <c r="Q201" s="83">
        <f>C$158*(0.6*C$15)*('Product half-life and C flows'!L62/100)</f>
        <v>19.821023349764264</v>
      </c>
      <c r="R201" s="83">
        <f>C$158*0.6*('Product half-life and C flows'!N62/100)</f>
        <v>12.424684480963839</v>
      </c>
      <c r="S201" s="83">
        <f>C$158*0.6*('Product half-life and C flows'!P62/100)</f>
        <v>6.2061361043775394</v>
      </c>
      <c r="T201" s="83">
        <f t="shared" si="36"/>
        <v>21.910476047851219</v>
      </c>
      <c r="U201" s="3"/>
      <c r="V201" s="88"/>
      <c r="W201" s="88"/>
      <c r="X201" s="88"/>
      <c r="Y201" s="88"/>
      <c r="Z201" s="88"/>
      <c r="AA201" s="88"/>
      <c r="AB201" s="88"/>
      <c r="AC201" s="88"/>
      <c r="AE201">
        <f t="shared" si="19"/>
        <v>43</v>
      </c>
      <c r="AF201" s="3">
        <f t="shared" si="33"/>
        <v>21.930985094015096</v>
      </c>
      <c r="AG201" s="113">
        <f t="shared" si="20"/>
        <v>128.53773077856621</v>
      </c>
      <c r="AH201" s="124">
        <f t="shared" si="40"/>
        <v>6.1153096421255961</v>
      </c>
      <c r="AI201" s="124">
        <f t="shared" si="41"/>
        <v>61.377989059788973</v>
      </c>
      <c r="AJ201" s="124">
        <f t="shared" si="42"/>
        <v>7.9996748666473421</v>
      </c>
      <c r="AK201" s="124">
        <f t="shared" si="43"/>
        <v>13.054829013918962</v>
      </c>
      <c r="AL201" s="124">
        <f t="shared" si="44"/>
        <v>20.477334394283897</v>
      </c>
      <c r="AM201" s="124">
        <f t="shared" si="45"/>
        <v>13.275833760484499</v>
      </c>
      <c r="AN201" s="124">
        <f t="shared" si="46"/>
        <v>6.6312855946475988</v>
      </c>
      <c r="AO201" s="124">
        <f t="shared" si="47"/>
        <v>23.253914181043147</v>
      </c>
      <c r="AP201" s="3">
        <f t="shared" si="32"/>
        <v>122.81694668977127</v>
      </c>
    </row>
    <row r="202" spans="1:42" ht="14">
      <c r="A202">
        <f t="shared" si="50"/>
        <v>44</v>
      </c>
      <c r="B202" s="19">
        <f t="shared" si="50"/>
        <v>124</v>
      </c>
      <c r="C202" s="26">
        <f t="shared" si="30"/>
        <v>129.2523426706143</v>
      </c>
      <c r="D202" s="125">
        <f>(($C$39*$C$118*0.72)*D$40)*('Product half-life and C flows'!B103/100)</f>
        <v>0.32975493146721602</v>
      </c>
      <c r="E202" s="26"/>
      <c r="F202" s="54">
        <f t="shared" si="52"/>
        <v>2.0202077190856054</v>
      </c>
      <c r="G202" s="54">
        <f t="shared" si="52"/>
        <v>0.7542108817919595</v>
      </c>
      <c r="H202" s="125">
        <f>(H$118)*('Product half-life and C flows'!L103/100)</f>
        <v>0.64627916805229046</v>
      </c>
      <c r="I202" s="125">
        <f>(($C$39*$C$118*0.28)*H$41)*('Product half-life and C flows'!N103/100)</f>
        <v>0.8561702336925654</v>
      </c>
      <c r="J202" s="125">
        <f>(($C$39*$C$118*0.28)*H$41)*(+'Product half-life and C flows'!P103/100)</f>
        <v>0.42765745938689576</v>
      </c>
      <c r="K202" s="54">
        <f t="shared" si="49"/>
        <v>1.3434381331919276</v>
      </c>
      <c r="L202" s="26"/>
      <c r="M202" s="83">
        <f>C$158*(0.4*D$14)*('Product half-life and C flows'!B63/100)</f>
        <v>5.5772448144862929</v>
      </c>
      <c r="N202" s="83">
        <f t="shared" si="31"/>
        <v>62.966358162848096</v>
      </c>
      <c r="O202" s="83">
        <f t="shared" si="51"/>
        <v>5.9794671475617367</v>
      </c>
      <c r="P202" s="83">
        <f t="shared" si="51"/>
        <v>12.300618132127003</v>
      </c>
      <c r="Q202" s="83">
        <f>C$158*(0.6*C$15)*('Product half-life and C flows'!L63/100)</f>
        <v>19.518054110770713</v>
      </c>
      <c r="R202" s="83">
        <f>C$158*0.6*('Product half-life and C flows'!N63/100)</f>
        <v>12.626865953118871</v>
      </c>
      <c r="S202" s="83">
        <f>C$158*0.6*('Product half-life and C flows'!P63/100)</f>
        <v>6.307125850708724</v>
      </c>
      <c r="T202" s="83">
        <f t="shared" si="36"/>
        <v>21.910476047851219</v>
      </c>
      <c r="U202" s="3"/>
      <c r="V202" s="88"/>
      <c r="W202" s="88"/>
      <c r="X202" s="88"/>
      <c r="Y202" s="88"/>
      <c r="Z202" s="88"/>
      <c r="AA202" s="88"/>
      <c r="AB202" s="88"/>
      <c r="AC202" s="88"/>
      <c r="AE202">
        <f t="shared" si="19"/>
        <v>44</v>
      </c>
      <c r="AF202" s="3">
        <f t="shared" si="33"/>
        <v>22.498525667705955</v>
      </c>
      <c r="AG202" s="113">
        <f t="shared" si="20"/>
        <v>129.2523426706143</v>
      </c>
      <c r="AH202" s="124">
        <f t="shared" si="40"/>
        <v>5.9069997459535086</v>
      </c>
      <c r="AI202" s="124">
        <f t="shared" si="41"/>
        <v>62.966358162848096</v>
      </c>
      <c r="AJ202" s="124">
        <f t="shared" si="42"/>
        <v>7.9996748666473421</v>
      </c>
      <c r="AK202" s="124">
        <f t="shared" si="43"/>
        <v>13.054829013918962</v>
      </c>
      <c r="AL202" s="124">
        <f t="shared" si="44"/>
        <v>20.164333278823005</v>
      </c>
      <c r="AM202" s="124">
        <f t="shared" si="45"/>
        <v>13.483036186811436</v>
      </c>
      <c r="AN202" s="124">
        <f t="shared" si="46"/>
        <v>6.7347833100956196</v>
      </c>
      <c r="AO202" s="124">
        <f t="shared" si="47"/>
        <v>23.253914181043147</v>
      </c>
      <c r="AP202" s="3">
        <f t="shared" si="32"/>
        <v>124.40301481914446</v>
      </c>
    </row>
    <row r="203" spans="1:42" ht="14">
      <c r="A203">
        <f t="shared" si="50"/>
        <v>45</v>
      </c>
      <c r="B203" s="19">
        <f t="shared" si="50"/>
        <v>125</v>
      </c>
      <c r="C203" s="26">
        <f t="shared" si="30"/>
        <v>129.9553699797319</v>
      </c>
      <c r="D203" s="125">
        <f>(($C$39*$C$118*0.72)*D$40)*('Product half-life and C flows'!B104/100)</f>
        <v>0.31852226794630667</v>
      </c>
      <c r="E203" s="26"/>
      <c r="F203" s="54">
        <f t="shared" si="52"/>
        <v>2.0202077190856054</v>
      </c>
      <c r="G203" s="54">
        <f t="shared" si="52"/>
        <v>0.7542108817919595</v>
      </c>
      <c r="H203" s="125">
        <f>(H$118)*('Product half-life and C flows'!L104/100)</f>
        <v>0.63640063129528102</v>
      </c>
      <c r="I203" s="125">
        <f>(($C$39*$C$118*0.28)*H$41)*('Product half-life and C flows'!N104/100)</f>
        <v>0.86111444133944859</v>
      </c>
      <c r="J203" s="125">
        <f>(($C$39*$C$118*0.28)*H$41)*(+'Product half-life and C flows'!P104/100)</f>
        <v>0.43012709357614803</v>
      </c>
      <c r="K203" s="54">
        <f t="shared" si="49"/>
        <v>1.3434381331919276</v>
      </c>
      <c r="L203" s="26"/>
      <c r="M203" s="83">
        <f>C$158*(0.4*D$14)*('Product half-life and C flows'!B64/100)</f>
        <v>5.3872633816200217</v>
      </c>
      <c r="N203" s="83">
        <f t="shared" si="31"/>
        <v>64.518035837226023</v>
      </c>
      <c r="O203" s="83">
        <f t="shared" si="51"/>
        <v>5.9794671475617367</v>
      </c>
      <c r="P203" s="83">
        <f t="shared" si="51"/>
        <v>12.300618132127003</v>
      </c>
      <c r="Q203" s="83">
        <f>C$158*(0.6*C$15)*('Product half-life and C flows'!L64/100)</f>
        <v>19.21971583144844</v>
      </c>
      <c r="R203" s="83">
        <f>C$158*0.6*('Product half-life and C flows'!N64/100)</f>
        <v>12.825957031519934</v>
      </c>
      <c r="S203" s="83">
        <f>C$158*0.6*('Product half-life and C flows'!P64/100)</f>
        <v>6.4065719438161475</v>
      </c>
      <c r="T203" s="83">
        <f t="shared" si="36"/>
        <v>21.910476047851219</v>
      </c>
      <c r="U203" s="3"/>
      <c r="V203" s="88"/>
      <c r="W203" s="88"/>
      <c r="X203" s="88"/>
      <c r="Y203" s="88"/>
      <c r="Z203" s="88"/>
      <c r="AA203" s="88"/>
      <c r="AB203" s="88"/>
      <c r="AC203" s="88"/>
      <c r="AE203">
        <f t="shared" si="19"/>
        <v>45</v>
      </c>
      <c r="AF203" s="3">
        <f t="shared" si="33"/>
        <v>23.052956017555793</v>
      </c>
      <c r="AG203" s="113">
        <f t="shared" si="20"/>
        <v>129.9553699797319</v>
      </c>
      <c r="AH203" s="124">
        <f t="shared" si="40"/>
        <v>5.7057856495663284</v>
      </c>
      <c r="AI203" s="124">
        <f t="shared" si="41"/>
        <v>64.518035837226023</v>
      </c>
      <c r="AJ203" s="124">
        <f t="shared" si="42"/>
        <v>7.9996748666473421</v>
      </c>
      <c r="AK203" s="124">
        <f t="shared" si="43"/>
        <v>13.054829013918962</v>
      </c>
      <c r="AL203" s="124">
        <f t="shared" si="44"/>
        <v>19.856116462743721</v>
      </c>
      <c r="AM203" s="124">
        <f t="shared" si="45"/>
        <v>13.687071472859383</v>
      </c>
      <c r="AN203" s="124">
        <f t="shared" si="46"/>
        <v>6.8366990373922958</v>
      </c>
      <c r="AO203" s="124">
        <f t="shared" si="47"/>
        <v>23.253914181043147</v>
      </c>
      <c r="AP203" s="3">
        <f t="shared" si="32"/>
        <v>125.95242669078773</v>
      </c>
    </row>
    <row r="204" spans="1:42" ht="14">
      <c r="A204">
        <f t="shared" si="50"/>
        <v>46</v>
      </c>
      <c r="B204" s="19">
        <f t="shared" si="50"/>
        <v>126</v>
      </c>
      <c r="C204" s="26">
        <f t="shared" si="30"/>
        <v>130.6469459561647</v>
      </c>
      <c r="D204" s="125">
        <f>(($C$39*$C$118*0.72)*D$40)*('Product half-life and C flows'!B105/100)</f>
        <v>0.30767223018087142</v>
      </c>
      <c r="E204" s="26"/>
      <c r="F204" s="54">
        <f t="shared" si="52"/>
        <v>2.0202077190856054</v>
      </c>
      <c r="G204" s="54">
        <f t="shared" si="52"/>
        <v>0.7542108817919595</v>
      </c>
      <c r="H204" s="125">
        <f>(H$118)*('Product half-life and C flows'!L105/100)</f>
        <v>0.62667309041324881</v>
      </c>
      <c r="I204" s="125">
        <f>(($C$39*$C$118*0.28)*H$41)*('Product half-life and C flows'!N105/100)</f>
        <v>0.8659830755509057</v>
      </c>
      <c r="J204" s="125">
        <f>(($C$39*$C$118*0.28)*H$41)*(+'Product half-life and C flows'!P105/100)</f>
        <v>0.43255897879665611</v>
      </c>
      <c r="K204" s="54">
        <f t="shared" si="49"/>
        <v>1.3434381331919276</v>
      </c>
      <c r="L204" s="26"/>
      <c r="M204" s="83">
        <f>C$158*(0.4*D$14)*('Product half-life and C flows'!B65/100)</f>
        <v>5.2037534137932937</v>
      </c>
      <c r="N204" s="83">
        <f t="shared" si="31"/>
        <v>66.032685957059485</v>
      </c>
      <c r="O204" s="83">
        <f t="shared" si="51"/>
        <v>5.9794671475617367</v>
      </c>
      <c r="P204" s="83">
        <f t="shared" si="51"/>
        <v>12.300618132127003</v>
      </c>
      <c r="Q204" s="83">
        <f>C$158*(0.6*C$15)*('Product half-life and C flows'!L65/100)</f>
        <v>18.925937726434729</v>
      </c>
      <c r="R204" s="83">
        <f>C$158*0.6*('Product half-life and C flows'!N65/100)</f>
        <v>13.022004953599085</v>
      </c>
      <c r="S204" s="83">
        <f>C$158*0.6*('Product half-life and C flows'!P65/100)</f>
        <v>6.5044979788207176</v>
      </c>
      <c r="T204" s="83">
        <f t="shared" si="36"/>
        <v>21.910476047851219</v>
      </c>
      <c r="U204" s="3"/>
      <c r="V204" s="88"/>
      <c r="W204" s="88"/>
      <c r="X204" s="88"/>
      <c r="Y204" s="88"/>
      <c r="Z204" s="88"/>
      <c r="AA204" s="88"/>
      <c r="AB204" s="88"/>
      <c r="AC204" s="88"/>
      <c r="AE204">
        <f t="shared" si="19"/>
        <v>46</v>
      </c>
      <c r="AF204" s="3">
        <f t="shared" si="33"/>
        <v>23.594156042345755</v>
      </c>
      <c r="AG204" s="113">
        <f t="shared" si="20"/>
        <v>130.6469459561647</v>
      </c>
      <c r="AH204" s="124">
        <f t="shared" si="40"/>
        <v>5.5114256439741656</v>
      </c>
      <c r="AI204" s="124">
        <f t="shared" si="41"/>
        <v>66.032685957059485</v>
      </c>
      <c r="AJ204" s="124">
        <f t="shared" si="42"/>
        <v>7.9996748666473421</v>
      </c>
      <c r="AK204" s="124">
        <f t="shared" si="43"/>
        <v>13.054829013918962</v>
      </c>
      <c r="AL204" s="124">
        <f t="shared" si="44"/>
        <v>19.552610816847977</v>
      </c>
      <c r="AM204" s="124">
        <f t="shared" si="45"/>
        <v>13.887988029149991</v>
      </c>
      <c r="AN204" s="124">
        <f t="shared" si="46"/>
        <v>6.937056957617374</v>
      </c>
      <c r="AO204" s="124">
        <f t="shared" si="47"/>
        <v>23.253914181043147</v>
      </c>
      <c r="AP204" s="3">
        <f t="shared" si="32"/>
        <v>127.46484564124113</v>
      </c>
    </row>
    <row r="205" spans="1:42" ht="14">
      <c r="A205">
        <f t="shared" si="50"/>
        <v>47</v>
      </c>
      <c r="B205" s="19">
        <f t="shared" si="50"/>
        <v>127</v>
      </c>
      <c r="C205" s="26">
        <f t="shared" si="30"/>
        <v>131.32720472148327</v>
      </c>
      <c r="D205" s="125">
        <f>(($C$39*$C$118*0.72)*D$40)*('Product half-life and C flows'!B106/100)</f>
        <v>0.29719178453303119</v>
      </c>
      <c r="E205" s="26"/>
      <c r="F205" s="54">
        <f t="shared" si="52"/>
        <v>2.0202077190856054</v>
      </c>
      <c r="G205" s="54">
        <f t="shared" si="52"/>
        <v>0.7542108817919595</v>
      </c>
      <c r="H205" s="125">
        <f>(H$118)*('Product half-life and C flows'!L106/100)</f>
        <v>0.61709423739693892</v>
      </c>
      <c r="I205" s="125">
        <f>(($C$39*$C$118*0.28)*H$41)*('Product half-life and C flows'!N106/100)</f>
        <v>0.87077729148556882</v>
      </c>
      <c r="J205" s="125">
        <f>(($C$39*$C$118*0.28)*H$41)*(+'Product half-life and C flows'!P106/100)</f>
        <v>0.43495369205073353</v>
      </c>
      <c r="K205" s="54">
        <f t="shared" si="49"/>
        <v>1.3434381331919276</v>
      </c>
      <c r="L205" s="26"/>
      <c r="M205" s="83">
        <f>C$158*(0.4*D$14)*('Product half-life and C flows'!B66/100)</f>
        <v>5.0264944691496254</v>
      </c>
      <c r="N205" s="83">
        <f t="shared" si="31"/>
        <v>67.510100252580912</v>
      </c>
      <c r="O205" s="83">
        <f t="shared" si="51"/>
        <v>5.9794671475617367</v>
      </c>
      <c r="P205" s="83">
        <f t="shared" si="51"/>
        <v>12.300618132127003</v>
      </c>
      <c r="Q205" s="83">
        <f>C$158*(0.6*C$15)*('Product half-life and C flows'!L66/100)</f>
        <v>18.636650092338606</v>
      </c>
      <c r="R205" s="83">
        <f>C$158*0.6*('Product half-life and C flows'!N66/100)</f>
        <v>13.215056234752565</v>
      </c>
      <c r="S205" s="83">
        <f>C$158*0.6*('Product half-life and C flows'!P66/100)</f>
        <v>6.6009271901860931</v>
      </c>
      <c r="T205" s="83">
        <f t="shared" si="36"/>
        <v>21.910476047851219</v>
      </c>
      <c r="U205" s="3"/>
      <c r="V205" s="88"/>
      <c r="W205" s="88"/>
      <c r="X205" s="88"/>
      <c r="Y205" s="88"/>
      <c r="Z205" s="88"/>
      <c r="AA205" s="88"/>
      <c r="AB205" s="88"/>
      <c r="AC205" s="88"/>
      <c r="AE205">
        <f t="shared" si="19"/>
        <v>47</v>
      </c>
      <c r="AF205" s="3">
        <f t="shared" si="33"/>
        <v>24.122051325151499</v>
      </c>
      <c r="AG205" s="113">
        <f t="shared" si="20"/>
        <v>131.32720472148327</v>
      </c>
      <c r="AH205" s="124">
        <f t="shared" si="40"/>
        <v>5.3236862536826566</v>
      </c>
      <c r="AI205" s="124">
        <f t="shared" si="41"/>
        <v>67.510100252580912</v>
      </c>
      <c r="AJ205" s="124">
        <f t="shared" si="42"/>
        <v>7.9996748666473421</v>
      </c>
      <c r="AK205" s="124">
        <f t="shared" si="43"/>
        <v>13.054829013918962</v>
      </c>
      <c r="AL205" s="124">
        <f t="shared" si="44"/>
        <v>19.253744329735543</v>
      </c>
      <c r="AM205" s="124">
        <f t="shared" si="45"/>
        <v>14.085833526238133</v>
      </c>
      <c r="AN205" s="124">
        <f t="shared" si="46"/>
        <v>7.0358808822368264</v>
      </c>
      <c r="AO205" s="124">
        <f t="shared" si="47"/>
        <v>23.253914181043147</v>
      </c>
      <c r="AP205" s="3">
        <f t="shared" si="32"/>
        <v>128.94006287135772</v>
      </c>
    </row>
    <row r="206" spans="1:42" ht="14">
      <c r="A206">
        <f t="shared" si="50"/>
        <v>48</v>
      </c>
      <c r="B206" s="19">
        <f t="shared" si="50"/>
        <v>128</v>
      </c>
      <c r="C206" s="26">
        <f t="shared" si="30"/>
        <v>131.99628112883832</v>
      </c>
      <c r="D206" s="125">
        <f>(($C$39*$C$118*0.72)*D$40)*('Product half-life and C flows'!B107/100)</f>
        <v>0.28706834133845971</v>
      </c>
      <c r="E206" s="26"/>
      <c r="F206" s="54">
        <f t="shared" si="52"/>
        <v>2.0202077190856054</v>
      </c>
      <c r="G206" s="54">
        <f t="shared" si="52"/>
        <v>0.7542108817919595</v>
      </c>
      <c r="H206" s="125">
        <f>(H$118)*('Product half-life and C flows'!L107/100)</f>
        <v>0.60766179951558796</v>
      </c>
      <c r="I206" s="125">
        <f>(($C$39*$C$118*0.28)*H$41)*('Product half-life and C flows'!N107/100)</f>
        <v>0.87549822664518506</v>
      </c>
      <c r="J206" s="125">
        <f>(($C$39*$C$118*0.28)*H$41)*(+'Product half-life and C flows'!P107/100)</f>
        <v>0.4373118015210713</v>
      </c>
      <c r="K206" s="54">
        <f t="shared" si="49"/>
        <v>1.3434381331919276</v>
      </c>
      <c r="L206" s="26"/>
      <c r="M206" s="83">
        <f>C$158*(0.4*D$14)*('Product half-life and C flows'!B67/100)</f>
        <v>4.8552736148914297</v>
      </c>
      <c r="N206" s="83">
        <f t="shared" si="31"/>
        <v>68.950186942718261</v>
      </c>
      <c r="O206" s="83">
        <f t="shared" si="51"/>
        <v>5.9794671475617367</v>
      </c>
      <c r="P206" s="83">
        <f t="shared" si="51"/>
        <v>12.300618132127003</v>
      </c>
      <c r="Q206" s="83">
        <f>C$158*(0.6*C$15)*('Product half-life and C flows'!L67/100)</f>
        <v>18.351784291202652</v>
      </c>
      <c r="R206" s="83">
        <f>C$158*0.6*('Product half-life and C flows'!N67/100)</f>
        <v>13.405156679377288</v>
      </c>
      <c r="S206" s="83">
        <f>C$158*0.6*('Product half-life and C flows'!P67/100)</f>
        <v>6.6958824572314093</v>
      </c>
      <c r="T206" s="83">
        <f t="shared" si="36"/>
        <v>21.910476047851219</v>
      </c>
      <c r="U206" s="3"/>
      <c r="V206" s="88"/>
      <c r="W206" s="88"/>
      <c r="X206" s="88"/>
      <c r="Y206" s="88"/>
      <c r="Z206" s="88"/>
      <c r="AA206" s="88"/>
      <c r="AB206" s="88"/>
      <c r="AC206" s="88"/>
      <c r="AE206">
        <f t="shared" ref="AE206:AE269" si="53">A206</f>
        <v>48</v>
      </c>
      <c r="AF206" s="3">
        <f t="shared" si="33"/>
        <v>24.636609071654515</v>
      </c>
      <c r="AG206" s="113">
        <f t="shared" ref="AG206:AG269" si="54">C206</f>
        <v>131.99628112883832</v>
      </c>
      <c r="AH206" s="124">
        <f t="shared" si="40"/>
        <v>5.1423419562298891</v>
      </c>
      <c r="AI206" s="124">
        <f t="shared" si="41"/>
        <v>68.950186942718261</v>
      </c>
      <c r="AJ206" s="124">
        <f t="shared" si="42"/>
        <v>7.9996748666473421</v>
      </c>
      <c r="AK206" s="124">
        <f t="shared" si="43"/>
        <v>13.054829013918962</v>
      </c>
      <c r="AL206" s="124">
        <f t="shared" si="44"/>
        <v>18.959446090718238</v>
      </c>
      <c r="AM206" s="124">
        <f t="shared" si="45"/>
        <v>14.280654906022473</v>
      </c>
      <c r="AN206" s="124">
        <f t="shared" si="46"/>
        <v>7.1331942587524804</v>
      </c>
      <c r="AO206" s="124">
        <f t="shared" si="47"/>
        <v>23.253914181043147</v>
      </c>
      <c r="AP206" s="3">
        <f t="shared" si="32"/>
        <v>130.37798607877775</v>
      </c>
    </row>
    <row r="207" spans="1:42" ht="14">
      <c r="A207">
        <f t="shared" si="50"/>
        <v>49</v>
      </c>
      <c r="B207" s="19">
        <f t="shared" si="50"/>
        <v>129</v>
      </c>
      <c r="C207" s="26">
        <f t="shared" si="30"/>
        <v>132.65431062990476</v>
      </c>
      <c r="D207" s="125">
        <f>(($C$39*$C$118*0.72)*D$40)*('Product half-life and C flows'!B108/100)</f>
        <v>0.27728973978301624</v>
      </c>
      <c r="E207" s="26"/>
      <c r="F207" s="54">
        <f t="shared" si="52"/>
        <v>2.0202077190856054</v>
      </c>
      <c r="G207" s="54">
        <f t="shared" si="52"/>
        <v>0.7542108817919595</v>
      </c>
      <c r="H207" s="125">
        <f>(H$118)*('Product half-life and C flows'!L108/100)</f>
        <v>0.59837353877768396</v>
      </c>
      <c r="I207" s="125">
        <f>(($C$39*$C$118*0.28)*H$41)*('Product half-life and C flows'!N108/100)</f>
        <v>0.88014700114450595</v>
      </c>
      <c r="J207" s="125">
        <f>(($C$39*$C$118*0.28)*H$41)*(+'Product half-life and C flows'!P108/100)</f>
        <v>0.43963386670554727</v>
      </c>
      <c r="K207" s="54">
        <f t="shared" si="49"/>
        <v>1.3434381331919276</v>
      </c>
      <c r="L207" s="26"/>
      <c r="M207" s="83">
        <f>C$158*(0.4*D$14)*('Product half-life and C flows'!B68/100)</f>
        <v>4.6898851714938923</v>
      </c>
      <c r="N207" s="83">
        <f t="shared" si="31"/>
        <v>70.352960023466522</v>
      </c>
      <c r="O207" s="83">
        <f t="shared" si="51"/>
        <v>5.9794671475617367</v>
      </c>
      <c r="P207" s="83">
        <f t="shared" si="51"/>
        <v>12.300618132127003</v>
      </c>
      <c r="Q207" s="83">
        <f>C$158*(0.6*C$15)*('Product half-life and C flows'!L68/100)</f>
        <v>18.071272734217597</v>
      </c>
      <c r="R207" s="83">
        <f>C$158*0.6*('Product half-life and C flows'!N68/100)</f>
        <v>13.592351391738649</v>
      </c>
      <c r="S207" s="83">
        <f>C$158*0.6*('Product half-life and C flows'!P68/100)</f>
        <v>6.7893863095597604</v>
      </c>
      <c r="T207" s="83">
        <f t="shared" si="36"/>
        <v>21.910476047851219</v>
      </c>
      <c r="U207" s="3"/>
      <c r="V207" s="88"/>
      <c r="W207" s="88"/>
      <c r="X207" s="88"/>
      <c r="Y207" s="88"/>
      <c r="Z207" s="88"/>
      <c r="AA207" s="88"/>
      <c r="AB207" s="88"/>
      <c r="AC207" s="88"/>
      <c r="AE207">
        <f t="shared" si="53"/>
        <v>49</v>
      </c>
      <c r="AF207" s="3">
        <f t="shared" si="33"/>
        <v>25.137834282767379</v>
      </c>
      <c r="AG207" s="113">
        <f t="shared" si="54"/>
        <v>132.65431062990476</v>
      </c>
      <c r="AH207" s="124">
        <f t="shared" si="40"/>
        <v>4.9671749112769081</v>
      </c>
      <c r="AI207" s="124">
        <f t="shared" si="41"/>
        <v>70.352960023466522</v>
      </c>
      <c r="AJ207" s="124">
        <f t="shared" si="42"/>
        <v>7.9996748666473421</v>
      </c>
      <c r="AK207" s="124">
        <f t="shared" si="43"/>
        <v>13.054829013918962</v>
      </c>
      <c r="AL207" s="124">
        <f t="shared" si="44"/>
        <v>18.66964627299528</v>
      </c>
      <c r="AM207" s="124">
        <f t="shared" si="45"/>
        <v>14.472498392883155</v>
      </c>
      <c r="AN207" s="124">
        <f t="shared" si="46"/>
        <v>7.2290201762653075</v>
      </c>
      <c r="AO207" s="124">
        <f t="shared" si="47"/>
        <v>23.253914181043147</v>
      </c>
      <c r="AP207" s="3">
        <f t="shared" si="32"/>
        <v>131.77862874617657</v>
      </c>
    </row>
    <row r="208" spans="1:42" ht="14">
      <c r="A208">
        <f t="shared" ref="A208:B223" si="55">A207+1</f>
        <v>50</v>
      </c>
      <c r="B208" s="19">
        <f t="shared" si="55"/>
        <v>130</v>
      </c>
      <c r="C208" s="26">
        <f t="shared" si="30"/>
        <v>133.30142914827974</v>
      </c>
      <c r="D208" s="125">
        <f>(($C$39*$C$118*0.72)*D$40)*('Product half-life and C flows'!B109/100)</f>
        <v>0.26784423329453239</v>
      </c>
      <c r="E208" s="26"/>
      <c r="F208" s="54">
        <f t="shared" si="52"/>
        <v>2.0202077190856054</v>
      </c>
      <c r="G208" s="54">
        <f t="shared" si="52"/>
        <v>0.7542108817919595</v>
      </c>
      <c r="H208" s="125">
        <f>(H$118)*('Product half-life and C flows'!L109/100)</f>
        <v>0.58922725139996834</v>
      </c>
      <c r="I208" s="125">
        <f>(($C$39*$C$118*0.28)*H$41)*('Product half-life and C flows'!N109/100)</f>
        <v>0.88472471797705254</v>
      </c>
      <c r="J208" s="125">
        <f>(($C$39*$C$118*0.28)*H$41)*(+'Product half-life and C flows'!P109/100)</f>
        <v>0.4419204385499762</v>
      </c>
      <c r="K208" s="54">
        <f t="shared" si="49"/>
        <v>1.3434381331919276</v>
      </c>
      <c r="L208" s="26"/>
      <c r="M208" s="83">
        <f>C$158*(0.4*D$14)*('Product half-life and C flows'!B69/100)</f>
        <v>4.5301304656318804</v>
      </c>
      <c r="N208" s="83">
        <f t="shared" si="31"/>
        <v>71.718529201659706</v>
      </c>
      <c r="O208" s="83">
        <f t="shared" ref="O208:P223" si="56">O207</f>
        <v>5.9794671475617367</v>
      </c>
      <c r="P208" s="83">
        <f t="shared" si="56"/>
        <v>12.300618132127003</v>
      </c>
      <c r="Q208" s="83">
        <f>C$158*(0.6*C$15)*('Product half-life and C flows'!L69/100)</f>
        <v>17.795048865685807</v>
      </c>
      <c r="R208" s="83">
        <f>C$158*0.6*('Product half-life and C flows'!N69/100)</f>
        <v>13.776684786672199</v>
      </c>
      <c r="S208" s="83">
        <f>C$158*0.6*('Product half-life and C flows'!P69/100)</f>
        <v>6.8814609324036926</v>
      </c>
      <c r="T208" s="83">
        <f t="shared" si="36"/>
        <v>21.910476047851219</v>
      </c>
      <c r="U208" s="3"/>
      <c r="V208" s="88"/>
      <c r="W208" s="88"/>
      <c r="X208" s="88"/>
      <c r="Y208" s="88"/>
      <c r="Z208" s="88"/>
      <c r="AA208" s="88"/>
      <c r="AB208" s="88"/>
      <c r="AC208" s="88"/>
      <c r="AE208">
        <f t="shared" si="53"/>
        <v>50</v>
      </c>
      <c r="AF208" s="3">
        <f t="shared" si="33"/>
        <v>25.625766157867233</v>
      </c>
      <c r="AG208" s="113">
        <f t="shared" si="54"/>
        <v>133.30142914827974</v>
      </c>
      <c r="AH208" s="124">
        <f t="shared" si="40"/>
        <v>4.7979746989264127</v>
      </c>
      <c r="AI208" s="124">
        <f t="shared" si="41"/>
        <v>71.718529201659706</v>
      </c>
      <c r="AJ208" s="124">
        <f t="shared" si="42"/>
        <v>7.9996748666473421</v>
      </c>
      <c r="AK208" s="124">
        <f t="shared" si="43"/>
        <v>13.054829013918962</v>
      </c>
      <c r="AL208" s="124">
        <f t="shared" si="44"/>
        <v>18.384276117085776</v>
      </c>
      <c r="AM208" s="124">
        <f t="shared" si="45"/>
        <v>14.661409504649251</v>
      </c>
      <c r="AN208" s="124">
        <f t="shared" si="46"/>
        <v>7.323381370953669</v>
      </c>
      <c r="AO208" s="124">
        <f t="shared" si="47"/>
        <v>23.253914181043147</v>
      </c>
      <c r="AP208" s="3">
        <f t="shared" si="32"/>
        <v>133.14210007491471</v>
      </c>
    </row>
    <row r="209" spans="1:42" ht="14">
      <c r="A209">
        <f t="shared" si="55"/>
        <v>51</v>
      </c>
      <c r="B209" s="19">
        <f t="shared" si="55"/>
        <v>131</v>
      </c>
      <c r="C209" s="26">
        <f t="shared" si="30"/>
        <v>133.9377729591053</v>
      </c>
      <c r="D209" s="125">
        <f>(($C$39*$C$118*0.72)*D$40)*('Product half-life and C flows'!B110/100)</f>
        <v>0.25872047543221055</v>
      </c>
      <c r="E209" s="26"/>
      <c r="F209" s="54">
        <f t="shared" si="52"/>
        <v>2.0202077190856054</v>
      </c>
      <c r="G209" s="54">
        <f t="shared" si="52"/>
        <v>0.7542108817919595</v>
      </c>
      <c r="H209" s="125">
        <f>(H$118)*('Product half-life and C flows'!L110/100)</f>
        <v>0.58022076728455385</v>
      </c>
      <c r="I209" s="125">
        <f>(($C$39*$C$118*0.28)*H$41)*('Product half-life and C flows'!N110/100)</f>
        <v>0.88923246327681749</v>
      </c>
      <c r="J209" s="125">
        <f>(($C$39*$C$118*0.28)*H$41)*(+'Product half-life and C flows'!P110/100)</f>
        <v>0.44417205957882983</v>
      </c>
      <c r="K209" s="54">
        <f t="shared" si="49"/>
        <v>1.3434381331919276</v>
      </c>
      <c r="L209" s="26"/>
      <c r="M209" s="83">
        <f>C$158*(0.4*D$14)*('Product half-life and C flows'!B70/100)</f>
        <v>4.3758175915230613</v>
      </c>
      <c r="N209" s="83">
        <f t="shared" si="31"/>
        <v>73.047090459435708</v>
      </c>
      <c r="O209" s="83">
        <f t="shared" si="56"/>
        <v>5.9794671475617367</v>
      </c>
      <c r="P209" s="83">
        <f t="shared" si="56"/>
        <v>12.300618132127003</v>
      </c>
      <c r="Q209" s="83">
        <f>C$158*(0.6*C$15)*('Product half-life and C flows'!L70/100)</f>
        <v>17.523047147229931</v>
      </c>
      <c r="R209" s="83">
        <f>C$158*0.6*('Product half-life and C flows'!N70/100)</f>
        <v>13.958200600121751</v>
      </c>
      <c r="S209" s="83">
        <f>C$158*0.6*('Product half-life and C flows'!P70/100)</f>
        <v>6.9721281718889836</v>
      </c>
      <c r="T209" s="83">
        <f t="shared" si="36"/>
        <v>21.910476047851219</v>
      </c>
      <c r="U209" s="3"/>
      <c r="V209" s="88"/>
      <c r="W209" s="88"/>
      <c r="X209" s="88"/>
      <c r="Y209" s="88"/>
      <c r="Z209" s="88"/>
      <c r="AA209" s="88"/>
      <c r="AB209" s="88"/>
      <c r="AC209" s="88"/>
      <c r="AE209">
        <f t="shared" si="53"/>
        <v>51</v>
      </c>
      <c r="AF209" s="3">
        <f t="shared" si="33"/>
        <v>26.100474723382295</v>
      </c>
      <c r="AG209" s="113">
        <f t="shared" si="54"/>
        <v>133.9377729591053</v>
      </c>
      <c r="AH209" s="124">
        <f t="shared" si="40"/>
        <v>4.6345380669552716</v>
      </c>
      <c r="AI209" s="124">
        <f t="shared" si="41"/>
        <v>73.047090459435708</v>
      </c>
      <c r="AJ209" s="124">
        <f t="shared" si="42"/>
        <v>7.9996748666473421</v>
      </c>
      <c r="AK209" s="124">
        <f t="shared" si="43"/>
        <v>13.054829013918962</v>
      </c>
      <c r="AL209" s="124">
        <f t="shared" si="44"/>
        <v>18.103267914514486</v>
      </c>
      <c r="AM209" s="124">
        <f t="shared" si="45"/>
        <v>14.847433063398569</v>
      </c>
      <c r="AN209" s="124">
        <f t="shared" si="46"/>
        <v>7.4163002314678135</v>
      </c>
      <c r="AO209" s="124">
        <f t="shared" si="47"/>
        <v>23.253914181043147</v>
      </c>
      <c r="AP209" s="3">
        <f t="shared" si="32"/>
        <v>134.46859554938288</v>
      </c>
    </row>
    <row r="210" spans="1:42" ht="14">
      <c r="A210">
        <f t="shared" si="55"/>
        <v>52</v>
      </c>
      <c r="B210" s="19">
        <f t="shared" si="55"/>
        <v>132</v>
      </c>
      <c r="C210" s="26">
        <f t="shared" si="30"/>
        <v>134.56347857469208</v>
      </c>
      <c r="D210" s="125">
        <f>(($C$39*$C$118*0.72)*D$40)*('Product half-life and C flows'!B111/100)</f>
        <v>0.24990750625668023</v>
      </c>
      <c r="E210" s="26"/>
      <c r="F210" s="54">
        <f t="shared" si="52"/>
        <v>2.0202077190856054</v>
      </c>
      <c r="G210" s="54">
        <f t="shared" si="52"/>
        <v>0.7542108817919595</v>
      </c>
      <c r="H210" s="125">
        <f>(H$118)*('Product half-life and C flows'!L111/100)</f>
        <v>0.57135194950403567</v>
      </c>
      <c r="I210" s="125">
        <f>(($C$39*$C$118*0.28)*H$41)*('Product half-life and C flows'!N111/100)</f>
        <v>0.89367130657596683</v>
      </c>
      <c r="J210" s="125">
        <f>(($C$39*$C$118*0.28)*H$41)*(+'Product half-life and C flows'!P111/100)</f>
        <v>0.44638926402395934</v>
      </c>
      <c r="K210" s="54">
        <f t="shared" si="49"/>
        <v>1.3434381331919276</v>
      </c>
      <c r="L210" s="26"/>
      <c r="M210" s="83">
        <f>C$158*(0.4*D$14)*('Product half-life and C flows'!B71/100)</f>
        <v>4.2267611804005432</v>
      </c>
      <c r="N210" s="83">
        <f t="shared" si="31"/>
        <v>74.338917231292029</v>
      </c>
      <c r="O210" s="83">
        <f t="shared" si="56"/>
        <v>5.9794671475617367</v>
      </c>
      <c r="P210" s="83">
        <f t="shared" si="56"/>
        <v>12.300618132127003</v>
      </c>
      <c r="Q210" s="83">
        <f>C$158*(0.6*C$15)*('Product half-life and C flows'!L71/100)</f>
        <v>17.255203042242908</v>
      </c>
      <c r="R210" s="83">
        <f>C$158*0.6*('Product half-life and C flows'!N71/100)</f>
        <v>14.136941899516422</v>
      </c>
      <c r="S210" s="83">
        <f>C$158*0.6*('Product half-life and C flows'!P71/100)</f>
        <v>7.0614095402179915</v>
      </c>
      <c r="T210" s="83">
        <f t="shared" si="36"/>
        <v>21.910476047851219</v>
      </c>
      <c r="U210" s="3"/>
      <c r="V210" s="88"/>
      <c r="W210" s="88"/>
      <c r="X210" s="88"/>
      <c r="Y210" s="88"/>
      <c r="Z210" s="88"/>
      <c r="AA210" s="88"/>
      <c r="AB210" s="88"/>
      <c r="AC210" s="88"/>
      <c r="AE210">
        <f t="shared" si="53"/>
        <v>52</v>
      </c>
      <c r="AF210" s="3">
        <f t="shared" si="33"/>
        <v>26.562057680263354</v>
      </c>
      <c r="AG210" s="113">
        <f t="shared" si="54"/>
        <v>134.56347857469208</v>
      </c>
      <c r="AH210" s="124">
        <f t="shared" si="40"/>
        <v>4.4766686866572236</v>
      </c>
      <c r="AI210" s="124">
        <f t="shared" si="41"/>
        <v>74.338917231292029</v>
      </c>
      <c r="AJ210" s="124">
        <f t="shared" si="42"/>
        <v>7.9996748666473421</v>
      </c>
      <c r="AK210" s="124">
        <f t="shared" si="43"/>
        <v>13.054829013918962</v>
      </c>
      <c r="AL210" s="124">
        <f t="shared" si="44"/>
        <v>17.826554991746942</v>
      </c>
      <c r="AM210" s="124">
        <f t="shared" si="45"/>
        <v>15.03061320609239</v>
      </c>
      <c r="AN210" s="124">
        <f t="shared" si="46"/>
        <v>7.5077988042419506</v>
      </c>
      <c r="AO210" s="124">
        <f t="shared" si="47"/>
        <v>23.253914181043147</v>
      </c>
      <c r="AP210" s="3">
        <f t="shared" si="32"/>
        <v>135.75838811393962</v>
      </c>
    </row>
    <row r="211" spans="1:42" ht="14">
      <c r="A211">
        <f t="shared" si="55"/>
        <v>53</v>
      </c>
      <c r="B211" s="19">
        <f t="shared" si="55"/>
        <v>133</v>
      </c>
      <c r="C211" s="26">
        <f t="shared" si="30"/>
        <v>135.17868263592746</v>
      </c>
      <c r="D211" s="125">
        <f>(($C$39*$C$118*0.72)*D$40)*('Product half-life and C flows'!B112/100)</f>
        <v>0.24139473916434048</v>
      </c>
      <c r="E211" s="26"/>
      <c r="F211" s="54">
        <f t="shared" si="52"/>
        <v>2.0202077190856054</v>
      </c>
      <c r="G211" s="54">
        <f t="shared" si="52"/>
        <v>0.7542108817919595</v>
      </c>
      <c r="H211" s="125">
        <f>(H$118)*('Product half-life and C flows'!L112/100)</f>
        <v>0.56261869379447194</v>
      </c>
      <c r="I211" s="125">
        <f>(($C$39*$C$118*0.28)*H$41)*('Product half-life and C flows'!N112/100)</f>
        <v>0.8980423010586035</v>
      </c>
      <c r="J211" s="125">
        <f>(($C$39*$C$118*0.28)*H$41)*(+'Product half-life and C flows'!P112/100)</f>
        <v>0.44857257795135025</v>
      </c>
      <c r="K211" s="54">
        <f t="shared" si="49"/>
        <v>1.3434381331919276</v>
      </c>
      <c r="L211" s="26"/>
      <c r="M211" s="83">
        <f>C$158*(0.4*D$14)*('Product half-life and C flows'!B72/100)</f>
        <v>4.0827821778381486</v>
      </c>
      <c r="N211" s="83">
        <f t="shared" si="31"/>
        <v>75.59435217302817</v>
      </c>
      <c r="O211" s="83">
        <f t="shared" si="56"/>
        <v>5.9794671475617367</v>
      </c>
      <c r="P211" s="83">
        <f t="shared" si="56"/>
        <v>12.300618132127003</v>
      </c>
      <c r="Q211" s="83">
        <f>C$158*(0.6*C$15)*('Product half-life and C flows'!L72/100)</f>
        <v>16.991453000575671</v>
      </c>
      <c r="R211" s="83">
        <f>C$158*0.6*('Product half-life and C flows'!N72/100)</f>
        <v>14.312951093989028</v>
      </c>
      <c r="S211" s="83">
        <f>C$158*0.6*('Product half-life and C flows'!P72/100)</f>
        <v>7.1493262207737374</v>
      </c>
      <c r="T211" s="83">
        <f t="shared" si="36"/>
        <v>21.910476047851219</v>
      </c>
      <c r="U211" s="3"/>
      <c r="V211" s="88"/>
      <c r="W211" s="88"/>
      <c r="X211" s="88"/>
      <c r="Y211" s="88"/>
      <c r="Z211" s="88"/>
      <c r="AA211" s="88"/>
      <c r="AB211" s="88"/>
      <c r="AC211" s="88"/>
      <c r="AE211">
        <f t="shared" si="53"/>
        <v>53</v>
      </c>
      <c r="AF211" s="3">
        <f t="shared" si="33"/>
        <v>27.010637462942462</v>
      </c>
      <c r="AG211" s="113">
        <f t="shared" si="54"/>
        <v>135.17868263592746</v>
      </c>
      <c r="AH211" s="124">
        <f t="shared" si="40"/>
        <v>4.3241769170024886</v>
      </c>
      <c r="AI211" s="124">
        <f t="shared" si="41"/>
        <v>75.59435217302817</v>
      </c>
      <c r="AJ211" s="124">
        <f t="shared" si="42"/>
        <v>7.9996748666473421</v>
      </c>
      <c r="AK211" s="124">
        <f t="shared" si="43"/>
        <v>13.054829013918962</v>
      </c>
      <c r="AL211" s="124">
        <f t="shared" si="44"/>
        <v>17.554071694370144</v>
      </c>
      <c r="AM211" s="124">
        <f t="shared" si="45"/>
        <v>15.210993395047632</v>
      </c>
      <c r="AN211" s="124">
        <f t="shared" si="46"/>
        <v>7.5978987987250877</v>
      </c>
      <c r="AO211" s="124">
        <f t="shared" si="47"/>
        <v>23.253914181043147</v>
      </c>
      <c r="AP211" s="3">
        <f t="shared" si="32"/>
        <v>137.01181994173734</v>
      </c>
    </row>
    <row r="212" spans="1:42" ht="14">
      <c r="A212">
        <f t="shared" si="55"/>
        <v>54</v>
      </c>
      <c r="B212" s="19">
        <f t="shared" si="55"/>
        <v>134</v>
      </c>
      <c r="C212" s="26">
        <f t="shared" si="30"/>
        <v>135.78352180925319</v>
      </c>
      <c r="D212" s="125">
        <f>(($C$39*$C$118*0.72)*D$40)*('Product half-life and C flows'!B113/100)</f>
        <v>0.23317194817017367</v>
      </c>
      <c r="E212" s="26"/>
      <c r="F212" s="54">
        <f t="shared" si="52"/>
        <v>2.0202077190856054</v>
      </c>
      <c r="G212" s="54">
        <f t="shared" si="52"/>
        <v>0.7542108817919595</v>
      </c>
      <c r="H212" s="125">
        <f>(H$118)*('Product half-life and C flows'!L113/100)</f>
        <v>0.55401892805611597</v>
      </c>
      <c r="I212" s="125">
        <f>(($C$39*$C$118*0.28)*H$41)*('Product half-life and C flows'!N113/100)</f>
        <v>0.90234648381065075</v>
      </c>
      <c r="J212" s="125">
        <f>(($C$39*$C$118*0.28)*H$41)*(+'Product half-life and C flows'!P113/100)</f>
        <v>0.45072251938593932</v>
      </c>
      <c r="K212" s="54">
        <f t="shared" si="49"/>
        <v>1.3434381331919276</v>
      </c>
      <c r="L212" s="26"/>
      <c r="M212" s="83">
        <f>C$158*(0.4*D$14)*('Product half-life and C flows'!B73/100)</f>
        <v>3.943707628660766</v>
      </c>
      <c r="N212" s="83">
        <f t="shared" si="31"/>
        <v>76.813799499943926</v>
      </c>
      <c r="O212" s="83">
        <f t="shared" si="56"/>
        <v>5.9794671475617367</v>
      </c>
      <c r="P212" s="83">
        <f t="shared" si="56"/>
        <v>12.300618132127003</v>
      </c>
      <c r="Q212" s="83">
        <f>C$158*(0.6*C$15)*('Product half-life and C flows'!L73/100)</f>
        <v>16.731734443458873</v>
      </c>
      <c r="R212" s="83">
        <f>C$158*0.6*('Product half-life and C flows'!N73/100)</f>
        <v>14.486269944438302</v>
      </c>
      <c r="S212" s="83">
        <f>C$158*0.6*('Product half-life and C flows'!P73/100)</f>
        <v>7.2358990731460029</v>
      </c>
      <c r="T212" s="83">
        <f t="shared" si="36"/>
        <v>21.910476047851219</v>
      </c>
      <c r="U212" s="3"/>
      <c r="V212" s="88"/>
      <c r="W212" s="88"/>
      <c r="X212" s="88"/>
      <c r="Y212" s="88"/>
      <c r="Z212" s="88"/>
      <c r="AA212" s="88"/>
      <c r="AB212" s="88"/>
      <c r="AC212" s="88"/>
      <c r="AE212">
        <f t="shared" si="53"/>
        <v>54</v>
      </c>
      <c r="AF212" s="3">
        <f t="shared" si="33"/>
        <v>27.4463585016926</v>
      </c>
      <c r="AG212" s="113">
        <f t="shared" si="54"/>
        <v>135.78352180925319</v>
      </c>
      <c r="AH212" s="124">
        <f t="shared" si="40"/>
        <v>4.1768795768309399</v>
      </c>
      <c r="AI212" s="124">
        <f t="shared" si="41"/>
        <v>76.813799499943926</v>
      </c>
      <c r="AJ212" s="124">
        <f t="shared" si="42"/>
        <v>7.9996748666473421</v>
      </c>
      <c r="AK212" s="124">
        <f t="shared" si="43"/>
        <v>13.054829013918962</v>
      </c>
      <c r="AL212" s="124">
        <f t="shared" si="44"/>
        <v>17.285753371514989</v>
      </c>
      <c r="AM212" s="124">
        <f t="shared" si="45"/>
        <v>15.388616428248952</v>
      </c>
      <c r="AN212" s="124">
        <f t="shared" si="46"/>
        <v>7.6866215925319423</v>
      </c>
      <c r="AO212" s="124">
        <f t="shared" si="47"/>
        <v>23.253914181043147</v>
      </c>
      <c r="AP212" s="3">
        <f t="shared" si="32"/>
        <v>138.2292947728061</v>
      </c>
    </row>
    <row r="213" spans="1:42" ht="14">
      <c r="A213">
        <f t="shared" si="55"/>
        <v>55</v>
      </c>
      <c r="B213" s="19">
        <f t="shared" si="55"/>
        <v>135</v>
      </c>
      <c r="C213" s="26">
        <f t="shared" si="30"/>
        <v>136.37813268900979</v>
      </c>
      <c r="D213" s="125">
        <f>(($C$39*$C$118*0.72)*D$40)*('Product half-life and C flows'!B114/100)</f>
        <v>0.2252292556237519</v>
      </c>
      <c r="E213" s="26"/>
      <c r="F213" s="54">
        <f t="shared" si="52"/>
        <v>2.0202077190856054</v>
      </c>
      <c r="G213" s="54">
        <f t="shared" si="52"/>
        <v>0.7542108817919595</v>
      </c>
      <c r="H213" s="125">
        <f>(H$118)*('Product half-life and C flows'!L114/100)</f>
        <v>0.54555061186177667</v>
      </c>
      <c r="I213" s="125">
        <f>(($C$39*$C$118*0.28)*H$41)*('Product half-life and C flows'!N114/100)</f>
        <v>0.90658487606591753</v>
      </c>
      <c r="J213" s="125">
        <f>(($C$39*$C$118*0.28)*H$41)*(+'Product half-life and C flows'!P114/100)</f>
        <v>0.45283959843452415</v>
      </c>
      <c r="K213" s="54">
        <f t="shared" si="49"/>
        <v>1.3434381331919276</v>
      </c>
      <c r="L213" s="26"/>
      <c r="M213" s="83">
        <f>C$158*(0.4*D$14)*('Product half-life and C flows'!B74/100)</f>
        <v>3.8093704691814883</v>
      </c>
      <c r="N213" s="83">
        <f t="shared" si="31"/>
        <v>77.997717870301713</v>
      </c>
      <c r="O213" s="83">
        <f t="shared" si="56"/>
        <v>5.9794671475617367</v>
      </c>
      <c r="P213" s="83">
        <f t="shared" si="56"/>
        <v>12.300618132127003</v>
      </c>
      <c r="Q213" s="83">
        <f>C$158*(0.6*C$15)*('Product half-life and C flows'!L74/100)</f>
        <v>16.475985748655116</v>
      </c>
      <c r="R213" s="83">
        <f>C$158*0.6*('Product half-life and C flows'!N74/100)</f>
        <v>14.656939573437343</v>
      </c>
      <c r="S213" s="83">
        <f>C$158*0.6*('Product half-life and C flows'!P74/100)</f>
        <v>7.3211486380805892</v>
      </c>
      <c r="T213" s="83">
        <f t="shared" si="36"/>
        <v>21.910476047851219</v>
      </c>
      <c r="U213" s="3"/>
      <c r="V213" s="88"/>
      <c r="W213" s="88"/>
      <c r="X213" s="88"/>
      <c r="Y213" s="88"/>
      <c r="Z213" s="88"/>
      <c r="AA213" s="88"/>
      <c r="AB213" s="88"/>
      <c r="AC213" s="88"/>
      <c r="AE213">
        <f t="shared" si="53"/>
        <v>55</v>
      </c>
      <c r="AF213" s="3">
        <f t="shared" si="33"/>
        <v>27.869384679815756</v>
      </c>
      <c r="AG213" s="113">
        <f t="shared" si="54"/>
        <v>136.37813268900979</v>
      </c>
      <c r="AH213" s="124">
        <f t="shared" si="40"/>
        <v>4.0345997248052399</v>
      </c>
      <c r="AI213" s="124">
        <f t="shared" si="41"/>
        <v>77.997717870301713</v>
      </c>
      <c r="AJ213" s="124">
        <f t="shared" si="42"/>
        <v>7.9996748666473421</v>
      </c>
      <c r="AK213" s="124">
        <f t="shared" si="43"/>
        <v>13.054829013918962</v>
      </c>
      <c r="AL213" s="124">
        <f t="shared" si="44"/>
        <v>17.021536360516894</v>
      </c>
      <c r="AM213" s="124">
        <f t="shared" si="45"/>
        <v>15.563524449503261</v>
      </c>
      <c r="AN213" s="124">
        <f t="shared" si="46"/>
        <v>7.7739882365151134</v>
      </c>
      <c r="AO213" s="124">
        <f t="shared" si="47"/>
        <v>23.253914181043147</v>
      </c>
      <c r="AP213" s="3">
        <f t="shared" si="32"/>
        <v>139.41127079740329</v>
      </c>
    </row>
    <row r="214" spans="1:42" ht="14">
      <c r="A214">
        <f t="shared" si="55"/>
        <v>56</v>
      </c>
      <c r="B214" s="19">
        <f t="shared" si="55"/>
        <v>136</v>
      </c>
      <c r="C214" s="26">
        <f t="shared" si="30"/>
        <v>136.96265170494351</v>
      </c>
      <c r="D214" s="125">
        <f>(($C$39*$C$118*0.72)*D$40)*('Product half-life and C flows'!B115/100)</f>
        <v>0.21755712034368255</v>
      </c>
      <c r="E214" s="26"/>
      <c r="F214" s="54">
        <f t="shared" si="52"/>
        <v>2.0202077190856054</v>
      </c>
      <c r="G214" s="54">
        <f t="shared" si="52"/>
        <v>0.7542108817919595</v>
      </c>
      <c r="H214" s="125">
        <f>(H$118)*('Product half-life and C flows'!L115/100)</f>
        <v>0.53721173597269722</v>
      </c>
      <c r="I214" s="125">
        <f>(($C$39*$C$118*0.28)*H$41)*('Product half-life and C flows'!N115/100)</f>
        <v>0.9107584834484016</v>
      </c>
      <c r="J214" s="125">
        <f>(($C$39*$C$118*0.28)*H$41)*(+'Product half-life and C flows'!P115/100)</f>
        <v>0.45492431740679395</v>
      </c>
      <c r="K214" s="54">
        <f t="shared" si="49"/>
        <v>1.3434381331919276</v>
      </c>
      <c r="L214" s="26"/>
      <c r="M214" s="83">
        <f>C$158*(0.4*D$14)*('Product half-life and C flows'!B75/100)</f>
        <v>3.6796093265158842</v>
      </c>
      <c r="N214" s="83">
        <f t="shared" si="31"/>
        <v>79.146613789176996</v>
      </c>
      <c r="O214" s="83">
        <f t="shared" si="56"/>
        <v>5.9794671475617367</v>
      </c>
      <c r="P214" s="83">
        <f t="shared" si="56"/>
        <v>12.300618132127003</v>
      </c>
      <c r="Q214" s="83">
        <f>C$158*(0.6*C$15)*('Product half-life and C flows'!L75/100)</f>
        <v>16.224146235838134</v>
      </c>
      <c r="R214" s="83">
        <f>C$158*0.6*('Product half-life and C flows'!N75/100)</f>
        <v>14.825000474990544</v>
      </c>
      <c r="S214" s="83">
        <f>C$158*0.6*('Product half-life and C flows'!P75/100)</f>
        <v>7.4050951423529154</v>
      </c>
      <c r="T214" s="83">
        <f t="shared" si="36"/>
        <v>21.910476047851219</v>
      </c>
      <c r="U214" s="3"/>
      <c r="V214" s="88"/>
      <c r="W214" s="88"/>
      <c r="X214" s="88"/>
      <c r="Y214" s="88"/>
      <c r="Z214" s="88"/>
      <c r="AA214" s="88"/>
      <c r="AB214" s="88"/>
      <c r="AC214" s="88"/>
      <c r="AE214">
        <f t="shared" si="53"/>
        <v>56</v>
      </c>
      <c r="AF214" s="3">
        <f t="shared" si="33"/>
        <v>28.279896976771013</v>
      </c>
      <c r="AG214" s="113">
        <f t="shared" si="54"/>
        <v>136.96265170494351</v>
      </c>
      <c r="AH214" s="124">
        <f t="shared" si="40"/>
        <v>3.8971664468595666</v>
      </c>
      <c r="AI214" s="124">
        <f t="shared" si="41"/>
        <v>79.146613789176996</v>
      </c>
      <c r="AJ214" s="124">
        <f t="shared" si="42"/>
        <v>7.9996748666473421</v>
      </c>
      <c r="AK214" s="124">
        <f t="shared" si="43"/>
        <v>13.054829013918962</v>
      </c>
      <c r="AL214" s="124">
        <f t="shared" si="44"/>
        <v>16.761357971810831</v>
      </c>
      <c r="AM214" s="124">
        <f t="shared" si="45"/>
        <v>15.735758958438945</v>
      </c>
      <c r="AN214" s="124">
        <f t="shared" si="46"/>
        <v>7.8600194597597097</v>
      </c>
      <c r="AO214" s="124">
        <f t="shared" si="47"/>
        <v>23.253914181043147</v>
      </c>
      <c r="AP214" s="3">
        <f t="shared" si="32"/>
        <v>140.55825405975278</v>
      </c>
    </row>
    <row r="215" spans="1:42" ht="14">
      <c r="A215">
        <f t="shared" si="55"/>
        <v>57</v>
      </c>
      <c r="B215" s="19">
        <f t="shared" si="55"/>
        <v>137</v>
      </c>
      <c r="C215" s="26">
        <f t="shared" si="30"/>
        <v>137.5372150346831</v>
      </c>
      <c r="D215" s="125">
        <f>(($C$39*$C$118*0.72)*D$40)*('Product half-life and C flows'!B116/100)</f>
        <v>0.21014632615623763</v>
      </c>
      <c r="E215" s="26"/>
      <c r="F215" s="54">
        <f t="shared" si="52"/>
        <v>2.0202077190856054</v>
      </c>
      <c r="G215" s="54">
        <f t="shared" si="52"/>
        <v>0.7542108817919595</v>
      </c>
      <c r="H215" s="125">
        <f>(H$118)*('Product half-life and C flows'!L116/100)</f>
        <v>0.52900032186183155</v>
      </c>
      <c r="I215" s="125">
        <f>(($C$39*$C$118*0.28)*H$41)*('Product half-life and C flows'!N116/100)</f>
        <v>0.91486829621088983</v>
      </c>
      <c r="J215" s="125">
        <f>(($C$39*$C$118*0.28)*H$41)*(+'Product half-life and C flows'!P116/100)</f>
        <v>0.4569771709345104</v>
      </c>
      <c r="K215" s="54">
        <f t="shared" si="49"/>
        <v>1.3434381331919276</v>
      </c>
      <c r="L215" s="26"/>
      <c r="M215" s="83">
        <f>C$158*(0.4*D$14)*('Product half-life and C flows'!B76/100)</f>
        <v>3.5542683247323756</v>
      </c>
      <c r="N215" s="83">
        <f t="shared" si="31"/>
        <v>80.261035507330135</v>
      </c>
      <c r="O215" s="83">
        <f t="shared" si="56"/>
        <v>5.9794671475617367</v>
      </c>
      <c r="P215" s="83">
        <f t="shared" si="56"/>
        <v>12.300618132127003</v>
      </c>
      <c r="Q215" s="83">
        <f>C$158*(0.6*C$15)*('Product half-life and C flows'!L76/100)</f>
        <v>15.976156152195431</v>
      </c>
      <c r="R215" s="83">
        <f>C$158*0.6*('Product half-life and C flows'!N76/100)</f>
        <v>14.990492524141441</v>
      </c>
      <c r="S215" s="83">
        <f>C$158*0.6*('Product half-life and C flows'!P76/100)</f>
        <v>7.4877585035671501</v>
      </c>
      <c r="T215" s="83">
        <f t="shared" si="36"/>
        <v>21.910476047851219</v>
      </c>
      <c r="U215" s="3"/>
      <c r="V215" s="88"/>
      <c r="W215" s="88"/>
      <c r="X215" s="88"/>
      <c r="Y215" s="88"/>
      <c r="Z215" s="88"/>
      <c r="AA215" s="88"/>
      <c r="AB215" s="88"/>
      <c r="AC215" s="88"/>
      <c r="AE215">
        <f t="shared" si="53"/>
        <v>57</v>
      </c>
      <c r="AF215" s="3">
        <f t="shared" si="33"/>
        <v>28.678091288178894</v>
      </c>
      <c r="AG215" s="113">
        <f t="shared" si="54"/>
        <v>137.5372150346831</v>
      </c>
      <c r="AH215" s="124">
        <f t="shared" si="40"/>
        <v>3.7644146508886132</v>
      </c>
      <c r="AI215" s="124">
        <f t="shared" si="41"/>
        <v>80.261035507330135</v>
      </c>
      <c r="AJ215" s="124">
        <f t="shared" si="42"/>
        <v>7.9996748666473421</v>
      </c>
      <c r="AK215" s="124">
        <f t="shared" si="43"/>
        <v>13.054829013918962</v>
      </c>
      <c r="AL215" s="124">
        <f t="shared" si="44"/>
        <v>16.505156474057262</v>
      </c>
      <c r="AM215" s="124">
        <f t="shared" si="45"/>
        <v>15.905360820352332</v>
      </c>
      <c r="AN215" s="124">
        <f t="shared" si="46"/>
        <v>7.9447356745016604</v>
      </c>
      <c r="AO215" s="124">
        <f t="shared" si="47"/>
        <v>23.253914181043147</v>
      </c>
      <c r="AP215" s="3">
        <f t="shared" si="32"/>
        <v>141.67079235680768</v>
      </c>
    </row>
    <row r="216" spans="1:42" ht="14">
      <c r="A216">
        <f t="shared" si="55"/>
        <v>58</v>
      </c>
      <c r="B216" s="19">
        <f t="shared" si="55"/>
        <v>138</v>
      </c>
      <c r="C216" s="26">
        <f t="shared" si="30"/>
        <v>138.10195852099525</v>
      </c>
      <c r="D216" s="125">
        <f>(($C$39*$C$118*0.72)*D$40)*('Product half-life and C flows'!B117/100)</f>
        <v>0.20298797082439934</v>
      </c>
      <c r="E216" s="26"/>
      <c r="F216" s="54">
        <f t="shared" ref="F216:G231" si="57">F215</f>
        <v>2.0202077190856054</v>
      </c>
      <c r="G216" s="54">
        <f t="shared" si="57"/>
        <v>0.7542108817919595</v>
      </c>
      <c r="H216" s="125">
        <f>(H$118)*('Product half-life and C flows'!L117/100)</f>
        <v>0.52091442124440801</v>
      </c>
      <c r="I216" s="125">
        <f>(($C$39*$C$118*0.28)*H$41)*('Product half-life and C flows'!N117/100)</f>
        <v>0.91891528946991041</v>
      </c>
      <c r="J216" s="125">
        <f>(($C$39*$C$118*0.28)*H$41)*(+'Product half-life and C flows'!P117/100)</f>
        <v>0.45899864608886631</v>
      </c>
      <c r="K216" s="54">
        <f t="shared" si="49"/>
        <v>1.3434381331919276</v>
      </c>
      <c r="L216" s="26"/>
      <c r="M216" s="83">
        <f>C$158*(0.4*D$14)*('Product half-life and C flows'!B77/100)</f>
        <v>3.4331968976058524</v>
      </c>
      <c r="N216" s="83">
        <f t="shared" si="31"/>
        <v>81.341567389573953</v>
      </c>
      <c r="O216" s="83">
        <f t="shared" si="56"/>
        <v>5.9794671475617367</v>
      </c>
      <c r="P216" s="83">
        <f t="shared" si="56"/>
        <v>12.300618132127003</v>
      </c>
      <c r="Q216" s="83">
        <f>C$158*(0.6*C$15)*('Product half-life and C flows'!L77/100)</f>
        <v>15.731956658251018</v>
      </c>
      <c r="R216" s="83">
        <f>C$158*0.6*('Product half-life and C flows'!N77/100)</f>
        <v>15.15345498643368</v>
      </c>
      <c r="S216" s="83">
        <f>C$158*0.6*('Product half-life and C flows'!P77/100)</f>
        <v>7.569158334881954</v>
      </c>
      <c r="T216" s="83">
        <f t="shared" si="36"/>
        <v>21.910476047851219</v>
      </c>
      <c r="U216" s="3"/>
      <c r="V216" s="88"/>
      <c r="W216" s="88"/>
      <c r="X216" s="88"/>
      <c r="Y216" s="88"/>
      <c r="Z216" s="88"/>
      <c r="AA216" s="88"/>
      <c r="AB216" s="88"/>
      <c r="AC216" s="88"/>
      <c r="AE216">
        <f t="shared" si="53"/>
        <v>58</v>
      </c>
      <c r="AF216" s="3">
        <f t="shared" si="33"/>
        <v>29.064176413581322</v>
      </c>
      <c r="AG216" s="113">
        <f t="shared" si="54"/>
        <v>138.10195852099525</v>
      </c>
      <c r="AH216" s="124">
        <f t="shared" si="40"/>
        <v>3.6361848684302518</v>
      </c>
      <c r="AI216" s="124">
        <f t="shared" si="41"/>
        <v>81.341567389573953</v>
      </c>
      <c r="AJ216" s="124">
        <f t="shared" si="42"/>
        <v>7.9996748666473421</v>
      </c>
      <c r="AK216" s="124">
        <f t="shared" si="43"/>
        <v>13.054829013918962</v>
      </c>
      <c r="AL216" s="124">
        <f t="shared" si="44"/>
        <v>16.252871079495428</v>
      </c>
      <c r="AM216" s="124">
        <f t="shared" si="45"/>
        <v>16.072370275903591</v>
      </c>
      <c r="AN216" s="124">
        <f t="shared" si="46"/>
        <v>8.0281569809708202</v>
      </c>
      <c r="AO216" s="124">
        <f t="shared" si="47"/>
        <v>23.253914181043147</v>
      </c>
      <c r="AP216" s="3">
        <f t="shared" si="32"/>
        <v>142.7494696065101</v>
      </c>
    </row>
    <row r="217" spans="1:42" ht="14">
      <c r="A217">
        <f t="shared" si="55"/>
        <v>59</v>
      </c>
      <c r="B217" s="19">
        <f t="shared" si="55"/>
        <v>139</v>
      </c>
      <c r="C217" s="26">
        <f t="shared" si="30"/>
        <v>138.65701759363526</v>
      </c>
      <c r="D217" s="125">
        <f>(($C$39*$C$118*0.72)*D$40)*('Product half-life and C flows'!B118/100)</f>
        <v>0.19607345535402398</v>
      </c>
      <c r="E217" s="26"/>
      <c r="F217" s="54">
        <f t="shared" si="57"/>
        <v>2.0202077190856054</v>
      </c>
      <c r="G217" s="54">
        <f t="shared" si="57"/>
        <v>0.7542108817919595</v>
      </c>
      <c r="H217" s="125">
        <f>(H$118)*('Product half-life and C flows'!L118/100)</f>
        <v>0.51295211561566934</v>
      </c>
      <c r="I217" s="125">
        <f>(($C$39*$C$118*0.28)*H$41)*('Product half-life and C flows'!N118/100)</f>
        <v>0.92290042343709422</v>
      </c>
      <c r="J217" s="125">
        <f>(($C$39*$C$118*0.28)*H$41)*(+'Product half-life and C flows'!P118/100)</f>
        <v>0.46098922249605095</v>
      </c>
      <c r="K217" s="54">
        <f t="shared" si="49"/>
        <v>1.3434381331919276</v>
      </c>
      <c r="L217" s="26"/>
      <c r="M217" s="83">
        <f>C$158*(0.4*D$14)*('Product half-life and C flows'!B78/100)</f>
        <v>3.316249607749564</v>
      </c>
      <c r="N217" s="83">
        <f t="shared" si="31"/>
        <v>82.388824727217184</v>
      </c>
      <c r="O217" s="83">
        <f t="shared" si="56"/>
        <v>5.9794671475617367</v>
      </c>
      <c r="P217" s="83">
        <f t="shared" si="56"/>
        <v>12.300618132127003</v>
      </c>
      <c r="Q217" s="83">
        <f>C$158*(0.6*C$15)*('Product half-life and C flows'!L78/100)</f>
        <v>15.491489813904833</v>
      </c>
      <c r="R217" s="83">
        <f>C$158*0.6*('Product half-life and C flows'!N78/100)</f>
        <v>15.313926527227368</v>
      </c>
      <c r="S217" s="83">
        <f>C$158*0.6*('Product half-life and C flows'!P78/100)</f>
        <v>7.6493139496640161</v>
      </c>
      <c r="T217" s="83">
        <f t="shared" si="36"/>
        <v>21.910476047851219</v>
      </c>
      <c r="U217" s="3"/>
      <c r="V217" s="88"/>
      <c r="W217" s="88"/>
      <c r="X217" s="88"/>
      <c r="Y217" s="88"/>
      <c r="Z217" s="88"/>
      <c r="AA217" s="88"/>
      <c r="AB217" s="88"/>
      <c r="AC217" s="88"/>
      <c r="AE217">
        <f t="shared" si="53"/>
        <v>59</v>
      </c>
      <c r="AF217" s="3">
        <f t="shared" si="33"/>
        <v>29.438372202874429</v>
      </c>
      <c r="AG217" s="113">
        <f t="shared" si="54"/>
        <v>138.65701759363526</v>
      </c>
      <c r="AH217" s="124">
        <f t="shared" ref="AH217:AH248" si="58">D217+M217+V217</f>
        <v>3.512323063103588</v>
      </c>
      <c r="AI217" s="124">
        <f t="shared" ref="AI217:AI248" si="59">E217+N217+W217</f>
        <v>82.388824727217184</v>
      </c>
      <c r="AJ217" s="124">
        <f t="shared" ref="AJ217:AJ248" si="60">F217+O217+X217</f>
        <v>7.9996748666473421</v>
      </c>
      <c r="AK217" s="124">
        <f t="shared" ref="AK217:AK248" si="61">G217+P217+Y217</f>
        <v>13.054829013918962</v>
      </c>
      <c r="AL217" s="124">
        <f t="shared" ref="AL217:AL248" si="62">H217+Q217+Z217</f>
        <v>16.004441929520503</v>
      </c>
      <c r="AM217" s="124">
        <f t="shared" ref="AM217:AM248" si="63">I217+R217+AA217</f>
        <v>16.236826950664462</v>
      </c>
      <c r="AN217" s="124">
        <f t="shared" ref="AN217:AN248" si="64">J217+S217+AB217</f>
        <v>8.1103031721600676</v>
      </c>
      <c r="AO217" s="124">
        <f t="shared" ref="AO217:AO280" si="65">K217+T217+AC217</f>
        <v>23.253914181043147</v>
      </c>
      <c r="AP217" s="3">
        <f t="shared" si="32"/>
        <v>143.79490066012852</v>
      </c>
    </row>
    <row r="218" spans="1:42" ht="14">
      <c r="A218">
        <f t="shared" si="55"/>
        <v>60</v>
      </c>
      <c r="B218" s="19">
        <f t="shared" si="55"/>
        <v>140</v>
      </c>
      <c r="C218" s="26">
        <f t="shared" si="30"/>
        <v>139.20252719561401</v>
      </c>
      <c r="D218" s="125">
        <f>(($C$39*$C$118*0.72)*D$40)*('Product half-life and C flows'!B119/100)</f>
        <v>0.1893944736642755</v>
      </c>
      <c r="E218" s="26"/>
      <c r="F218" s="54">
        <f t="shared" si="57"/>
        <v>2.0202077190856054</v>
      </c>
      <c r="G218" s="54">
        <f t="shared" si="57"/>
        <v>0.7542108817919595</v>
      </c>
      <c r="H218" s="125">
        <f>(H$118)*('Product half-life and C flows'!L119/100)</f>
        <v>0.5051115157956777</v>
      </c>
      <c r="I218" s="125">
        <f>(($C$39*$C$118*0.28)*H$41)*('Product half-life and C flows'!N119/100)</f>
        <v>0.9268246436469999</v>
      </c>
      <c r="J218" s="125">
        <f>(($C$39*$C$118*0.28)*H$41)*(+'Product half-life and C flows'!P119/100)</f>
        <v>0.46294937245104889</v>
      </c>
      <c r="K218" s="54">
        <f t="shared" si="49"/>
        <v>1.3434381331919276</v>
      </c>
      <c r="L218" s="26"/>
      <c r="M218" s="83">
        <f>C$158*(0.4*D$14)*('Product half-life and C flows'!B79/100)</f>
        <v>3.2032859719080742</v>
      </c>
      <c r="N218" s="83">
        <f t="shared" si="31"/>
        <v>83.403448969491279</v>
      </c>
      <c r="O218" s="83">
        <f t="shared" si="56"/>
        <v>5.9794671475617367</v>
      </c>
      <c r="P218" s="83">
        <f t="shared" si="56"/>
        <v>12.300618132127003</v>
      </c>
      <c r="Q218" s="83">
        <f>C$158*(0.6*C$15)*('Product half-life and C flows'!L79/100)</f>
        <v>15.254698564685556</v>
      </c>
      <c r="R218" s="83">
        <f>C$158*0.6*('Product half-life and C flows'!N79/100)</f>
        <v>15.471945220873032</v>
      </c>
      <c r="S218" s="83">
        <f>C$158*0.6*('Product half-life and C flows'!P79/100)</f>
        <v>7.7282443660704416</v>
      </c>
      <c r="T218" s="83">
        <f t="shared" si="36"/>
        <v>21.910476047851219</v>
      </c>
      <c r="U218" s="3"/>
      <c r="V218" s="88"/>
      <c r="W218" s="88"/>
      <c r="X218" s="88"/>
      <c r="Y218" s="88"/>
      <c r="Z218" s="88"/>
      <c r="AA218" s="88"/>
      <c r="AB218" s="88"/>
      <c r="AC218" s="88"/>
      <c r="AE218">
        <f t="shared" si="53"/>
        <v>60</v>
      </c>
      <c r="AF218" s="3">
        <f t="shared" si="33"/>
        <v>29.800907852448479</v>
      </c>
      <c r="AG218" s="113">
        <f t="shared" si="54"/>
        <v>139.20252719561401</v>
      </c>
      <c r="AH218" s="124">
        <f t="shared" si="58"/>
        <v>3.3926804455723496</v>
      </c>
      <c r="AI218" s="124">
        <f t="shared" si="59"/>
        <v>83.403448969491279</v>
      </c>
      <c r="AJ218" s="124">
        <f t="shared" si="60"/>
        <v>7.9996748666473421</v>
      </c>
      <c r="AK218" s="124">
        <f t="shared" si="61"/>
        <v>13.054829013918962</v>
      </c>
      <c r="AL218" s="124">
        <f t="shared" si="62"/>
        <v>15.759810080481234</v>
      </c>
      <c r="AM218" s="124">
        <f t="shared" si="63"/>
        <v>16.39876986452003</v>
      </c>
      <c r="AN218" s="124">
        <f t="shared" si="64"/>
        <v>8.1911937385214912</v>
      </c>
      <c r="AO218" s="124">
        <f t="shared" si="65"/>
        <v>23.253914181043147</v>
      </c>
      <c r="AP218" s="3">
        <f t="shared" si="32"/>
        <v>144.80772653358034</v>
      </c>
    </row>
    <row r="219" spans="1:42" ht="14">
      <c r="A219">
        <f t="shared" si="55"/>
        <v>61</v>
      </c>
      <c r="B219" s="19">
        <f t="shared" si="55"/>
        <v>141</v>
      </c>
      <c r="C219" s="26">
        <f t="shared" si="30"/>
        <v>139.73862171370757</v>
      </c>
      <c r="D219" s="125">
        <f>(($C$39*$C$118*0.72)*D$40)*('Product half-life and C flows'!B120/100)</f>
        <v>0.18294300260992369</v>
      </c>
      <c r="E219" s="26"/>
      <c r="F219" s="54">
        <f t="shared" si="57"/>
        <v>2.0202077190856054</v>
      </c>
      <c r="G219" s="54">
        <f t="shared" si="57"/>
        <v>0.7542108817919595</v>
      </c>
      <c r="H219" s="125">
        <f>(H$118)*('Product half-life and C flows'!L120/100)</f>
        <v>0.49739076148107692</v>
      </c>
      <c r="I219" s="125">
        <f>(($C$39*$C$118*0.28)*H$41)*('Product half-life and C flows'!N120/100)</f>
        <v>0.93068888118145765</v>
      </c>
      <c r="J219" s="125">
        <f>(($C$39*$C$118*0.28)*H$41)*(+'Product half-life and C flows'!P120/100)</f>
        <v>0.46487956102969907</v>
      </c>
      <c r="K219" s="54">
        <f t="shared" si="49"/>
        <v>1.3434381331919276</v>
      </c>
      <c r="L219" s="26"/>
      <c r="M219" s="83">
        <f>C$158*(0.4*D$14)*('Product half-life and C flows'!B80/100)</f>
        <v>3.0941702922013419</v>
      </c>
      <c r="N219" s="83">
        <f t="shared" si="31"/>
        <v>84.386103349369861</v>
      </c>
      <c r="O219" s="83">
        <f t="shared" si="56"/>
        <v>5.9794671475617367</v>
      </c>
      <c r="P219" s="83">
        <f t="shared" si="56"/>
        <v>12.300618132127003</v>
      </c>
      <c r="Q219" s="83">
        <f>C$158*(0.6*C$15)*('Product half-life and C flows'!L80/100)</f>
        <v>15.021526728213562</v>
      </c>
      <c r="R219" s="83">
        <f>C$158*0.6*('Product half-life and C flows'!N80/100)</f>
        <v>15.627548559745344</v>
      </c>
      <c r="S219" s="83">
        <f>C$158*0.6*('Product half-life and C flows'!P80/100)</f>
        <v>7.8059683115611076</v>
      </c>
      <c r="T219" s="83">
        <f t="shared" si="36"/>
        <v>21.910476047851219</v>
      </c>
      <c r="U219" s="3"/>
      <c r="V219" s="88"/>
      <c r="W219" s="88"/>
      <c r="X219" s="88"/>
      <c r="Y219" s="88"/>
      <c r="Z219" s="88"/>
      <c r="AA219" s="88"/>
      <c r="AB219" s="88"/>
      <c r="AC219" s="88"/>
      <c r="AE219">
        <f t="shared" si="53"/>
        <v>61</v>
      </c>
      <c r="AF219" s="3">
        <f t="shared" si="33"/>
        <v>30.152020342248253</v>
      </c>
      <c r="AG219" s="113">
        <f t="shared" si="54"/>
        <v>139.73862171370757</v>
      </c>
      <c r="AH219" s="124">
        <f t="shared" si="58"/>
        <v>3.2771132948112656</v>
      </c>
      <c r="AI219" s="124">
        <f t="shared" si="59"/>
        <v>84.386103349369861</v>
      </c>
      <c r="AJ219" s="124">
        <f t="shared" si="60"/>
        <v>7.9996748666473421</v>
      </c>
      <c r="AK219" s="124">
        <f t="shared" si="61"/>
        <v>13.054829013918962</v>
      </c>
      <c r="AL219" s="124">
        <f t="shared" si="62"/>
        <v>15.518917489694639</v>
      </c>
      <c r="AM219" s="124">
        <f t="shared" si="63"/>
        <v>16.558237440926803</v>
      </c>
      <c r="AN219" s="124">
        <f t="shared" si="64"/>
        <v>8.2708478725908066</v>
      </c>
      <c r="AO219" s="124">
        <f t="shared" si="65"/>
        <v>23.253914181043147</v>
      </c>
      <c r="AP219" s="3">
        <f t="shared" si="32"/>
        <v>145.78861003314842</v>
      </c>
    </row>
    <row r="220" spans="1:42" ht="14">
      <c r="A220">
        <f t="shared" si="55"/>
        <v>62</v>
      </c>
      <c r="B220" s="19">
        <f t="shared" si="55"/>
        <v>142</v>
      </c>
      <c r="C220" s="26">
        <f t="shared" si="30"/>
        <v>140.26543491304204</v>
      </c>
      <c r="D220" s="125">
        <f>(($C$39*$C$118*0.72)*D$40)*('Product half-life and C flows'!B121/100)</f>
        <v>0.17671129234351815</v>
      </c>
      <c r="E220" s="26"/>
      <c r="F220" s="54">
        <f t="shared" si="57"/>
        <v>2.0202077190856054</v>
      </c>
      <c r="G220" s="54">
        <f t="shared" si="57"/>
        <v>0.7542108817919595</v>
      </c>
      <c r="H220" s="125">
        <f>(H$118)*('Product half-life and C flows'!L121/100)</f>
        <v>0.48978802080370726</v>
      </c>
      <c r="I220" s="125">
        <f>(($C$39*$C$118*0.28)*H$41)*('Product half-life and C flows'!N121/100)</f>
        <v>0.93449405289048115</v>
      </c>
      <c r="J220" s="125">
        <f>(($C$39*$C$118*0.28)*H$41)*(+'Product half-life and C flows'!P121/100)</f>
        <v>0.4667802461990414</v>
      </c>
      <c r="K220" s="54">
        <f t="shared" si="49"/>
        <v>1.3434381331919276</v>
      </c>
      <c r="L220" s="26"/>
      <c r="M220" s="83">
        <f>C$158*(0.4*D$14)*('Product half-life and C flows'!B81/100)</f>
        <v>2.9887714931172806</v>
      </c>
      <c r="N220" s="83">
        <f t="shared" si="31"/>
        <v>85.337468879830681</v>
      </c>
      <c r="O220" s="83">
        <f t="shared" si="56"/>
        <v>5.9794671475617367</v>
      </c>
      <c r="P220" s="83">
        <f t="shared" si="56"/>
        <v>12.300618132127003</v>
      </c>
      <c r="Q220" s="83">
        <f>C$158*(0.6*C$15)*('Product half-life and C flows'!L81/100)</f>
        <v>14.79191898087077</v>
      </c>
      <c r="R220" s="83">
        <f>C$158*0.6*('Product half-life and C flows'!N81/100)</f>
        <v>15.780773463138765</v>
      </c>
      <c r="S220" s="83">
        <f>C$158*0.6*('Product half-life and C flows'!P81/100)</f>
        <v>7.8825042273420367</v>
      </c>
      <c r="T220" s="83">
        <f t="shared" si="36"/>
        <v>21.910476047851219</v>
      </c>
      <c r="U220" s="3"/>
      <c r="V220" s="88"/>
      <c r="W220" s="88"/>
      <c r="X220" s="88"/>
      <c r="Y220" s="88"/>
      <c r="Z220" s="88"/>
      <c r="AA220" s="88"/>
      <c r="AB220" s="88"/>
      <c r="AC220" s="88"/>
      <c r="AE220">
        <f t="shared" si="53"/>
        <v>62</v>
      </c>
      <c r="AF220" s="3">
        <f t="shared" si="33"/>
        <v>30.491953005196397</v>
      </c>
      <c r="AG220" s="113">
        <f t="shared" si="54"/>
        <v>140.26543491304204</v>
      </c>
      <c r="AH220" s="124">
        <f t="shared" si="58"/>
        <v>3.165482785460799</v>
      </c>
      <c r="AI220" s="124">
        <f t="shared" si="59"/>
        <v>85.337468879830681</v>
      </c>
      <c r="AJ220" s="124">
        <f t="shared" si="60"/>
        <v>7.9996748666473421</v>
      </c>
      <c r="AK220" s="124">
        <f t="shared" si="61"/>
        <v>13.054829013918962</v>
      </c>
      <c r="AL220" s="124">
        <f t="shared" si="62"/>
        <v>15.281707001674478</v>
      </c>
      <c r="AM220" s="124">
        <f t="shared" si="63"/>
        <v>16.715267516029247</v>
      </c>
      <c r="AN220" s="124">
        <f t="shared" si="64"/>
        <v>8.3492844735410774</v>
      </c>
      <c r="AO220" s="124">
        <f t="shared" si="65"/>
        <v>23.253914181043147</v>
      </c>
      <c r="AP220" s="3">
        <f t="shared" si="32"/>
        <v>146.73823175164179</v>
      </c>
    </row>
    <row r="221" spans="1:42" ht="14">
      <c r="A221">
        <f t="shared" si="55"/>
        <v>63</v>
      </c>
      <c r="B221" s="19">
        <f t="shared" si="55"/>
        <v>143</v>
      </c>
      <c r="C221" s="26">
        <f t="shared" si="30"/>
        <v>140.78309987558936</v>
      </c>
      <c r="D221" s="125">
        <f>(($C$39*$C$118*0.72)*D$40)*('Product half-life and C flows'!B122/100)</f>
        <v>0.17069185700586301</v>
      </c>
      <c r="E221" s="26"/>
      <c r="F221" s="54">
        <f t="shared" si="57"/>
        <v>2.0202077190856054</v>
      </c>
      <c r="G221" s="54">
        <f t="shared" si="57"/>
        <v>0.7542108817919595</v>
      </c>
      <c r="H221" s="125">
        <f>(H$118)*('Product half-life and C flows'!L122/100)</f>
        <v>0.48230148989596666</v>
      </c>
      <c r="I221" s="125">
        <f>(($C$39*$C$118*0.28)*H$41)*('Product half-life and C flows'!N122/100)</f>
        <v>0.93824106160980525</v>
      </c>
      <c r="J221" s="125">
        <f>(($C$39*$C$118*0.28)*H$41)*(+'Product half-life and C flows'!P122/100)</f>
        <v>0.46865187892597659</v>
      </c>
      <c r="K221" s="54">
        <f t="shared" si="49"/>
        <v>1.3434381331919276</v>
      </c>
      <c r="L221" s="26"/>
      <c r="M221" s="83">
        <f>C$158*(0.4*D$14)*('Product half-life and C flows'!B82/100)</f>
        <v>2.8869629640569352</v>
      </c>
      <c r="N221" s="83">
        <f t="shared" si="31"/>
        <v>86.258240697357081</v>
      </c>
      <c r="O221" s="83">
        <f t="shared" si="56"/>
        <v>5.9794671475617367</v>
      </c>
      <c r="P221" s="83">
        <f t="shared" si="56"/>
        <v>12.300618132127003</v>
      </c>
      <c r="Q221" s="83">
        <f>C$158*(0.6*C$15)*('Product half-life and C flows'!L82/100)</f>
        <v>14.565820844674287</v>
      </c>
      <c r="R221" s="83">
        <f>C$158*0.6*('Product half-life and C flows'!N82/100)</f>
        <v>15.93165628602722</v>
      </c>
      <c r="S221" s="83">
        <f>C$158*0.6*('Product half-life and C flows'!P82/100)</f>
        <v>7.9578702727408652</v>
      </c>
      <c r="T221" s="83">
        <f t="shared" si="36"/>
        <v>21.910476047851219</v>
      </c>
      <c r="U221" s="3"/>
      <c r="V221" s="88"/>
      <c r="W221" s="88"/>
      <c r="X221" s="88"/>
      <c r="Y221" s="88"/>
      <c r="Z221" s="88"/>
      <c r="AA221" s="88"/>
      <c r="AB221" s="88"/>
      <c r="AC221" s="88"/>
      <c r="AE221">
        <f t="shared" si="53"/>
        <v>63</v>
      </c>
      <c r="AF221" s="3">
        <f t="shared" si="33"/>
        <v>30.820954220688975</v>
      </c>
      <c r="AG221" s="113">
        <f t="shared" si="54"/>
        <v>140.78309987558936</v>
      </c>
      <c r="AH221" s="124">
        <f t="shared" si="58"/>
        <v>3.0576548210627981</v>
      </c>
      <c r="AI221" s="124">
        <f t="shared" si="59"/>
        <v>86.258240697357081</v>
      </c>
      <c r="AJ221" s="124">
        <f t="shared" si="60"/>
        <v>7.9996748666473421</v>
      </c>
      <c r="AK221" s="124">
        <f t="shared" si="61"/>
        <v>13.054829013918962</v>
      </c>
      <c r="AL221" s="124">
        <f t="shared" si="62"/>
        <v>15.048122334570253</v>
      </c>
      <c r="AM221" s="124">
        <f t="shared" si="63"/>
        <v>16.869897347637025</v>
      </c>
      <c r="AN221" s="124">
        <f t="shared" si="64"/>
        <v>8.4265221516668412</v>
      </c>
      <c r="AO221" s="124">
        <f t="shared" si="65"/>
        <v>23.253914181043147</v>
      </c>
      <c r="AP221" s="3">
        <f t="shared" si="32"/>
        <v>147.65728641179749</v>
      </c>
    </row>
    <row r="222" spans="1:42" ht="14">
      <c r="A222">
        <f t="shared" si="55"/>
        <v>64</v>
      </c>
      <c r="B222" s="19">
        <f t="shared" si="55"/>
        <v>144</v>
      </c>
      <c r="C222" s="26">
        <f t="shared" ref="C222:C285" si="66">B$8*(1-EXP(-B$9*$B222))^3</f>
        <v>141.29174894241757</v>
      </c>
      <c r="D222" s="125">
        <f>(($C$39*$C$118*0.72)*D$40)*('Product half-life and C flows'!B123/100)</f>
        <v>0.16487746573360798</v>
      </c>
      <c r="E222" s="26"/>
      <c r="F222" s="54">
        <f t="shared" si="57"/>
        <v>2.0202077190856054</v>
      </c>
      <c r="G222" s="54">
        <f t="shared" si="57"/>
        <v>0.7542108817919595</v>
      </c>
      <c r="H222" s="125">
        <f>(H$118)*('Product half-life and C flows'!L123/100)</f>
        <v>0.4749293924628149</v>
      </c>
      <c r="I222" s="125">
        <f>(($C$39*$C$118*0.28)*H$41)*('Product half-life and C flows'!N123/100)</f>
        <v>0.94193079637509769</v>
      </c>
      <c r="J222" s="125">
        <f>(($C$39*$C$118*0.28)*H$41)*(+'Product half-life and C flows'!P123/100)</f>
        <v>0.47049490328426452</v>
      </c>
      <c r="K222" s="54">
        <f t="shared" si="49"/>
        <v>1.3434381331919276</v>
      </c>
      <c r="L222" s="26"/>
      <c r="M222" s="83">
        <f>C$158*(0.4*D$14)*('Product half-life and C flows'!B83/100)</f>
        <v>2.7886224072431469</v>
      </c>
      <c r="N222" s="83">
        <f t="shared" ref="N222:N238" si="67">C$8*(1-EXP(-C$9*$B142))^3</f>
        <v>87.149124730306028</v>
      </c>
      <c r="O222" s="83">
        <f t="shared" si="56"/>
        <v>5.9794671475617367</v>
      </c>
      <c r="P222" s="83">
        <f t="shared" si="56"/>
        <v>12.300618132127003</v>
      </c>
      <c r="Q222" s="83">
        <f>C$158*(0.6*C$15)*('Product half-life and C flows'!L83/100)</f>
        <v>14.343178674350629</v>
      </c>
      <c r="R222" s="83">
        <f>C$158*0.6*('Product half-life and C flows'!N83/100)</f>
        <v>16.080232827689873</v>
      </c>
      <c r="S222" s="83">
        <f>C$158*0.6*('Product half-life and C flows'!P83/100)</f>
        <v>8.0320843295154187</v>
      </c>
      <c r="T222" s="83">
        <f t="shared" si="36"/>
        <v>21.910476047851219</v>
      </c>
      <c r="U222" s="3"/>
      <c r="V222" s="88"/>
      <c r="W222" s="88"/>
      <c r="X222" s="88"/>
      <c r="Y222" s="88"/>
      <c r="Z222" s="88"/>
      <c r="AA222" s="88"/>
      <c r="AB222" s="88"/>
      <c r="AC222" s="88"/>
      <c r="AE222">
        <f t="shared" si="53"/>
        <v>64</v>
      </c>
      <c r="AF222" s="3">
        <f t="shared" si="33"/>
        <v>31.139276224169201</v>
      </c>
      <c r="AG222" s="113">
        <f t="shared" si="54"/>
        <v>141.29174894241757</v>
      </c>
      <c r="AH222" s="124">
        <f t="shared" si="58"/>
        <v>2.9534998729767548</v>
      </c>
      <c r="AI222" s="124">
        <f t="shared" si="59"/>
        <v>87.149124730306028</v>
      </c>
      <c r="AJ222" s="124">
        <f t="shared" si="60"/>
        <v>7.9996748666473421</v>
      </c>
      <c r="AK222" s="124">
        <f t="shared" si="61"/>
        <v>13.054829013918962</v>
      </c>
      <c r="AL222" s="124">
        <f t="shared" si="62"/>
        <v>14.818108066813444</v>
      </c>
      <c r="AM222" s="124">
        <f t="shared" si="63"/>
        <v>17.022163624064969</v>
      </c>
      <c r="AN222" s="124">
        <f t="shared" si="64"/>
        <v>8.5025792327996825</v>
      </c>
      <c r="AO222" s="124">
        <f t="shared" si="65"/>
        <v>23.253914181043147</v>
      </c>
      <c r="AP222" s="3">
        <f t="shared" ref="AP222:AP285" si="68">SUM(AI222:AN222)</f>
        <v>148.54647953455043</v>
      </c>
    </row>
    <row r="223" spans="1:42" ht="14">
      <c r="A223">
        <f t="shared" si="55"/>
        <v>65</v>
      </c>
      <c r="B223" s="19">
        <f t="shared" si="55"/>
        <v>145</v>
      </c>
      <c r="C223" s="26">
        <f t="shared" si="66"/>
        <v>141.79151365954192</v>
      </c>
      <c r="D223" s="125">
        <f>(($C$39*$C$118*0.72)*D$40)*('Product half-life and C flows'!B124/100)</f>
        <v>0.15926113397315331</v>
      </c>
      <c r="E223" s="26"/>
      <c r="F223" s="54">
        <f t="shared" si="57"/>
        <v>2.0202077190856054</v>
      </c>
      <c r="G223" s="54">
        <f t="shared" si="57"/>
        <v>0.7542108817919595</v>
      </c>
      <c r="H223" s="125">
        <f>(H$118)*('Product half-life and C flows'!L124/100)</f>
        <v>0.46766997936032023</v>
      </c>
      <c r="I223" s="125">
        <f>(($C$39*$C$118*0.28)*H$41)*('Product half-life and C flows'!N124/100)</f>
        <v>0.94556413263289629</v>
      </c>
      <c r="J223" s="125">
        <f>(($C$39*$C$118*0.28)*H$41)*(+'Product half-life and C flows'!P124/100)</f>
        <v>0.47230975655988816</v>
      </c>
      <c r="K223" s="54">
        <f t="shared" si="49"/>
        <v>1.3434381331919276</v>
      </c>
      <c r="L223" s="26"/>
      <c r="M223" s="83">
        <f>C$158*(0.4*D$14)*('Product half-life and C flows'!B84/100)</f>
        <v>2.6936316908100113</v>
      </c>
      <c r="N223" s="83">
        <f t="shared" si="67"/>
        <v>88.010834670654972</v>
      </c>
      <c r="O223" s="83">
        <f t="shared" si="56"/>
        <v>5.9794671475617367</v>
      </c>
      <c r="P223" s="83">
        <f t="shared" si="56"/>
        <v>12.300618132127003</v>
      </c>
      <c r="Q223" s="83">
        <f>C$158*(0.6*C$15)*('Product half-life and C flows'!L84/100)</f>
        <v>14.12393964460758</v>
      </c>
      <c r="R223" s="83">
        <f>C$158*0.6*('Product half-life and C flows'!N84/100)</f>
        <v>16.226538340205067</v>
      </c>
      <c r="S223" s="83">
        <f>C$158*0.6*('Product half-life and C flows'!P84/100)</f>
        <v>8.1051640060964338</v>
      </c>
      <c r="T223" s="83">
        <f t="shared" si="36"/>
        <v>21.910476047851219</v>
      </c>
      <c r="U223" s="3"/>
      <c r="V223" s="88"/>
      <c r="W223" s="88"/>
      <c r="X223" s="88"/>
      <c r="Y223" s="88"/>
      <c r="Z223" s="88"/>
      <c r="AA223" s="88"/>
      <c r="AB223" s="88"/>
      <c r="AC223" s="88"/>
      <c r="AE223">
        <f t="shared" si="53"/>
        <v>65</v>
      </c>
      <c r="AF223" s="3">
        <f t="shared" ref="AF223:AF286" si="69">D$8*(1-EXP(-D$9*$B143))^3</f>
        <v>31.447174025101525</v>
      </c>
      <c r="AG223" s="113">
        <f t="shared" si="54"/>
        <v>141.79151365954192</v>
      </c>
      <c r="AH223" s="124">
        <f t="shared" si="58"/>
        <v>2.8528928247831646</v>
      </c>
      <c r="AI223" s="124">
        <f t="shared" si="59"/>
        <v>88.010834670654972</v>
      </c>
      <c r="AJ223" s="124">
        <f t="shared" si="60"/>
        <v>7.9996748666473421</v>
      </c>
      <c r="AK223" s="124">
        <f t="shared" si="61"/>
        <v>13.054829013918962</v>
      </c>
      <c r="AL223" s="124">
        <f t="shared" si="62"/>
        <v>14.5916096239679</v>
      </c>
      <c r="AM223" s="124">
        <f t="shared" si="63"/>
        <v>17.172102472837963</v>
      </c>
      <c r="AN223" s="124">
        <f t="shared" si="64"/>
        <v>8.5774737626563216</v>
      </c>
      <c r="AO223" s="124">
        <f t="shared" si="65"/>
        <v>23.253914181043147</v>
      </c>
      <c r="AP223" s="3">
        <f t="shared" si="68"/>
        <v>149.40652441068346</v>
      </c>
    </row>
    <row r="224" spans="1:42" ht="14">
      <c r="A224">
        <f t="shared" ref="A224:B238" si="70">A223+1</f>
        <v>66</v>
      </c>
      <c r="B224" s="19">
        <f t="shared" si="70"/>
        <v>146</v>
      </c>
      <c r="C224" s="26">
        <f t="shared" si="66"/>
        <v>142.28252472722863</v>
      </c>
      <c r="D224" s="125">
        <f>(($C$39*$C$118*0.72)*D$40)*('Product half-life and C flows'!B125/100)</f>
        <v>0.15383611509043579</v>
      </c>
      <c r="E224" s="26"/>
      <c r="F224" s="54">
        <f t="shared" si="57"/>
        <v>2.0202077190856054</v>
      </c>
      <c r="G224" s="54">
        <f t="shared" si="57"/>
        <v>0.7542108817919595</v>
      </c>
      <c r="H224" s="125">
        <f>(H$118)*('Product half-life and C flows'!L125/100)</f>
        <v>0.46052152818064823</v>
      </c>
      <c r="I224" s="125">
        <f>(($C$39*$C$118*0.28)*H$41)*('Product half-life and C flows'!N125/100)</f>
        <v>0.94914193244832212</v>
      </c>
      <c r="J224" s="125">
        <f>(($C$39*$C$118*0.28)*H$41)*(+'Product half-life and C flows'!P125/100)</f>
        <v>0.47409686935480616</v>
      </c>
      <c r="K224" s="54">
        <f t="shared" si="49"/>
        <v>1.3434381331919276</v>
      </c>
      <c r="L224" s="26"/>
      <c r="M224" s="83">
        <f>C$158*(0.4*D$14)*('Product half-life and C flows'!B85/100)</f>
        <v>2.6018767068966469</v>
      </c>
      <c r="N224" s="83">
        <f t="shared" si="67"/>
        <v>88.84408922856835</v>
      </c>
      <c r="O224" s="83">
        <f t="shared" ref="O224:P238" si="71">O223</f>
        <v>5.9794671475617367</v>
      </c>
      <c r="P224" s="83">
        <f t="shared" si="71"/>
        <v>12.300618132127003</v>
      </c>
      <c r="Q224" s="83">
        <f>C$158*(0.6*C$15)*('Product half-life and C flows'!L85/100)</f>
        <v>13.908051737600571</v>
      </c>
      <c r="R224" s="83">
        <f>C$158*0.6*('Product half-life and C flows'!N85/100)</f>
        <v>16.370607536814411</v>
      </c>
      <c r="S224" s="83">
        <f>C$158*0.6*('Product half-life and C flows'!P85/100)</f>
        <v>8.1771266417654367</v>
      </c>
      <c r="T224" s="83">
        <f t="shared" ref="T224:T238" si="72">T223</f>
        <v>21.910476047851219</v>
      </c>
      <c r="U224" s="3"/>
      <c r="V224" s="88"/>
      <c r="W224" s="88"/>
      <c r="X224" s="88"/>
      <c r="Y224" s="88"/>
      <c r="Z224" s="88"/>
      <c r="AA224" s="88"/>
      <c r="AB224" s="88"/>
      <c r="AC224" s="88"/>
      <c r="AE224">
        <f t="shared" si="53"/>
        <v>66</v>
      </c>
      <c r="AF224" s="3">
        <f t="shared" si="69"/>
        <v>31.744904426000087</v>
      </c>
      <c r="AG224" s="113">
        <f t="shared" si="54"/>
        <v>142.28252472722863</v>
      </c>
      <c r="AH224" s="124">
        <f t="shared" si="58"/>
        <v>2.7557128219870828</v>
      </c>
      <c r="AI224" s="124">
        <f t="shared" si="59"/>
        <v>88.84408922856835</v>
      </c>
      <c r="AJ224" s="124">
        <f t="shared" si="60"/>
        <v>7.9996748666473421</v>
      </c>
      <c r="AK224" s="124">
        <f t="shared" si="61"/>
        <v>13.054829013918962</v>
      </c>
      <c r="AL224" s="124">
        <f t="shared" si="62"/>
        <v>14.368573265781219</v>
      </c>
      <c r="AM224" s="124">
        <f t="shared" si="63"/>
        <v>17.319749469262732</v>
      </c>
      <c r="AN224" s="124">
        <f t="shared" si="64"/>
        <v>8.6512235111202429</v>
      </c>
      <c r="AO224" s="124">
        <f t="shared" si="65"/>
        <v>23.253914181043147</v>
      </c>
      <c r="AP224" s="3">
        <f t="shared" si="68"/>
        <v>150.23813935529884</v>
      </c>
    </row>
    <row r="225" spans="1:42" ht="14">
      <c r="A225">
        <f t="shared" si="70"/>
        <v>67</v>
      </c>
      <c r="B225" s="19">
        <f t="shared" si="70"/>
        <v>147</v>
      </c>
      <c r="C225" s="26">
        <f t="shared" si="66"/>
        <v>142.76491195260849</v>
      </c>
      <c r="D225" s="125">
        <f>(($C$39*$C$118*0.72)*D$40)*('Product half-life and C flows'!B126/100)</f>
        <v>0.14859589226651559</v>
      </c>
      <c r="E225" s="26"/>
      <c r="F225" s="54">
        <f t="shared" si="57"/>
        <v>2.0202077190856054</v>
      </c>
      <c r="G225" s="54">
        <f t="shared" si="57"/>
        <v>0.7542108817919595</v>
      </c>
      <c r="H225" s="125">
        <f>(H$118)*('Product half-life and C flows'!L126/100)</f>
        <v>0.45348234284339384</v>
      </c>
      <c r="I225" s="125">
        <f>(($C$39*$C$118*0.28)*H$41)*('Product half-life and C flows'!N126/100)</f>
        <v>0.95266504470961788</v>
      </c>
      <c r="J225" s="125">
        <f>(($C$39*$C$118*0.28)*H$41)*(+'Product half-life and C flows'!P126/100)</f>
        <v>0.47585666568911972</v>
      </c>
      <c r="K225" s="54">
        <f t="shared" si="49"/>
        <v>1.3434381331919276</v>
      </c>
      <c r="L225" s="26"/>
      <c r="M225" s="83">
        <f>C$158*(0.4*D$14)*('Product half-life and C flows'!B86/100)</f>
        <v>2.5132472345748131</v>
      </c>
      <c r="N225" s="83">
        <f t="shared" si="67"/>
        <v>89.649609650172877</v>
      </c>
      <c r="O225" s="83">
        <f t="shared" si="71"/>
        <v>5.9794671475617367</v>
      </c>
      <c r="P225" s="83">
        <f t="shared" si="71"/>
        <v>12.300618132127003</v>
      </c>
      <c r="Q225" s="83">
        <f>C$158*(0.6*C$15)*('Product half-life and C flows'!L86/100)</f>
        <v>13.695463730590637</v>
      </c>
      <c r="R225" s="83">
        <f>C$158*0.6*('Product half-life and C flows'!N86/100)</f>
        <v>16.512474600159042</v>
      </c>
      <c r="S225" s="83">
        <f>C$158*0.6*('Product half-life and C flows'!P86/100)</f>
        <v>8.2479893107687499</v>
      </c>
      <c r="T225" s="83">
        <f t="shared" si="72"/>
        <v>21.910476047851219</v>
      </c>
      <c r="U225" s="3"/>
      <c r="V225" s="88"/>
      <c r="W225" s="88"/>
      <c r="X225" s="88"/>
      <c r="Y225" s="88"/>
      <c r="Z225" s="88"/>
      <c r="AA225" s="88"/>
      <c r="AB225" s="88"/>
      <c r="AC225" s="88"/>
      <c r="AE225">
        <f t="shared" si="53"/>
        <v>67</v>
      </c>
      <c r="AF225" s="3">
        <f t="shared" si="69"/>
        <v>32.03272513550435</v>
      </c>
      <c r="AG225" s="113">
        <f t="shared" si="54"/>
        <v>142.76491195260849</v>
      </c>
      <c r="AH225" s="124">
        <f t="shared" si="58"/>
        <v>2.6618431268413287</v>
      </c>
      <c r="AI225" s="124">
        <f t="shared" si="59"/>
        <v>89.649609650172877</v>
      </c>
      <c r="AJ225" s="124">
        <f t="shared" si="60"/>
        <v>7.9996748666473421</v>
      </c>
      <c r="AK225" s="124">
        <f t="shared" si="61"/>
        <v>13.054829013918962</v>
      </c>
      <c r="AL225" s="124">
        <f t="shared" si="62"/>
        <v>14.148946073434031</v>
      </c>
      <c r="AM225" s="124">
        <f t="shared" si="63"/>
        <v>17.46513964486866</v>
      </c>
      <c r="AN225" s="124">
        <f t="shared" si="64"/>
        <v>8.72384597645787</v>
      </c>
      <c r="AO225" s="124">
        <f t="shared" si="65"/>
        <v>23.253914181043147</v>
      </c>
      <c r="AP225" s="3">
        <f t="shared" si="68"/>
        <v>151.04204522549975</v>
      </c>
    </row>
    <row r="226" spans="1:42" ht="14">
      <c r="A226">
        <f t="shared" si="70"/>
        <v>68</v>
      </c>
      <c r="B226" s="19">
        <f t="shared" si="70"/>
        <v>148</v>
      </c>
      <c r="C226" s="26">
        <f t="shared" si="66"/>
        <v>143.23880420546197</v>
      </c>
      <c r="D226" s="125">
        <f>(($C$39*$C$118*0.72)*D$40)*('Product half-life and C flows'!B127/100)</f>
        <v>0.14353417066922983</v>
      </c>
      <c r="E226" s="26"/>
      <c r="F226" s="54">
        <f t="shared" si="57"/>
        <v>2.0202077190856054</v>
      </c>
      <c r="G226" s="54">
        <f t="shared" si="57"/>
        <v>0.7542108817919595</v>
      </c>
      <c r="H226" s="125">
        <f>(H$118)*('Product half-life and C flows'!L127/100)</f>
        <v>0.44655075319315957</v>
      </c>
      <c r="I226" s="125">
        <f>(($C$39*$C$118*0.28)*H$41)*('Product half-life and C flows'!N127/100)</f>
        <v>0.95613430532956012</v>
      </c>
      <c r="J226" s="125">
        <f>(($C$39*$C$118*0.28)*H$41)*(+'Product half-life and C flows'!P127/100)</f>
        <v>0.47758956310167827</v>
      </c>
      <c r="K226" s="54">
        <f t="shared" si="49"/>
        <v>1.3434381331919276</v>
      </c>
      <c r="L226" s="26"/>
      <c r="M226" s="83">
        <f>C$158*(0.4*D$14)*('Product half-life and C flows'!B87/100)</f>
        <v>2.4276368074457149</v>
      </c>
      <c r="N226" s="83">
        <f t="shared" si="67"/>
        <v>90.428117479893075</v>
      </c>
      <c r="O226" s="83">
        <f t="shared" si="71"/>
        <v>5.9794671475617367</v>
      </c>
      <c r="P226" s="83">
        <f t="shared" si="71"/>
        <v>12.300618132127003</v>
      </c>
      <c r="Q226" s="83">
        <f>C$158*(0.6*C$15)*('Product half-life and C flows'!L87/100)</f>
        <v>13.486125183791025</v>
      </c>
      <c r="R226" s="83">
        <f>C$158*0.6*('Product half-life and C flows'!N87/100)</f>
        <v>16.652173190389984</v>
      </c>
      <c r="S226" s="83">
        <f>C$158*0.6*('Product half-life and C flows'!P87/100)</f>
        <v>8.3177688263686207</v>
      </c>
      <c r="T226" s="83">
        <f t="shared" si="72"/>
        <v>21.910476047851219</v>
      </c>
      <c r="U226" s="3"/>
      <c r="V226" s="88"/>
      <c r="W226" s="88"/>
      <c r="X226" s="88"/>
      <c r="Y226" s="88"/>
      <c r="Z226" s="88"/>
      <c r="AA226" s="88"/>
      <c r="AB226" s="88"/>
      <c r="AC226" s="88"/>
      <c r="AE226">
        <f t="shared" si="53"/>
        <v>68</v>
      </c>
      <c r="AF226" s="3">
        <f t="shared" si="69"/>
        <v>32.31089396883867</v>
      </c>
      <c r="AG226" s="113">
        <f t="shared" si="54"/>
        <v>143.23880420546197</v>
      </c>
      <c r="AH226" s="124">
        <f t="shared" si="58"/>
        <v>2.5711709781149445</v>
      </c>
      <c r="AI226" s="124">
        <f t="shared" si="59"/>
        <v>90.428117479893075</v>
      </c>
      <c r="AJ226" s="124">
        <f t="shared" si="60"/>
        <v>7.9996748666473421</v>
      </c>
      <c r="AK226" s="124">
        <f t="shared" si="61"/>
        <v>13.054829013918962</v>
      </c>
      <c r="AL226" s="124">
        <f t="shared" si="62"/>
        <v>13.932675936984184</v>
      </c>
      <c r="AM226" s="124">
        <f t="shared" si="63"/>
        <v>17.608307495719544</v>
      </c>
      <c r="AN226" s="124">
        <f t="shared" si="64"/>
        <v>8.7953583894702998</v>
      </c>
      <c r="AO226" s="124">
        <f t="shared" si="65"/>
        <v>23.253914181043147</v>
      </c>
      <c r="AP226" s="3">
        <f t="shared" si="68"/>
        <v>151.81896318263338</v>
      </c>
    </row>
    <row r="227" spans="1:42" ht="14">
      <c r="A227">
        <f t="shared" si="70"/>
        <v>69</v>
      </c>
      <c r="B227" s="19">
        <f t="shared" si="70"/>
        <v>149</v>
      </c>
      <c r="C227" s="26">
        <f t="shared" si="66"/>
        <v>143.70432937704084</v>
      </c>
      <c r="D227" s="125">
        <f>(($C$39*$C$118*0.72)*D$40)*('Product half-life and C flows'!B128/100)</f>
        <v>0.13864486989150812</v>
      </c>
      <c r="E227" s="26"/>
      <c r="F227" s="54">
        <f t="shared" si="57"/>
        <v>2.0202077190856054</v>
      </c>
      <c r="G227" s="54">
        <f t="shared" si="57"/>
        <v>0.7542108817919595</v>
      </c>
      <c r="H227" s="125">
        <f>(H$118)*('Product half-life and C flows'!L128/100)</f>
        <v>0.43972511460328639</v>
      </c>
      <c r="I227" s="125">
        <f>(($C$39*$C$118*0.28)*H$41)*('Product half-life and C flows'!N128/100)</f>
        <v>0.95955053744379171</v>
      </c>
      <c r="J227" s="125">
        <f>(($C$39*$C$118*0.28)*H$41)*(+'Product half-life and C flows'!P128/100)</f>
        <v>0.47929597274914654</v>
      </c>
      <c r="K227" s="54">
        <f t="shared" si="49"/>
        <v>1.3434381331919276</v>
      </c>
      <c r="L227" s="26"/>
      <c r="M227" s="83">
        <f>C$158*(0.4*D$14)*('Product half-life and C flows'!B88/100)</f>
        <v>2.3449425857469466</v>
      </c>
      <c r="N227" s="83">
        <f t="shared" si="67"/>
        <v>91.18033254965907</v>
      </c>
      <c r="O227" s="83">
        <f t="shared" si="71"/>
        <v>5.9794671475617367</v>
      </c>
      <c r="P227" s="83">
        <f t="shared" si="71"/>
        <v>12.300618132127003</v>
      </c>
      <c r="Q227" s="83">
        <f>C$158*(0.6*C$15)*('Product half-life and C flows'!L88/100)</f>
        <v>13.279986428399583</v>
      </c>
      <c r="R227" s="83">
        <f>C$158*0.6*('Product half-life and C flows'!N88/100)</f>
        <v>16.789736453154536</v>
      </c>
      <c r="S227" s="83">
        <f>C$158*0.6*('Product half-life and C flows'!P88/100)</f>
        <v>8.3864817448324338</v>
      </c>
      <c r="T227" s="83">
        <f t="shared" si="72"/>
        <v>21.910476047851219</v>
      </c>
      <c r="U227" s="3"/>
      <c r="V227" s="88"/>
      <c r="W227" s="88"/>
      <c r="X227" s="88"/>
      <c r="Y227" s="88"/>
      <c r="Z227" s="88"/>
      <c r="AA227" s="88"/>
      <c r="AB227" s="88"/>
      <c r="AC227" s="88"/>
      <c r="AE227">
        <f t="shared" si="53"/>
        <v>69</v>
      </c>
      <c r="AF227" s="3">
        <f t="shared" si="69"/>
        <v>32.579668129335545</v>
      </c>
      <c r="AG227" s="113">
        <f t="shared" si="54"/>
        <v>143.70432937704084</v>
      </c>
      <c r="AH227" s="124">
        <f t="shared" si="58"/>
        <v>2.4835874556384545</v>
      </c>
      <c r="AI227" s="124">
        <f t="shared" si="59"/>
        <v>91.18033254965907</v>
      </c>
      <c r="AJ227" s="124">
        <f t="shared" si="60"/>
        <v>7.9996748666473421</v>
      </c>
      <c r="AK227" s="124">
        <f t="shared" si="61"/>
        <v>13.054829013918962</v>
      </c>
      <c r="AL227" s="124">
        <f t="shared" si="62"/>
        <v>13.71971154300287</v>
      </c>
      <c r="AM227" s="124">
        <f t="shared" si="63"/>
        <v>17.749286990598328</v>
      </c>
      <c r="AN227" s="124">
        <f t="shared" si="64"/>
        <v>8.8657777175815795</v>
      </c>
      <c r="AO227" s="124">
        <f t="shared" si="65"/>
        <v>23.253914181043147</v>
      </c>
      <c r="AP227" s="3">
        <f t="shared" si="68"/>
        <v>152.56961268140816</v>
      </c>
    </row>
    <row r="228" spans="1:42" ht="14">
      <c r="A228">
        <f t="shared" si="70"/>
        <v>70</v>
      </c>
      <c r="B228" s="19">
        <f t="shared" si="70"/>
        <v>150</v>
      </c>
      <c r="C228" s="26">
        <f t="shared" si="66"/>
        <v>144.16161434179853</v>
      </c>
      <c r="D228" s="125">
        <f>(($C$39*$C$118*0.72)*D$40)*('Product half-life and C flows'!B129/100)</f>
        <v>0.13392211664726619</v>
      </c>
      <c r="E228" s="26"/>
      <c r="F228" s="54">
        <f t="shared" si="57"/>
        <v>2.0202077190856054</v>
      </c>
      <c r="G228" s="54">
        <f t="shared" si="57"/>
        <v>0.7542108817919595</v>
      </c>
      <c r="H228" s="125">
        <f>(H$118)*('Product half-life and C flows'!L129/100)</f>
        <v>0.4330038075856395</v>
      </c>
      <c r="I228" s="125">
        <f>(($C$39*$C$118*0.28)*H$41)*('Product half-life and C flows'!N129/100)</f>
        <v>0.96291455160612405</v>
      </c>
      <c r="J228" s="125">
        <f>(($C$39*$C$118*0.28)*H$41)*(+'Product half-life and C flows'!P129/100)</f>
        <v>0.4809762995035583</v>
      </c>
      <c r="K228" s="54">
        <f t="shared" si="49"/>
        <v>1.3434381331919276</v>
      </c>
      <c r="L228" s="26"/>
      <c r="M228" s="83">
        <f>C$158*(0.4*D$14)*('Product half-life and C flows'!B89/100)</f>
        <v>2.2650652328159402</v>
      </c>
      <c r="N228" s="83">
        <f t="shared" si="67"/>
        <v>91.906971178250416</v>
      </c>
      <c r="O228" s="83">
        <f t="shared" si="71"/>
        <v>5.9794671475617367</v>
      </c>
      <c r="P228" s="83">
        <f t="shared" si="71"/>
        <v>12.300618132127003</v>
      </c>
      <c r="Q228" s="83">
        <f>C$158*(0.6*C$15)*('Product half-life and C flows'!L89/100)</f>
        <v>13.076998554814098</v>
      </c>
      <c r="R228" s="83">
        <f>C$158*0.6*('Product half-life and C flows'!N89/100)</f>
        <v>16.925197027460584</v>
      </c>
      <c r="S228" s="83">
        <f>C$158*0.6*('Product half-life and C flows'!P89/100)</f>
        <v>8.4541443693609271</v>
      </c>
      <c r="T228" s="83">
        <f t="shared" si="72"/>
        <v>21.910476047851219</v>
      </c>
      <c r="U228" s="3"/>
      <c r="V228" s="88"/>
      <c r="W228" s="88"/>
      <c r="X228" s="88"/>
      <c r="Y228" s="88"/>
      <c r="Z228" s="88"/>
      <c r="AA228" s="88"/>
      <c r="AB228" s="88"/>
      <c r="AC228" s="88"/>
      <c r="AE228">
        <f t="shared" si="53"/>
        <v>70</v>
      </c>
      <c r="AF228" s="3">
        <f t="shared" si="69"/>
        <v>32.839303565042783</v>
      </c>
      <c r="AG228" s="113">
        <f t="shared" si="54"/>
        <v>144.16161434179853</v>
      </c>
      <c r="AH228" s="124">
        <f t="shared" si="58"/>
        <v>2.3989873494632064</v>
      </c>
      <c r="AI228" s="124">
        <f t="shared" si="59"/>
        <v>91.906971178250416</v>
      </c>
      <c r="AJ228" s="124">
        <f t="shared" si="60"/>
        <v>7.9996748666473421</v>
      </c>
      <c r="AK228" s="124">
        <f t="shared" si="61"/>
        <v>13.054829013918962</v>
      </c>
      <c r="AL228" s="124">
        <f t="shared" si="62"/>
        <v>13.510002362399739</v>
      </c>
      <c r="AM228" s="124">
        <f t="shared" si="63"/>
        <v>17.88811157906671</v>
      </c>
      <c r="AN228" s="124">
        <f t="shared" si="64"/>
        <v>8.9351206688644851</v>
      </c>
      <c r="AO228" s="124">
        <f t="shared" si="65"/>
        <v>23.253914181043147</v>
      </c>
      <c r="AP228" s="3">
        <f t="shared" si="68"/>
        <v>153.29470966914766</v>
      </c>
    </row>
    <row r="229" spans="1:42" ht="14">
      <c r="A229">
        <f t="shared" si="70"/>
        <v>71</v>
      </c>
      <c r="B229" s="19">
        <f t="shared" si="70"/>
        <v>151</v>
      </c>
      <c r="C229" s="26">
        <f t="shared" si="66"/>
        <v>144.61078492190234</v>
      </c>
      <c r="D229" s="125">
        <f>(($C$39*$C$118*0.72)*D$40)*('Product half-life and C flows'!B130/100)</f>
        <v>0.1293602377161053</v>
      </c>
      <c r="E229" s="26"/>
      <c r="F229" s="54">
        <f t="shared" si="57"/>
        <v>2.0202077190856054</v>
      </c>
      <c r="G229" s="54">
        <f t="shared" si="57"/>
        <v>0.7542108817919595</v>
      </c>
      <c r="H229" s="125">
        <f>(H$118)*('Product half-life and C flows'!L130/100)</f>
        <v>0.42638523740636103</v>
      </c>
      <c r="I229" s="125">
        <f>(($C$39*$C$118*0.28)*H$41)*('Product half-life and C flows'!N130/100)</f>
        <v>0.96622714598085302</v>
      </c>
      <c r="J229" s="125">
        <f>(($C$39*$C$118*0.28)*H$41)*(+'Product half-life and C flows'!P130/100)</f>
        <v>0.48263094204837798</v>
      </c>
      <c r="K229" s="54">
        <f t="shared" si="49"/>
        <v>1.3434381331919276</v>
      </c>
      <c r="L229" s="26"/>
      <c r="M229" s="83">
        <f>C$158*(0.4*D$14)*('Product half-life and C flows'!B90/100)</f>
        <v>2.1879087957615297</v>
      </c>
      <c r="N229" s="83">
        <f t="shared" si="67"/>
        <v>92.608744564975808</v>
      </c>
      <c r="O229" s="83">
        <f t="shared" si="71"/>
        <v>5.9794671475617367</v>
      </c>
      <c r="P229" s="83">
        <f t="shared" si="71"/>
        <v>12.300618132127003</v>
      </c>
      <c r="Q229" s="83">
        <f>C$158*(0.6*C$15)*('Product half-life and C flows'!L90/100)</f>
        <v>12.877113401027682</v>
      </c>
      <c r="R229" s="83">
        <f>C$158*0.6*('Product half-life and C flows'!N90/100)</f>
        <v>17.05858705342072</v>
      </c>
      <c r="S229" s="83">
        <f>C$158*0.6*('Product half-life and C flows'!P90/100)</f>
        <v>8.5207727539564004</v>
      </c>
      <c r="T229" s="83">
        <f t="shared" si="72"/>
        <v>21.910476047851219</v>
      </c>
      <c r="U229" s="3"/>
      <c r="V229" s="88"/>
      <c r="W229" s="88"/>
      <c r="X229" s="88"/>
      <c r="Y229" s="88"/>
      <c r="Z229" s="88"/>
      <c r="AA229" s="88"/>
      <c r="AB229" s="88"/>
      <c r="AC229" s="88"/>
      <c r="AE229">
        <f t="shared" si="53"/>
        <v>71</v>
      </c>
      <c r="AF229" s="3">
        <f t="shared" si="69"/>
        <v>33.090054394768714</v>
      </c>
      <c r="AG229" s="113">
        <f t="shared" si="54"/>
        <v>144.61078492190234</v>
      </c>
      <c r="AH229" s="124">
        <f t="shared" si="58"/>
        <v>2.3172690334776349</v>
      </c>
      <c r="AI229" s="124">
        <f t="shared" si="59"/>
        <v>92.608744564975808</v>
      </c>
      <c r="AJ229" s="124">
        <f t="shared" si="60"/>
        <v>7.9996748666473421</v>
      </c>
      <c r="AK229" s="124">
        <f t="shared" si="61"/>
        <v>13.054829013918962</v>
      </c>
      <c r="AL229" s="124">
        <f t="shared" si="62"/>
        <v>13.303498638434043</v>
      </c>
      <c r="AM229" s="124">
        <f t="shared" si="63"/>
        <v>18.024814199401572</v>
      </c>
      <c r="AN229" s="124">
        <f t="shared" si="64"/>
        <v>9.0034036960047779</v>
      </c>
      <c r="AO229" s="124">
        <f t="shared" si="65"/>
        <v>23.253914181043147</v>
      </c>
      <c r="AP229" s="3">
        <f t="shared" si="68"/>
        <v>153.99496497938247</v>
      </c>
    </row>
    <row r="230" spans="1:42" ht="14">
      <c r="A230">
        <f t="shared" si="70"/>
        <v>72</v>
      </c>
      <c r="B230" s="19">
        <f t="shared" si="70"/>
        <v>152</v>
      </c>
      <c r="C230" s="26">
        <f t="shared" si="66"/>
        <v>145.05196585440837</v>
      </c>
      <c r="D230" s="125">
        <f>(($C$39*$C$118*0.72)*D$40)*('Product half-life and C flows'!B131/100)</f>
        <v>0.12495375312834012</v>
      </c>
      <c r="E230" s="26"/>
      <c r="F230" s="54">
        <f t="shared" si="57"/>
        <v>2.0202077190856054</v>
      </c>
      <c r="G230" s="54">
        <f t="shared" si="57"/>
        <v>0.7542108817919595</v>
      </c>
      <c r="H230" s="125">
        <f>(H$118)*('Product half-life and C flows'!L131/100)</f>
        <v>0.4198678337074937</v>
      </c>
      <c r="I230" s="125">
        <f>(($C$39*$C$118*0.28)*H$41)*('Product half-life and C flows'!N131/100)</f>
        <v>0.96948910653213605</v>
      </c>
      <c r="J230" s="125">
        <f>(($C$39*$C$118*0.28)*H$41)*(+'Product half-life and C flows'!P131/100)</f>
        <v>0.48426029297309475</v>
      </c>
      <c r="K230" s="54">
        <f t="shared" si="49"/>
        <v>1.3434381331919276</v>
      </c>
      <c r="L230" s="26"/>
      <c r="M230" s="83">
        <f>C$158*(0.4*D$14)*('Product half-life and C flows'!B91/100)</f>
        <v>2.1133805902002716</v>
      </c>
      <c r="N230" s="83">
        <f t="shared" si="67"/>
        <v>93.286357362803088</v>
      </c>
      <c r="O230" s="83">
        <f t="shared" si="71"/>
        <v>5.9794671475617367</v>
      </c>
      <c r="P230" s="83">
        <f t="shared" si="71"/>
        <v>12.300618132127003</v>
      </c>
      <c r="Q230" s="83">
        <f>C$158*(0.6*C$15)*('Product half-life and C flows'!L91/100)</f>
        <v>12.680283541201627</v>
      </c>
      <c r="R230" s="83">
        <f>C$158*0.6*('Product half-life and C flows'!N91/100)</f>
        <v>17.189938179877974</v>
      </c>
      <c r="S230" s="83">
        <f>C$158*0.6*('Product half-life and C flows'!P91/100)</f>
        <v>8.5863827072317527</v>
      </c>
      <c r="T230" s="83">
        <f t="shared" si="72"/>
        <v>21.910476047851219</v>
      </c>
      <c r="U230" s="3"/>
      <c r="V230" s="88"/>
      <c r="W230" s="88"/>
      <c r="X230" s="88"/>
      <c r="Y230" s="88"/>
      <c r="Z230" s="88"/>
      <c r="AA230" s="88"/>
      <c r="AB230" s="88"/>
      <c r="AC230" s="88"/>
      <c r="AE230">
        <f t="shared" si="53"/>
        <v>72</v>
      </c>
      <c r="AF230" s="3">
        <f t="shared" si="69"/>
        <v>33.332172398246932</v>
      </c>
      <c r="AG230" s="113">
        <f t="shared" si="54"/>
        <v>145.05196585440837</v>
      </c>
      <c r="AH230" s="124">
        <f t="shared" si="58"/>
        <v>2.2383343433286118</v>
      </c>
      <c r="AI230" s="124">
        <f t="shared" si="59"/>
        <v>93.286357362803088</v>
      </c>
      <c r="AJ230" s="124">
        <f t="shared" si="60"/>
        <v>7.9996748666473421</v>
      </c>
      <c r="AK230" s="124">
        <f t="shared" si="61"/>
        <v>13.054829013918962</v>
      </c>
      <c r="AL230" s="124">
        <f t="shared" si="62"/>
        <v>13.100151374909121</v>
      </c>
      <c r="AM230" s="124">
        <f t="shared" si="63"/>
        <v>18.159427286410111</v>
      </c>
      <c r="AN230" s="124">
        <f t="shared" si="64"/>
        <v>9.0706430002048481</v>
      </c>
      <c r="AO230" s="124">
        <f t="shared" si="65"/>
        <v>23.253914181043147</v>
      </c>
      <c r="AP230" s="3">
        <f t="shared" si="68"/>
        <v>154.67108290489347</v>
      </c>
    </row>
    <row r="231" spans="1:42" ht="14">
      <c r="A231">
        <f t="shared" si="70"/>
        <v>73</v>
      </c>
      <c r="B231" s="19">
        <f t="shared" si="70"/>
        <v>153</v>
      </c>
      <c r="C231" s="26">
        <f t="shared" si="66"/>
        <v>145.485280760981</v>
      </c>
      <c r="D231" s="125">
        <f>(($C$39*$C$118*0.72)*D$40)*('Product half-life and C flows'!B132/100)</f>
        <v>0.12069736958217021</v>
      </c>
      <c r="E231" s="26"/>
      <c r="F231" s="54">
        <f t="shared" si="57"/>
        <v>2.0202077190856054</v>
      </c>
      <c r="G231" s="54">
        <f t="shared" si="57"/>
        <v>0.7542108817919595</v>
      </c>
      <c r="H231" s="125">
        <f>(H$118)*('Product half-life and C flows'!L132/100)</f>
        <v>0.41345005013438946</v>
      </c>
      <c r="I231" s="125">
        <f>(($C$39*$C$118*0.28)*H$41)*('Product half-life and C flows'!N132/100)</f>
        <v>0.97270120721047471</v>
      </c>
      <c r="J231" s="125">
        <f>(($C$39*$C$118*0.28)*H$41)*(+'Product half-life and C flows'!P132/100)</f>
        <v>0.48586473886637083</v>
      </c>
      <c r="K231" s="54">
        <f t="shared" si="49"/>
        <v>1.3434381331919276</v>
      </c>
      <c r="L231" s="26"/>
      <c r="M231" s="83">
        <f>C$158*(0.4*D$14)*('Product half-life and C flows'!B92/100)</f>
        <v>2.0413910889190738</v>
      </c>
      <c r="N231" s="83">
        <f t="shared" si="67"/>
        <v>93.940506416941886</v>
      </c>
      <c r="O231" s="83">
        <f t="shared" si="71"/>
        <v>5.9794671475617367</v>
      </c>
      <c r="P231" s="83">
        <f t="shared" si="71"/>
        <v>12.300618132127003</v>
      </c>
      <c r="Q231" s="83">
        <f>C$158*(0.6*C$15)*('Product half-life and C flows'!L92/100)</f>
        <v>12.486462274412894</v>
      </c>
      <c r="R231" s="83">
        <f>C$158*0.6*('Product half-life and C flows'!N92/100)</f>
        <v>17.319281571914988</v>
      </c>
      <c r="S231" s="83">
        <f>C$158*0.6*('Product half-life and C flows'!P92/100)</f>
        <v>8.6509897961613316</v>
      </c>
      <c r="T231" s="83">
        <f t="shared" si="72"/>
        <v>21.910476047851219</v>
      </c>
      <c r="U231" s="3"/>
      <c r="V231" s="88"/>
      <c r="W231" s="88"/>
      <c r="X231" s="88"/>
      <c r="Y231" s="88"/>
      <c r="Z231" s="88"/>
      <c r="AA231" s="88"/>
      <c r="AB231" s="88"/>
      <c r="AC231" s="88"/>
      <c r="AE231">
        <f t="shared" si="53"/>
        <v>73</v>
      </c>
      <c r="AF231" s="3">
        <f t="shared" si="69"/>
        <v>33.565906565418935</v>
      </c>
      <c r="AG231" s="113">
        <f t="shared" si="54"/>
        <v>145.485280760981</v>
      </c>
      <c r="AH231" s="124">
        <f t="shared" si="58"/>
        <v>2.1620884585012439</v>
      </c>
      <c r="AI231" s="124">
        <f t="shared" si="59"/>
        <v>93.940506416941886</v>
      </c>
      <c r="AJ231" s="124">
        <f t="shared" si="60"/>
        <v>7.9996748666473421</v>
      </c>
      <c r="AK231" s="124">
        <f t="shared" si="61"/>
        <v>13.054829013918962</v>
      </c>
      <c r="AL231" s="124">
        <f t="shared" si="62"/>
        <v>12.899912324547284</v>
      </c>
      <c r="AM231" s="124">
        <f t="shared" si="63"/>
        <v>18.291982779125462</v>
      </c>
      <c r="AN231" s="124">
        <f t="shared" si="64"/>
        <v>9.1368545350277017</v>
      </c>
      <c r="AO231" s="124">
        <f t="shared" si="65"/>
        <v>23.253914181043147</v>
      </c>
      <c r="AP231" s="3">
        <f t="shared" si="68"/>
        <v>155.32375993620863</v>
      </c>
    </row>
    <row r="232" spans="1:42" ht="14">
      <c r="A232">
        <f t="shared" si="70"/>
        <v>74</v>
      </c>
      <c r="B232" s="19">
        <f t="shared" si="70"/>
        <v>154</v>
      </c>
      <c r="C232" s="26">
        <f t="shared" si="66"/>
        <v>145.9108521200458</v>
      </c>
      <c r="D232" s="125">
        <f>(($C$39*$C$118*0.72)*D$40)*('Product half-life and C flows'!B133/100)</f>
        <v>0.11658597408508684</v>
      </c>
      <c r="E232" s="26"/>
      <c r="F232" s="54">
        <f t="shared" ref="F232:G238" si="73">F231</f>
        <v>2.0202077190856054</v>
      </c>
      <c r="G232" s="54">
        <f t="shared" si="73"/>
        <v>0.7542108817919595</v>
      </c>
      <c r="H232" s="125">
        <f>(H$118)*('Product half-life and C flows'!L133/100)</f>
        <v>0.40713036396881358</v>
      </c>
      <c r="I232" s="125">
        <f>(($C$39*$C$118*0.28)*H$41)*('Product half-life and C flows'!N133/100)</f>
        <v>0.9758642101363455</v>
      </c>
      <c r="J232" s="125">
        <f>(($C$39*$C$118*0.28)*H$41)*(+'Product half-life and C flows'!P133/100)</f>
        <v>0.4874446604077648</v>
      </c>
      <c r="K232" s="54">
        <f t="shared" si="49"/>
        <v>1.3434381331919276</v>
      </c>
      <c r="L232" s="26"/>
      <c r="M232" s="83">
        <f>C$158*(0.4*D$14)*('Product half-life and C flows'!B93/100)</f>
        <v>1.9718538143303834</v>
      </c>
      <c r="N232" s="83">
        <f t="shared" si="67"/>
        <v>94.57187965573975</v>
      </c>
      <c r="O232" s="83">
        <f t="shared" si="71"/>
        <v>5.9794671475617367</v>
      </c>
      <c r="P232" s="83">
        <f t="shared" si="71"/>
        <v>12.300618132127003</v>
      </c>
      <c r="Q232" s="83">
        <f>C$158*(0.6*C$15)*('Product half-life and C flows'!L93/100)</f>
        <v>12.29560361357359</v>
      </c>
      <c r="R232" s="83">
        <f>C$158*0.6*('Product half-life and C flows'!N93/100)</f>
        <v>17.446647918248413</v>
      </c>
      <c r="S232" s="83">
        <f>C$158*0.6*('Product half-life and C flows'!P93/100)</f>
        <v>8.714609349774431</v>
      </c>
      <c r="T232" s="83">
        <f t="shared" si="72"/>
        <v>21.910476047851219</v>
      </c>
      <c r="U232" s="3"/>
      <c r="V232" s="88"/>
      <c r="W232" s="88"/>
      <c r="X232" s="88"/>
      <c r="Y232" s="88"/>
      <c r="Z232" s="88"/>
      <c r="AA232" s="88"/>
      <c r="AB232" s="88"/>
      <c r="AC232" s="88"/>
      <c r="AE232">
        <f t="shared" si="53"/>
        <v>74</v>
      </c>
      <c r="AF232" s="3">
        <f t="shared" si="69"/>
        <v>33.79150270013993</v>
      </c>
      <c r="AG232" s="113">
        <f t="shared" si="54"/>
        <v>145.9108521200458</v>
      </c>
      <c r="AH232" s="124">
        <f t="shared" si="58"/>
        <v>2.0884397884154704</v>
      </c>
      <c r="AI232" s="124">
        <f t="shared" si="59"/>
        <v>94.57187965573975</v>
      </c>
      <c r="AJ232" s="124">
        <f t="shared" si="60"/>
        <v>7.9996748666473421</v>
      </c>
      <c r="AK232" s="124">
        <f t="shared" si="61"/>
        <v>13.054829013918962</v>
      </c>
      <c r="AL232" s="124">
        <f t="shared" si="62"/>
        <v>12.702733977542403</v>
      </c>
      <c r="AM232" s="124">
        <f t="shared" si="63"/>
        <v>18.42251212838476</v>
      </c>
      <c r="AN232" s="124">
        <f t="shared" si="64"/>
        <v>9.202054010182195</v>
      </c>
      <c r="AO232" s="124">
        <f t="shared" si="65"/>
        <v>23.253914181043147</v>
      </c>
      <c r="AP232" s="3">
        <f t="shared" si="68"/>
        <v>155.95368365241541</v>
      </c>
    </row>
    <row r="233" spans="1:42" ht="14">
      <c r="A233">
        <f t="shared" si="70"/>
        <v>75</v>
      </c>
      <c r="B233" s="19">
        <f t="shared" si="70"/>
        <v>155</v>
      </c>
      <c r="C233" s="26">
        <f t="shared" si="66"/>
        <v>146.32880124126649</v>
      </c>
      <c r="D233" s="125">
        <f>(($C$39*$C$118*0.72)*D$40)*('Product half-life and C flows'!B134/100)</f>
        <v>0.11261462781187595</v>
      </c>
      <c r="E233" s="26"/>
      <c r="F233" s="54">
        <f t="shared" si="73"/>
        <v>2.0202077190856054</v>
      </c>
      <c r="G233" s="54">
        <f t="shared" si="73"/>
        <v>0.7542108817919595</v>
      </c>
      <c r="H233" s="125">
        <f>(H$118)*('Product half-life and C flows'!L134/100)</f>
        <v>0.40090727576765534</v>
      </c>
      <c r="I233" s="125">
        <f>(($C$39*$C$118*0.28)*H$41)*('Product half-life and C flows'!N134/100)</f>
        <v>0.97897886578102511</v>
      </c>
      <c r="J233" s="125">
        <f>(($C$39*$C$118*0.28)*H$41)*(+'Product half-life and C flows'!P134/100)</f>
        <v>0.48900043245805436</v>
      </c>
      <c r="K233" s="54">
        <f t="shared" si="49"/>
        <v>1.3434381331919276</v>
      </c>
      <c r="L233" s="26"/>
      <c r="M233" s="83">
        <f>C$158*(0.4*D$14)*('Product half-life and C flows'!B94/100)</f>
        <v>1.9046852345907443</v>
      </c>
      <c r="N233" s="83">
        <f t="shared" si="67"/>
        <v>95.181155121580233</v>
      </c>
      <c r="O233" s="83">
        <f t="shared" si="71"/>
        <v>5.9794671475617367</v>
      </c>
      <c r="P233" s="83">
        <f t="shared" si="71"/>
        <v>12.300618132127003</v>
      </c>
      <c r="Q233" s="83">
        <f>C$158*(0.6*C$15)*('Product half-life and C flows'!L94/100)</f>
        <v>12.107662274519816</v>
      </c>
      <c r="R233" s="83">
        <f>C$158*0.6*('Product half-life and C flows'!N94/100)</f>
        <v>17.572067438510299</v>
      </c>
      <c r="S233" s="83">
        <f>C$158*0.6*('Product half-life and C flows'!P94/100)</f>
        <v>8.7772564627923568</v>
      </c>
      <c r="T233" s="83">
        <f t="shared" si="72"/>
        <v>21.910476047851219</v>
      </c>
      <c r="U233" s="3"/>
      <c r="V233" s="88"/>
      <c r="W233" s="88"/>
      <c r="X233" s="88"/>
      <c r="Y233" s="88"/>
      <c r="Z233" s="88"/>
      <c r="AA233" s="88"/>
      <c r="AB233" s="88"/>
      <c r="AC233" s="88"/>
      <c r="AE233">
        <f t="shared" si="53"/>
        <v>75</v>
      </c>
      <c r="AF233" s="3">
        <f t="shared" si="69"/>
        <v>34.009203073908786</v>
      </c>
      <c r="AG233" s="113">
        <f t="shared" si="54"/>
        <v>146.32880124126649</v>
      </c>
      <c r="AH233" s="124">
        <f t="shared" si="58"/>
        <v>2.0172998624026204</v>
      </c>
      <c r="AI233" s="124">
        <f t="shared" si="59"/>
        <v>95.181155121580233</v>
      </c>
      <c r="AJ233" s="124">
        <f t="shared" si="60"/>
        <v>7.9996748666473421</v>
      </c>
      <c r="AK233" s="124">
        <f t="shared" si="61"/>
        <v>13.054829013918962</v>
      </c>
      <c r="AL233" s="124">
        <f t="shared" si="62"/>
        <v>12.508569550287472</v>
      </c>
      <c r="AM233" s="124">
        <f t="shared" si="63"/>
        <v>18.551046304291322</v>
      </c>
      <c r="AN233" s="124">
        <f t="shared" si="64"/>
        <v>9.266256895250411</v>
      </c>
      <c r="AO233" s="124">
        <f t="shared" si="65"/>
        <v>23.253914181043147</v>
      </c>
      <c r="AP233" s="3">
        <f t="shared" si="68"/>
        <v>156.56153175197576</v>
      </c>
    </row>
    <row r="234" spans="1:42" ht="14">
      <c r="A234">
        <f t="shared" si="70"/>
        <v>76</v>
      </c>
      <c r="B234" s="19">
        <f t="shared" si="70"/>
        <v>156</v>
      </c>
      <c r="C234" s="26">
        <f t="shared" si="66"/>
        <v>146.73924824224071</v>
      </c>
      <c r="D234" s="125">
        <f>(($C$39*$C$118*0.72)*D$40)*('Product half-life and C flows'!B135/100)</f>
        <v>0.10877856017184132</v>
      </c>
      <c r="E234" s="26"/>
      <c r="F234" s="54">
        <f t="shared" si="73"/>
        <v>2.0202077190856054</v>
      </c>
      <c r="G234" s="54">
        <f t="shared" si="73"/>
        <v>0.7542108817919595</v>
      </c>
      <c r="H234" s="125">
        <f>(H$118)*('Product half-life and C flows'!L135/100)</f>
        <v>0.39477930900716252</v>
      </c>
      <c r="I234" s="125">
        <f>(($C$39*$C$118*0.28)*H$41)*('Product half-life and C flows'!N135/100)</f>
        <v>0.98204591314465184</v>
      </c>
      <c r="J234" s="125">
        <f>(($C$39*$C$118*0.28)*H$41)*(+'Product half-life and C flows'!P135/100)</f>
        <v>0.4905324241481776</v>
      </c>
      <c r="K234" s="54">
        <f t="shared" si="49"/>
        <v>1.3434381331919276</v>
      </c>
      <c r="L234" s="26"/>
      <c r="M234" s="83">
        <f>C$158*(0.4*D$14)*('Product half-life and C flows'!B95/100)</f>
        <v>1.8398046632579419</v>
      </c>
      <c r="N234" s="83">
        <f t="shared" si="67"/>
        <v>95.769000130262825</v>
      </c>
      <c r="O234" s="83">
        <f t="shared" si="71"/>
        <v>5.9794671475617367</v>
      </c>
      <c r="P234" s="83">
        <f t="shared" si="71"/>
        <v>12.300618132127003</v>
      </c>
      <c r="Q234" s="83">
        <f>C$158*(0.6*C$15)*('Product half-life and C flows'!L95/100)</f>
        <v>11.922593665267316</v>
      </c>
      <c r="R234" s="83">
        <f>C$158*0.6*('Product half-life and C flows'!N95/100)</f>
        <v>17.695569890418135</v>
      </c>
      <c r="S234" s="83">
        <f>C$158*0.6*('Product half-life and C flows'!P95/100)</f>
        <v>8.8389459992098569</v>
      </c>
      <c r="T234" s="83">
        <f t="shared" si="72"/>
        <v>21.910476047851219</v>
      </c>
      <c r="U234" s="3"/>
      <c r="V234" s="88"/>
      <c r="W234" s="88"/>
      <c r="X234" s="88"/>
      <c r="Y234" s="88"/>
      <c r="Z234" s="88"/>
      <c r="AA234" s="88"/>
      <c r="AB234" s="88"/>
      <c r="AC234" s="88"/>
      <c r="AE234">
        <f t="shared" si="53"/>
        <v>76</v>
      </c>
      <c r="AF234" s="3">
        <f t="shared" si="69"/>
        <v>34.219246125505848</v>
      </c>
      <c r="AG234" s="113">
        <f t="shared" si="54"/>
        <v>146.73924824224071</v>
      </c>
      <c r="AH234" s="124">
        <f t="shared" si="58"/>
        <v>1.9485832234297833</v>
      </c>
      <c r="AI234" s="124">
        <f t="shared" si="59"/>
        <v>95.769000130262825</v>
      </c>
      <c r="AJ234" s="124">
        <f t="shared" si="60"/>
        <v>7.9996748666473421</v>
      </c>
      <c r="AK234" s="124">
        <f t="shared" si="61"/>
        <v>13.054829013918962</v>
      </c>
      <c r="AL234" s="124">
        <f t="shared" si="62"/>
        <v>12.317372974274479</v>
      </c>
      <c r="AM234" s="124">
        <f t="shared" si="63"/>
        <v>18.677615803562787</v>
      </c>
      <c r="AN234" s="124">
        <f t="shared" si="64"/>
        <v>9.3294784233580348</v>
      </c>
      <c r="AO234" s="124">
        <f t="shared" si="65"/>
        <v>23.253914181043147</v>
      </c>
      <c r="AP234" s="3">
        <f t="shared" si="68"/>
        <v>157.14797121202443</v>
      </c>
    </row>
    <row r="235" spans="1:42" ht="14">
      <c r="A235">
        <f t="shared" si="70"/>
        <v>77</v>
      </c>
      <c r="B235" s="19">
        <f t="shared" si="70"/>
        <v>157</v>
      </c>
      <c r="C235" s="26">
        <f t="shared" si="66"/>
        <v>147.14231202731511</v>
      </c>
      <c r="D235" s="125">
        <f>(($C$39*$C$118*0.72)*D$40)*('Product half-life and C flows'!B136/100)</f>
        <v>0.10507316307811886</v>
      </c>
      <c r="E235" s="26"/>
      <c r="F235" s="54">
        <f t="shared" si="73"/>
        <v>2.0202077190856054</v>
      </c>
      <c r="G235" s="54">
        <f t="shared" si="73"/>
        <v>0.7542108817919595</v>
      </c>
      <c r="H235" s="125">
        <f>(H$118)*('Product half-life and C flows'!L136/100)</f>
        <v>0.38874500973261356</v>
      </c>
      <c r="I235" s="125">
        <f>(($C$39*$C$118*0.28)*H$41)*('Product half-life and C flows'!N136/100)</f>
        <v>0.98506607993156359</v>
      </c>
      <c r="J235" s="125">
        <f>(($C$39*$C$118*0.28)*H$41)*(+'Product half-life and C flows'!P136/100)</f>
        <v>0.4920409989668148</v>
      </c>
      <c r="K235" s="54">
        <f t="shared" si="49"/>
        <v>1.3434381331919276</v>
      </c>
      <c r="L235" s="26"/>
      <c r="M235" s="83">
        <f>C$158*(0.4*D$14)*('Product half-life and C flows'!B96/100)</f>
        <v>1.7771341623661878</v>
      </c>
      <c r="N235" s="83">
        <f t="shared" si="67"/>
        <v>96.336070548103805</v>
      </c>
      <c r="O235" s="83">
        <f t="shared" si="71"/>
        <v>5.9794671475617367</v>
      </c>
      <c r="P235" s="83">
        <f t="shared" si="71"/>
        <v>12.300618132127003</v>
      </c>
      <c r="Q235" s="83">
        <f>C$158*(0.6*C$15)*('Product half-life and C flows'!L96/100)</f>
        <v>11.740353875431319</v>
      </c>
      <c r="R235" s="83">
        <f>C$158*0.6*('Product half-life and C flows'!N96/100)</f>
        <v>17.817184576835356</v>
      </c>
      <c r="S235" s="83">
        <f>C$158*0.6*('Product half-life and C flows'!P96/100)</f>
        <v>8.8996925958218558</v>
      </c>
      <c r="T235" s="83">
        <f t="shared" si="72"/>
        <v>21.910476047851219</v>
      </c>
      <c r="U235" s="3"/>
      <c r="V235" s="88"/>
      <c r="W235" s="88"/>
      <c r="X235" s="88"/>
      <c r="Y235" s="88"/>
      <c r="Z235" s="88"/>
      <c r="AA235" s="88"/>
      <c r="AB235" s="88"/>
      <c r="AC235" s="88"/>
      <c r="AE235">
        <f t="shared" si="53"/>
        <v>77</v>
      </c>
      <c r="AF235" s="3">
        <f t="shared" si="69"/>
        <v>34.421866202693664</v>
      </c>
      <c r="AG235" s="113">
        <f t="shared" si="54"/>
        <v>147.14231202731511</v>
      </c>
      <c r="AH235" s="124">
        <f t="shared" si="58"/>
        <v>1.8822073254443066</v>
      </c>
      <c r="AI235" s="124">
        <f t="shared" si="59"/>
        <v>96.336070548103805</v>
      </c>
      <c r="AJ235" s="124">
        <f t="shared" si="60"/>
        <v>7.9996748666473421</v>
      </c>
      <c r="AK235" s="124">
        <f t="shared" si="61"/>
        <v>13.054829013918962</v>
      </c>
      <c r="AL235" s="124">
        <f t="shared" si="62"/>
        <v>12.129098885163932</v>
      </c>
      <c r="AM235" s="124">
        <f t="shared" si="63"/>
        <v>18.802250656766919</v>
      </c>
      <c r="AN235" s="124">
        <f t="shared" si="64"/>
        <v>9.3917335947886702</v>
      </c>
      <c r="AO235" s="124">
        <f t="shared" si="65"/>
        <v>23.253914181043147</v>
      </c>
      <c r="AP235" s="3">
        <f t="shared" si="68"/>
        <v>157.71365756538961</v>
      </c>
    </row>
    <row r="236" spans="1:42" ht="14">
      <c r="A236">
        <f t="shared" si="70"/>
        <v>78</v>
      </c>
      <c r="B236" s="19">
        <f t="shared" si="70"/>
        <v>158</v>
      </c>
      <c r="C236" s="26">
        <f t="shared" si="66"/>
        <v>147.53811026842067</v>
      </c>
      <c r="D236" s="125">
        <f>(($C$39*$C$118*0.72)*D$40)*('Product half-life and C flows'!B137/100)</f>
        <v>0.10149398541219963</v>
      </c>
      <c r="E236" s="26"/>
      <c r="F236" s="54">
        <f t="shared" si="73"/>
        <v>2.0202077190856054</v>
      </c>
      <c r="G236" s="54">
        <f t="shared" si="73"/>
        <v>0.7542108817919595</v>
      </c>
      <c r="H236" s="125">
        <f>(H$118)*('Product half-life and C flows'!L137/100)</f>
        <v>0.38280294621334365</v>
      </c>
      <c r="I236" s="125">
        <f>(($C$39*$C$118*0.28)*H$41)*('Product half-life and C flows'!N137/100)</f>
        <v>0.98804008272295829</v>
      </c>
      <c r="J236" s="125">
        <f>(($C$39*$C$118*0.28)*H$41)*(+'Product half-life and C flows'!P137/100)</f>
        <v>0.49352651484663218</v>
      </c>
      <c r="K236" s="54">
        <f t="shared" si="49"/>
        <v>1.3434381331919276</v>
      </c>
      <c r="L236" s="26"/>
      <c r="M236" s="83">
        <f>C$158*(0.4*D$14)*('Product half-life and C flows'!B97/100)</f>
        <v>1.7165984488029262</v>
      </c>
      <c r="N236" s="83">
        <f t="shared" si="67"/>
        <v>96.883010176719537</v>
      </c>
      <c r="O236" s="83">
        <f t="shared" si="71"/>
        <v>5.9794671475617367</v>
      </c>
      <c r="P236" s="83">
        <f t="shared" si="71"/>
        <v>12.300618132127003</v>
      </c>
      <c r="Q236" s="83">
        <f>C$158*(0.6*C$15)*('Product half-life and C flows'!L97/100)</f>
        <v>11.560899665808144</v>
      </c>
      <c r="R236" s="83">
        <f>C$158*0.6*('Product half-life and C flows'!N97/100)</f>
        <v>17.936940352723887</v>
      </c>
      <c r="S236" s="83">
        <f>C$158*0.6*('Product half-life and C flows'!P97/100)</f>
        <v>8.9595106656962482</v>
      </c>
      <c r="T236" s="83">
        <f t="shared" si="72"/>
        <v>21.910476047851219</v>
      </c>
      <c r="U236" s="3"/>
      <c r="V236" s="88"/>
      <c r="W236" s="88"/>
      <c r="X236" s="88"/>
      <c r="Y236" s="88"/>
      <c r="Z236" s="88"/>
      <c r="AA236" s="88"/>
      <c r="AB236" s="88"/>
      <c r="AC236" s="88"/>
      <c r="AE236">
        <f t="shared" si="53"/>
        <v>78</v>
      </c>
      <c r="AF236" s="3">
        <f t="shared" si="69"/>
        <v>34.617293342393751</v>
      </c>
      <c r="AG236" s="113">
        <f t="shared" si="54"/>
        <v>147.53811026842067</v>
      </c>
      <c r="AH236" s="124">
        <f t="shared" si="58"/>
        <v>1.8180924342151259</v>
      </c>
      <c r="AI236" s="124">
        <f t="shared" si="59"/>
        <v>96.883010176719537</v>
      </c>
      <c r="AJ236" s="124">
        <f t="shared" si="60"/>
        <v>7.9996748666473421</v>
      </c>
      <c r="AK236" s="124">
        <f t="shared" si="61"/>
        <v>13.054829013918962</v>
      </c>
      <c r="AL236" s="124">
        <f t="shared" si="62"/>
        <v>11.943702612021488</v>
      </c>
      <c r="AM236" s="124">
        <f t="shared" si="63"/>
        <v>18.924980435446844</v>
      </c>
      <c r="AN236" s="124">
        <f t="shared" si="64"/>
        <v>9.4530371805428803</v>
      </c>
      <c r="AO236" s="124">
        <f t="shared" si="65"/>
        <v>23.253914181043147</v>
      </c>
      <c r="AP236" s="3">
        <f t="shared" si="68"/>
        <v>158.25923428529705</v>
      </c>
    </row>
    <row r="237" spans="1:42" ht="14">
      <c r="A237">
        <f t="shared" si="70"/>
        <v>79</v>
      </c>
      <c r="B237" s="19">
        <f t="shared" si="70"/>
        <v>159</v>
      </c>
      <c r="C237" s="26">
        <f t="shared" si="66"/>
        <v>147.92675938783603</v>
      </c>
      <c r="D237" s="125">
        <f>(($C$39*$C$118*0.72)*D$40)*('Product half-life and C flows'!B138/100)</f>
        <v>9.8036727677011964E-2</v>
      </c>
      <c r="E237" s="26"/>
      <c r="F237" s="54">
        <f t="shared" si="73"/>
        <v>2.0202077190856054</v>
      </c>
      <c r="G237" s="54">
        <f t="shared" si="73"/>
        <v>0.7542108817919595</v>
      </c>
      <c r="H237" s="125">
        <f>(H$118)*('Product half-life and C flows'!L138/100)</f>
        <v>0.37695170860304511</v>
      </c>
      <c r="I237" s="125">
        <f>(($C$39*$C$118*0.28)*H$41)*('Product half-life and C flows'!N138/100)</f>
        <v>0.99096862714691258</v>
      </c>
      <c r="J237" s="125">
        <f>(($C$39*$C$118*0.28)*H$41)*(+'Product half-life and C flows'!P138/100)</f>
        <v>0.49498932424920694</v>
      </c>
      <c r="K237" s="54">
        <f t="shared" si="49"/>
        <v>1.3434381331919276</v>
      </c>
      <c r="L237" s="26"/>
      <c r="M237" s="83">
        <f>C$158*(0.4*D$14)*('Product half-life and C flows'!B98/100)</f>
        <v>1.6581248038747829</v>
      </c>
      <c r="N237" s="83">
        <f t="shared" si="67"/>
        <v>97.410450236139908</v>
      </c>
      <c r="O237" s="83">
        <f t="shared" si="71"/>
        <v>5.9794671475617367</v>
      </c>
      <c r="P237" s="83">
        <f t="shared" si="71"/>
        <v>12.300618132127003</v>
      </c>
      <c r="Q237" s="83">
        <f>C$158*(0.6*C$15)*('Product half-life and C flows'!L98/100)</f>
        <v>11.384188458116016</v>
      </c>
      <c r="R237" s="83">
        <f>C$158*0.6*('Product half-life and C flows'!N98/100)</f>
        <v>18.054865631990431</v>
      </c>
      <c r="S237" s="83">
        <f>C$158*0.6*('Product half-life and C flows'!P98/100)</f>
        <v>9.0184144015936241</v>
      </c>
      <c r="T237" s="83">
        <f t="shared" si="72"/>
        <v>21.910476047851219</v>
      </c>
      <c r="U237" s="3"/>
      <c r="V237" s="88"/>
      <c r="W237" s="88"/>
      <c r="X237" s="88"/>
      <c r="Y237" s="88"/>
      <c r="Z237" s="88"/>
      <c r="AA237" s="88"/>
      <c r="AB237" s="88"/>
      <c r="AC237" s="88"/>
      <c r="AE237">
        <f t="shared" si="53"/>
        <v>79</v>
      </c>
      <c r="AF237" s="3">
        <f t="shared" si="69"/>
        <v>34.805753085997715</v>
      </c>
      <c r="AG237" s="113">
        <f t="shared" si="54"/>
        <v>147.92675938783603</v>
      </c>
      <c r="AH237" s="124">
        <f t="shared" si="58"/>
        <v>1.7561615315517949</v>
      </c>
      <c r="AI237" s="124">
        <f t="shared" si="59"/>
        <v>97.410450236139908</v>
      </c>
      <c r="AJ237" s="124">
        <f t="shared" si="60"/>
        <v>7.9996748666473421</v>
      </c>
      <c r="AK237" s="124">
        <f t="shared" si="61"/>
        <v>13.054829013918962</v>
      </c>
      <c r="AL237" s="124">
        <f t="shared" si="62"/>
        <v>11.761140166719061</v>
      </c>
      <c r="AM237" s="124">
        <f t="shared" si="63"/>
        <v>19.045834259137344</v>
      </c>
      <c r="AN237" s="124">
        <f t="shared" si="64"/>
        <v>9.5134037258428314</v>
      </c>
      <c r="AO237" s="124">
        <f t="shared" si="65"/>
        <v>23.253914181043147</v>
      </c>
      <c r="AP237" s="3">
        <f t="shared" si="68"/>
        <v>158.78533226840545</v>
      </c>
    </row>
    <row r="238" spans="1:42" ht="14">
      <c r="A238">
        <f t="shared" si="70"/>
        <v>80</v>
      </c>
      <c r="B238" s="19">
        <f t="shared" si="70"/>
        <v>160</v>
      </c>
      <c r="C238" s="26">
        <f t="shared" si="66"/>
        <v>148.30837454278708</v>
      </c>
      <c r="D238" s="125">
        <f>(($C$39*$C$118*0.72)*D$40)*('Product half-life and C flows'!B139/100)</f>
        <v>9.4697236832137752E-2</v>
      </c>
      <c r="E238" s="26"/>
      <c r="F238" s="54">
        <f t="shared" si="73"/>
        <v>2.0202077190856054</v>
      </c>
      <c r="G238" s="54">
        <f t="shared" si="73"/>
        <v>0.7542108817919595</v>
      </c>
      <c r="H238" s="125">
        <f>(H$118)*('Product half-life and C flows'!L139/100)</f>
        <v>0.3711899086052593</v>
      </c>
      <c r="I238" s="125">
        <f>(($C$39*$C$118*0.28)*H$41)*('Product half-life and C flows'!N139/100)</f>
        <v>0.99385240804580444</v>
      </c>
      <c r="J238" s="125">
        <f>(($C$39*$C$118*0.28)*H$41)*(+'Product half-life and C flows'!P139/100)</f>
        <v>0.49642977424865331</v>
      </c>
      <c r="K238" s="54">
        <f t="shared" si="49"/>
        <v>1.3434381331919276</v>
      </c>
      <c r="L238" s="26"/>
      <c r="M238" s="83">
        <f>C$158*(0.4*D$14)*('Product half-life and C flows'!B99/100)</f>
        <v>1.6016429859540371</v>
      </c>
      <c r="N238" s="83">
        <f t="shared" si="67"/>
        <v>97.919008937551624</v>
      </c>
      <c r="O238" s="83">
        <f t="shared" si="71"/>
        <v>5.9794671475617367</v>
      </c>
      <c r="P238" s="83">
        <f t="shared" si="71"/>
        <v>12.300618132127003</v>
      </c>
      <c r="Q238" s="83">
        <f>C$158*(0.6*C$15)*('Product half-life and C flows'!L99/100)</f>
        <v>11.210178324892714</v>
      </c>
      <c r="R238" s="83">
        <f>C$158*0.6*('Product half-life and C flows'!N99/100)</f>
        <v>18.170988394228115</v>
      </c>
      <c r="S238" s="83">
        <f>C$158*0.6*('Product half-life and C flows'!P99/100)</f>
        <v>9.076417779334724</v>
      </c>
      <c r="T238" s="83">
        <f t="shared" si="72"/>
        <v>21.910476047851219</v>
      </c>
      <c r="U238" s="3"/>
      <c r="V238" s="89"/>
      <c r="W238" s="89"/>
      <c r="X238" s="89"/>
      <c r="Y238" s="89"/>
      <c r="Z238" s="89"/>
      <c r="AA238" s="89"/>
      <c r="AB238" s="88"/>
      <c r="AC238" s="89"/>
      <c r="AE238">
        <f t="shared" si="53"/>
        <v>80</v>
      </c>
      <c r="AF238" s="3">
        <f t="shared" si="69"/>
        <v>34.987466326704045</v>
      </c>
      <c r="AG238" s="113">
        <f t="shared" si="54"/>
        <v>148.30837454278708</v>
      </c>
      <c r="AH238" s="124">
        <f t="shared" si="58"/>
        <v>1.6963402227861748</v>
      </c>
      <c r="AI238" s="124">
        <f t="shared" si="59"/>
        <v>97.919008937551624</v>
      </c>
      <c r="AJ238" s="124">
        <f t="shared" si="60"/>
        <v>7.9996748666473421</v>
      </c>
      <c r="AK238" s="124">
        <f t="shared" si="61"/>
        <v>13.054829013918962</v>
      </c>
      <c r="AL238" s="124">
        <f t="shared" si="62"/>
        <v>11.581368233497974</v>
      </c>
      <c r="AM238" s="124">
        <f t="shared" si="63"/>
        <v>19.164840802273918</v>
      </c>
      <c r="AN238" s="124">
        <f t="shared" si="64"/>
        <v>9.5728475535833777</v>
      </c>
      <c r="AO238" s="124">
        <f t="shared" si="65"/>
        <v>23.253914181043147</v>
      </c>
      <c r="AP238" s="3">
        <f t="shared" si="68"/>
        <v>159.2925694074732</v>
      </c>
    </row>
    <row r="239" spans="1:42" ht="14">
      <c r="A239">
        <f>A238+1</f>
        <v>81</v>
      </c>
      <c r="B239" s="19">
        <f>B238+1</f>
        <v>161</v>
      </c>
      <c r="C239" s="26">
        <f t="shared" si="66"/>
        <v>148.68306961179661</v>
      </c>
      <c r="D239" s="26"/>
      <c r="E239" s="26"/>
      <c r="F239" s="26"/>
      <c r="G239" s="26"/>
      <c r="H239" s="26"/>
      <c r="I239" s="126"/>
      <c r="J239" s="26"/>
      <c r="K239" s="26"/>
      <c r="L239" s="26"/>
      <c r="M239" s="83">
        <f>C$158*(0.4*D$14)*('Product half-life and C flows'!B100/100)</f>
        <v>1.5470851461006707</v>
      </c>
      <c r="N239" s="85"/>
      <c r="O239" s="85">
        <f>O238</f>
        <v>5.9794671475617367</v>
      </c>
      <c r="P239" s="85">
        <f>P238</f>
        <v>12.300618132127003</v>
      </c>
      <c r="Q239" s="83">
        <f>C$158*(0.6*C$15)*('Product half-life and C flows'!L100/100)</f>
        <v>11.038827979547648</v>
      </c>
      <c r="R239" s="85">
        <f>C$158*0.6*('Product half-life and C flows'!N100/100)</f>
        <v>18.285336191355054</v>
      </c>
      <c r="S239" s="85">
        <f>C$158*0.6*('Product half-life and C flows'!P100/100)</f>
        <v>9.1335345611164129</v>
      </c>
      <c r="T239" s="85">
        <f>Q239</f>
        <v>11.038827979547648</v>
      </c>
      <c r="U239" s="3"/>
      <c r="V239" s="90">
        <f>N$238*(0.4*V$40)*('Product half-life and C flows'!B19/100)</f>
        <v>29.375702681265491</v>
      </c>
      <c r="W239" s="90">
        <f t="shared" ref="W239:W302" si="74">C$8*(1-EXP(-C$9*$B78))^3</f>
        <v>0</v>
      </c>
      <c r="X239" s="91">
        <f>(N$238*((0.4*X$40))-(N$238*0.03))</f>
        <v>6.8543306256286138</v>
      </c>
      <c r="Y239" s="91">
        <f>(N$238*((0.6*Y$41)))</f>
        <v>14.100337287007433</v>
      </c>
      <c r="Z239" s="91">
        <f>N$238*(0.6*Z$41)*('Product half-life and C flows'!L19/100)</f>
        <v>44.063554021898227</v>
      </c>
      <c r="AA239" s="91">
        <f>N$238*0.6*('Product half-life and C flows'!N19/100)</f>
        <v>0</v>
      </c>
      <c r="AB239" s="91">
        <f>N$238*0.6*('Product half-life and C flows'!P19/100)</f>
        <v>0</v>
      </c>
      <c r="AC239" s="91">
        <f>(Z239*AC$42)</f>
        <v>25.116225792481988</v>
      </c>
      <c r="AD239" s="17"/>
      <c r="AE239">
        <f t="shared" si="53"/>
        <v>81</v>
      </c>
      <c r="AF239" s="3">
        <f t="shared" si="69"/>
        <v>35.162649185992045</v>
      </c>
      <c r="AG239" s="113">
        <f t="shared" si="54"/>
        <v>148.68306961179661</v>
      </c>
      <c r="AH239" s="124">
        <f t="shared" si="58"/>
        <v>30.922787827366161</v>
      </c>
      <c r="AI239" s="124">
        <f t="shared" si="59"/>
        <v>0</v>
      </c>
      <c r="AJ239" s="124">
        <f t="shared" si="60"/>
        <v>12.833797773190351</v>
      </c>
      <c r="AK239" s="124">
        <f t="shared" si="61"/>
        <v>26.400955419134434</v>
      </c>
      <c r="AL239" s="124">
        <f t="shared" si="62"/>
        <v>55.102382001445875</v>
      </c>
      <c r="AM239" s="124">
        <f t="shared" si="63"/>
        <v>18.285336191355054</v>
      </c>
      <c r="AN239" s="124">
        <f t="shared" si="64"/>
        <v>9.1335345611164129</v>
      </c>
      <c r="AO239" s="124">
        <f t="shared" si="65"/>
        <v>36.155053772029632</v>
      </c>
      <c r="AP239" s="3">
        <f t="shared" si="68"/>
        <v>121.75600594624214</v>
      </c>
    </row>
    <row r="240" spans="1:42" ht="14">
      <c r="A240">
        <f t="shared" ref="A240:B255" si="75">A239+1</f>
        <v>82</v>
      </c>
      <c r="B240" s="19">
        <f t="shared" si="75"/>
        <v>162</v>
      </c>
      <c r="C240" s="26">
        <f t="shared" si="66"/>
        <v>149.05095718270039</v>
      </c>
      <c r="D240" s="26"/>
      <c r="E240" s="26"/>
      <c r="F240" s="26"/>
      <c r="G240" s="26"/>
      <c r="H240" s="26"/>
      <c r="I240" s="126"/>
      <c r="J240" s="26"/>
      <c r="K240" s="26"/>
      <c r="L240" s="26"/>
      <c r="M240" s="83">
        <f>C$158*(0.4*D$14)*('Product half-life and C flows'!B101/100)</f>
        <v>1.4943857465586408</v>
      </c>
      <c r="N240" s="85"/>
      <c r="O240" s="85">
        <f t="shared" ref="O240:P255" si="76">O239</f>
        <v>5.9794671475617367</v>
      </c>
      <c r="P240" s="85">
        <f>P239</f>
        <v>12.300618132127003</v>
      </c>
      <c r="Q240" s="83">
        <f>C$158*(0.6*C$15)*('Product half-life and C flows'!L101/100)</f>
        <v>10.870096766565949</v>
      </c>
      <c r="R240" s="85">
        <f>C$158*0.6*('Product half-life and C flows'!N101/100)</f>
        <v>18.397936154151509</v>
      </c>
      <c r="S240" s="85">
        <f>C$158*0.6*('Product half-life and C flows'!P101/100)</f>
        <v>9.1897782987769805</v>
      </c>
      <c r="T240" s="85">
        <f>T239</f>
        <v>11.038827979547648</v>
      </c>
      <c r="U240" s="3"/>
      <c r="V240" s="90">
        <f>N$238*(0.4*V$40)*('Product half-life and C flows'!B20/100)</f>
        <v>28.37505840752933</v>
      </c>
      <c r="W240" s="90">
        <f t="shared" si="74"/>
        <v>6.6880163224559471E-3</v>
      </c>
      <c r="X240" s="89">
        <f>X239</f>
        <v>6.8543306256286138</v>
      </c>
      <c r="Y240" s="89">
        <f>Y239</f>
        <v>14.100337287007433</v>
      </c>
      <c r="Z240" s="91">
        <f>N$238*(0.6*Z$41)*('Product half-life and C flows'!L20/100)</f>
        <v>43.390031712086476</v>
      </c>
      <c r="AA240" s="91">
        <f>N$238*0.6*('Product half-life and C flows'!N20/100)</f>
        <v>0.44946388808104254</v>
      </c>
      <c r="AB240" s="91">
        <f>N$238*0.6*('Product half-life and C flows'!P20/100)</f>
        <v>0.22450743660391737</v>
      </c>
      <c r="AC240" s="89">
        <f>AC239</f>
        <v>25.116225792481988</v>
      </c>
      <c r="AD240" s="17"/>
      <c r="AE240">
        <f t="shared" si="53"/>
        <v>82</v>
      </c>
      <c r="AF240" s="3">
        <f t="shared" si="69"/>
        <v>35.331512916552313</v>
      </c>
      <c r="AG240" s="113">
        <f t="shared" si="54"/>
        <v>149.05095718270039</v>
      </c>
      <c r="AH240" s="124">
        <f t="shared" si="58"/>
        <v>29.869444154087972</v>
      </c>
      <c r="AI240" s="124">
        <f t="shared" si="59"/>
        <v>6.6880163224559471E-3</v>
      </c>
      <c r="AJ240" s="124">
        <f t="shared" si="60"/>
        <v>12.833797773190351</v>
      </c>
      <c r="AK240" s="124">
        <f t="shared" si="61"/>
        <v>26.400955419134434</v>
      </c>
      <c r="AL240" s="124">
        <f t="shared" si="62"/>
        <v>54.260128478652426</v>
      </c>
      <c r="AM240" s="124">
        <f t="shared" si="63"/>
        <v>18.84740004223255</v>
      </c>
      <c r="AN240" s="124">
        <f t="shared" si="64"/>
        <v>9.4142857353808971</v>
      </c>
      <c r="AO240" s="124">
        <f t="shared" si="65"/>
        <v>36.155053772029632</v>
      </c>
      <c r="AP240" s="3">
        <f t="shared" si="68"/>
        <v>121.76325546491313</v>
      </c>
    </row>
    <row r="241" spans="1:42" ht="14">
      <c r="A241">
        <f t="shared" si="75"/>
        <v>83</v>
      </c>
      <c r="B241" s="19">
        <f t="shared" si="75"/>
        <v>163</v>
      </c>
      <c r="C241" s="26">
        <f t="shared" si="66"/>
        <v>149.41214854224799</v>
      </c>
      <c r="D241" s="26"/>
      <c r="E241" s="26"/>
      <c r="F241" s="26"/>
      <c r="G241" s="26"/>
      <c r="H241" s="26"/>
      <c r="I241" s="126"/>
      <c r="J241" s="26"/>
      <c r="K241" s="26"/>
      <c r="L241" s="26"/>
      <c r="M241" s="83">
        <f>C$158*(0.4*D$14)*('Product half-life and C flows'!B102/100)</f>
        <v>1.4434814820284667</v>
      </c>
      <c r="N241" s="85"/>
      <c r="O241" s="85">
        <f t="shared" si="76"/>
        <v>5.9794671475617367</v>
      </c>
      <c r="P241" s="85">
        <f t="shared" si="76"/>
        <v>12.300618132127003</v>
      </c>
      <c r="Q241" s="83">
        <f>C$158*(0.6*C$15)*('Product half-life and C flows'!L102/100)</f>
        <v>10.703944651862347</v>
      </c>
      <c r="R241" s="85">
        <f>C$158*0.6*('Product half-life and C flows'!N102/100)</f>
        <v>18.508814998697048</v>
      </c>
      <c r="S241" s="85">
        <f>C$158*0.6*('Product half-life and C flows'!P102/100)</f>
        <v>9.2451623370115108</v>
      </c>
      <c r="T241" s="85">
        <f t="shared" ref="T241:T304" si="77">T240</f>
        <v>11.038827979547648</v>
      </c>
      <c r="U241" s="3"/>
      <c r="V241" s="90">
        <f>N$238*(0.4*V$40)*('Product half-life and C flows'!B21/100)</f>
        <v>27.408499751196956</v>
      </c>
      <c r="W241" s="90">
        <f t="shared" si="74"/>
        <v>5.0418532610901234E-2</v>
      </c>
      <c r="X241" s="89">
        <f t="shared" ref="X241:Y256" si="78">X240</f>
        <v>6.8543306256286138</v>
      </c>
      <c r="Y241" s="89">
        <f t="shared" si="78"/>
        <v>14.100337287007433</v>
      </c>
      <c r="Z241" s="91">
        <f>N$238*(0.6*Z$41)*('Product half-life and C flows'!L21/100)</f>
        <v>42.726804357184371</v>
      </c>
      <c r="AA241" s="91">
        <f>N$238*0.6*('Product half-life and C flows'!N21/100)</f>
        <v>0.89205760958571279</v>
      </c>
      <c r="AB241" s="91">
        <f>N$238*0.6*('Product half-life and C flows'!P21/100)</f>
        <v>0.4455832215712851</v>
      </c>
      <c r="AC241" s="89">
        <f t="shared" ref="AC241:AC304" si="79">AC240</f>
        <v>25.116225792481988</v>
      </c>
      <c r="AD241" s="17"/>
      <c r="AE241">
        <f t="shared" si="53"/>
        <v>83</v>
      </c>
      <c r="AF241" s="3">
        <f t="shared" si="69"/>
        <v>35.49426382918903</v>
      </c>
      <c r="AG241" s="113">
        <f t="shared" si="54"/>
        <v>149.41214854224799</v>
      </c>
      <c r="AH241" s="124">
        <f t="shared" si="58"/>
        <v>28.851981233225423</v>
      </c>
      <c r="AI241" s="124">
        <f t="shared" si="59"/>
        <v>5.0418532610901234E-2</v>
      </c>
      <c r="AJ241" s="124">
        <f t="shared" si="60"/>
        <v>12.833797773190351</v>
      </c>
      <c r="AK241" s="124">
        <f t="shared" si="61"/>
        <v>26.400955419134434</v>
      </c>
      <c r="AL241" s="124">
        <f t="shared" si="62"/>
        <v>53.430749009046721</v>
      </c>
      <c r="AM241" s="124">
        <f t="shared" si="63"/>
        <v>19.400872608282761</v>
      </c>
      <c r="AN241" s="124">
        <f t="shared" si="64"/>
        <v>9.6907455585827957</v>
      </c>
      <c r="AO241" s="124">
        <f t="shared" si="65"/>
        <v>36.155053772029632</v>
      </c>
      <c r="AP241" s="3">
        <f t="shared" si="68"/>
        <v>121.80753890084796</v>
      </c>
    </row>
    <row r="242" spans="1:42" ht="14">
      <c r="A242">
        <f t="shared" si="75"/>
        <v>84</v>
      </c>
      <c r="B242" s="19">
        <f t="shared" si="75"/>
        <v>164</v>
      </c>
      <c r="C242" s="26">
        <f t="shared" si="66"/>
        <v>149.76675366721204</v>
      </c>
      <c r="D242" s="26"/>
      <c r="E242" s="26"/>
      <c r="F242" s="26"/>
      <c r="G242" s="26"/>
      <c r="H242" s="26"/>
      <c r="I242" s="126"/>
      <c r="J242" s="26"/>
      <c r="K242" s="26"/>
      <c r="L242" s="26"/>
      <c r="M242" s="83">
        <f>C$158*(0.4*D$14)*('Product half-life and C flows'!B103/100)</f>
        <v>1.3943112036215735</v>
      </c>
      <c r="N242" s="85"/>
      <c r="O242" s="85">
        <f t="shared" si="76"/>
        <v>5.9794671475617367</v>
      </c>
      <c r="P242" s="85">
        <f t="shared" si="76"/>
        <v>12.300618132127003</v>
      </c>
      <c r="Q242" s="83">
        <f>C$158*(0.6*C$15)*('Product half-life and C flows'!L103/100)</f>
        <v>10.540332213282458</v>
      </c>
      <c r="R242" s="85">
        <f>C$158*0.6*('Product half-life and C flows'!N103/100)</f>
        <v>18.617999032709363</v>
      </c>
      <c r="S242" s="85">
        <f>C$158*0.6*('Product half-life and C flows'!P103/100)</f>
        <v>9.2996998165381424</v>
      </c>
      <c r="T242" s="85">
        <f t="shared" si="77"/>
        <v>11.038827979547648</v>
      </c>
      <c r="U242" s="3"/>
      <c r="V242" s="90">
        <f>N$238*(0.4*V$40)*('Product half-life and C flows'!B22/100)</f>
        <v>26.474865631008729</v>
      </c>
      <c r="W242" s="90">
        <f t="shared" si="74"/>
        <v>0.16041335764575598</v>
      </c>
      <c r="X242" s="89">
        <f t="shared" si="78"/>
        <v>6.8543306256286138</v>
      </c>
      <c r="Y242" s="89">
        <f t="shared" si="78"/>
        <v>14.100337287007433</v>
      </c>
      <c r="Z242" s="91">
        <f>N$238*(0.6*Z$41)*('Product half-life and C flows'!L22/100)</f>
        <v>42.07371459626259</v>
      </c>
      <c r="AA242" s="91">
        <f>N$238*0.6*('Product half-life and C flows'!N22/100)</f>
        <v>1.3278861767075159</v>
      </c>
      <c r="AB242" s="91">
        <f>N$238*0.6*('Product half-life and C flows'!P22/100)</f>
        <v>0.66327980854521273</v>
      </c>
      <c r="AC242" s="89">
        <f t="shared" si="79"/>
        <v>25.116225792481988</v>
      </c>
      <c r="AD242" s="17"/>
      <c r="AE242">
        <f t="shared" si="53"/>
        <v>84</v>
      </c>
      <c r="AF242" s="3">
        <f t="shared" si="69"/>
        <v>35.651103241394253</v>
      </c>
      <c r="AG242" s="113">
        <f t="shared" si="54"/>
        <v>149.76675366721204</v>
      </c>
      <c r="AH242" s="124">
        <f t="shared" si="58"/>
        <v>27.869176834630302</v>
      </c>
      <c r="AI242" s="124">
        <f t="shared" si="59"/>
        <v>0.16041335764575598</v>
      </c>
      <c r="AJ242" s="124">
        <f t="shared" si="60"/>
        <v>12.833797773190351</v>
      </c>
      <c r="AK242" s="124">
        <f t="shared" si="61"/>
        <v>26.400955419134434</v>
      </c>
      <c r="AL242" s="124">
        <f t="shared" si="62"/>
        <v>52.614046809545044</v>
      </c>
      <c r="AM242" s="124">
        <f t="shared" si="63"/>
        <v>19.945885209416879</v>
      </c>
      <c r="AN242" s="124">
        <f t="shared" si="64"/>
        <v>9.9629796250833547</v>
      </c>
      <c r="AO242" s="124">
        <f t="shared" si="65"/>
        <v>36.155053772029632</v>
      </c>
      <c r="AP242" s="3">
        <f t="shared" si="68"/>
        <v>121.91807819401582</v>
      </c>
    </row>
    <row r="243" spans="1:42" ht="14">
      <c r="A243">
        <f t="shared" si="75"/>
        <v>85</v>
      </c>
      <c r="B243" s="19">
        <f t="shared" si="75"/>
        <v>165</v>
      </c>
      <c r="C243" s="26">
        <f t="shared" si="66"/>
        <v>150.11488121693054</v>
      </c>
      <c r="D243" s="26"/>
      <c r="E243" s="26"/>
      <c r="F243" s="26"/>
      <c r="G243" s="26"/>
      <c r="H243" s="26"/>
      <c r="I243" s="126"/>
      <c r="J243" s="26"/>
      <c r="K243" s="26"/>
      <c r="L243" s="26"/>
      <c r="M243" s="83">
        <f>C$158*(0.4*D$14)*('Product half-life and C flows'!B104/100)</f>
        <v>1.3468158454050054</v>
      </c>
      <c r="N243" s="85"/>
      <c r="O243" s="85">
        <f t="shared" si="76"/>
        <v>5.9794671475617367</v>
      </c>
      <c r="P243" s="85">
        <f t="shared" si="76"/>
        <v>12.300618132127003</v>
      </c>
      <c r="Q243" s="83">
        <f>C$158*(0.6*C$15)*('Product half-life and C flows'!L104/100)</f>
        <v>10.379220631249263</v>
      </c>
      <c r="R243" s="85">
        <f>C$158*0.6*('Product half-life and C flows'!N104/100)</f>
        <v>18.725514161786183</v>
      </c>
      <c r="S243" s="85">
        <f>C$158*0.6*('Product half-life and C flows'!P104/100)</f>
        <v>9.3534036772158728</v>
      </c>
      <c r="T243" s="85">
        <f t="shared" si="77"/>
        <v>11.038827979547648</v>
      </c>
      <c r="U243" s="3"/>
      <c r="V243" s="90">
        <f>N$238*(0.4*V$40)*('Product half-life and C flows'!B23/100)</f>
        <v>25.573034516395136</v>
      </c>
      <c r="W243" s="90">
        <f t="shared" si="74"/>
        <v>0.35859718815808966</v>
      </c>
      <c r="X243" s="89">
        <f t="shared" si="78"/>
        <v>6.8543306256286138</v>
      </c>
      <c r="Y243" s="89">
        <f t="shared" si="78"/>
        <v>14.100337287007433</v>
      </c>
      <c r="Z243" s="91">
        <f>N$238*(0.6*Z$41)*('Product half-life and C flows'!L23/100)</f>
        <v>41.43060747369249</v>
      </c>
      <c r="AA243" s="91">
        <f>N$238*0.6*('Product half-life and C flows'!N23/100)</f>
        <v>1.7570529965026274</v>
      </c>
      <c r="AB243" s="91">
        <f>N$238*0.6*('Product half-life and C flows'!P23/100)</f>
        <v>0.87764884940191168</v>
      </c>
      <c r="AC243" s="89">
        <f t="shared" si="79"/>
        <v>25.116225792481988</v>
      </c>
      <c r="AD243" s="17"/>
      <c r="AE243">
        <f t="shared" si="53"/>
        <v>85</v>
      </c>
      <c r="AF243" s="3">
        <f t="shared" si="69"/>
        <v>35.802227445467089</v>
      </c>
      <c r="AG243" s="113">
        <f t="shared" si="54"/>
        <v>150.11488121693054</v>
      </c>
      <c r="AH243" s="124">
        <f t="shared" si="58"/>
        <v>26.91985036180014</v>
      </c>
      <c r="AI243" s="124">
        <f t="shared" si="59"/>
        <v>0.35859718815808966</v>
      </c>
      <c r="AJ243" s="124">
        <f t="shared" si="60"/>
        <v>12.833797773190351</v>
      </c>
      <c r="AK243" s="124">
        <f t="shared" si="61"/>
        <v>26.400955419134434</v>
      </c>
      <c r="AL243" s="124">
        <f t="shared" si="62"/>
        <v>51.809828104941751</v>
      </c>
      <c r="AM243" s="124">
        <f t="shared" si="63"/>
        <v>20.482567158288809</v>
      </c>
      <c r="AN243" s="124">
        <f t="shared" si="64"/>
        <v>10.231052526617784</v>
      </c>
      <c r="AO243" s="124">
        <f t="shared" si="65"/>
        <v>36.155053772029632</v>
      </c>
      <c r="AP243" s="3">
        <f t="shared" si="68"/>
        <v>122.11679817033124</v>
      </c>
    </row>
    <row r="244" spans="1:42" ht="14">
      <c r="A244">
        <f t="shared" si="75"/>
        <v>86</v>
      </c>
      <c r="B244" s="19">
        <f t="shared" si="75"/>
        <v>166</v>
      </c>
      <c r="C244" s="26">
        <f t="shared" si="66"/>
        <v>150.45663852721071</v>
      </c>
      <c r="D244" s="26"/>
      <c r="E244" s="26"/>
      <c r="F244" s="26"/>
      <c r="G244" s="26"/>
      <c r="H244" s="26"/>
      <c r="I244" s="126"/>
      <c r="J244" s="26"/>
      <c r="K244" s="26"/>
      <c r="L244" s="26"/>
      <c r="M244" s="83">
        <f>C$158*(0.4*D$14)*('Product half-life and C flows'!B105/100)</f>
        <v>1.300938353448323</v>
      </c>
      <c r="N244" s="85"/>
      <c r="O244" s="85">
        <f t="shared" si="76"/>
        <v>5.9794671475617367</v>
      </c>
      <c r="P244" s="85">
        <f t="shared" si="76"/>
        <v>12.300618132127003</v>
      </c>
      <c r="Q244" s="83">
        <f>C$158*(0.6*C$15)*('Product half-life and C flows'!L105/100)</f>
        <v>10.22057167955257</v>
      </c>
      <c r="R244" s="85">
        <f>C$158*0.6*('Product half-life and C flows'!N105/100)</f>
        <v>18.831385895551776</v>
      </c>
      <c r="S244" s="85">
        <f>C$158*0.6*('Product half-life and C flows'!P105/100)</f>
        <v>9.4062866611147697</v>
      </c>
      <c r="T244" s="85">
        <f t="shared" si="77"/>
        <v>11.038827979547648</v>
      </c>
      <c r="U244" s="3"/>
      <c r="V244" s="90">
        <f>N$238*(0.4*V$40)*('Product half-life and C flows'!B24/100)</f>
        <v>24.70192308023508</v>
      </c>
      <c r="W244" s="90">
        <f t="shared" si="74"/>
        <v>0.66078557389625781</v>
      </c>
      <c r="X244" s="89">
        <f t="shared" si="78"/>
        <v>6.8543306256286138</v>
      </c>
      <c r="Y244" s="89">
        <f t="shared" si="78"/>
        <v>14.100337287007433</v>
      </c>
      <c r="Z244" s="91">
        <f>N$238*(0.6*Z$41)*('Product half-life and C flows'!L24/100)</f>
        <v>40.797330402380503</v>
      </c>
      <c r="AA244" s="91">
        <f>N$238*0.6*('Product half-life and C flows'!N24/100)</f>
        <v>2.1796598954248299</v>
      </c>
      <c r="AB244" s="91">
        <f>N$238*0.6*('Product half-life and C flows'!P24/100)</f>
        <v>1.088741206505909</v>
      </c>
      <c r="AC244" s="89">
        <f t="shared" si="79"/>
        <v>25.116225792481988</v>
      </c>
      <c r="AD244" s="17"/>
      <c r="AE244">
        <f t="shared" si="53"/>
        <v>86</v>
      </c>
      <c r="AF244" s="3">
        <f t="shared" si="69"/>
        <v>35.947827694213267</v>
      </c>
      <c r="AG244" s="113">
        <f t="shared" si="54"/>
        <v>150.45663852721071</v>
      </c>
      <c r="AH244" s="124">
        <f t="shared" si="58"/>
        <v>26.002861433683403</v>
      </c>
      <c r="AI244" s="124">
        <f t="shared" si="59"/>
        <v>0.66078557389625781</v>
      </c>
      <c r="AJ244" s="124">
        <f t="shared" si="60"/>
        <v>12.833797773190351</v>
      </c>
      <c r="AK244" s="124">
        <f t="shared" si="61"/>
        <v>26.400955419134434</v>
      </c>
      <c r="AL244" s="124">
        <f t="shared" si="62"/>
        <v>51.017902081933073</v>
      </c>
      <c r="AM244" s="124">
        <f t="shared" si="63"/>
        <v>21.011045790976606</v>
      </c>
      <c r="AN244" s="124">
        <f t="shared" si="64"/>
        <v>10.495027867620678</v>
      </c>
      <c r="AO244" s="124">
        <f t="shared" si="65"/>
        <v>36.155053772029632</v>
      </c>
      <c r="AP244" s="3">
        <f t="shared" si="68"/>
        <v>122.41951450675141</v>
      </c>
    </row>
    <row r="245" spans="1:42" ht="14">
      <c r="A245">
        <f t="shared" si="75"/>
        <v>87</v>
      </c>
      <c r="B245" s="19">
        <f t="shared" si="75"/>
        <v>167</v>
      </c>
      <c r="C245" s="26">
        <f t="shared" si="66"/>
        <v>150.79213160552499</v>
      </c>
      <c r="D245" s="26"/>
      <c r="E245" s="26"/>
      <c r="F245" s="26"/>
      <c r="G245" s="26"/>
      <c r="H245" s="26"/>
      <c r="I245" s="126"/>
      <c r="J245" s="26"/>
      <c r="K245" s="26"/>
      <c r="L245" s="26"/>
      <c r="M245" s="83">
        <f>C$158*(0.4*D$14)*('Product half-life and C flows'!B106/100)</f>
        <v>1.2566236172874072</v>
      </c>
      <c r="N245" s="85"/>
      <c r="O245" s="85">
        <f t="shared" si="76"/>
        <v>5.9794671475617367</v>
      </c>
      <c r="P245" s="85">
        <f t="shared" si="76"/>
        <v>12.300618132127003</v>
      </c>
      <c r="Q245" s="83">
        <f>C$158*(0.6*C$15)*('Product half-life and C flows'!L106/100)</f>
        <v>10.064347716279256</v>
      </c>
      <c r="R245" s="85">
        <f>C$158*0.6*('Product half-life and C flows'!N106/100)</f>
        <v>18.935639353709501</v>
      </c>
      <c r="S245" s="85">
        <f>C$158*0.6*('Product half-life and C flows'!P106/100)</f>
        <v>9.4583613155392072</v>
      </c>
      <c r="T245" s="85">
        <f t="shared" si="77"/>
        <v>11.038827979547648</v>
      </c>
      <c r="U245" s="3"/>
      <c r="V245" s="90">
        <f>N$238*(0.4*V$40)*('Product half-life and C flows'!B25/100)</f>
        <v>23.860484897506186</v>
      </c>
      <c r="W245" s="90">
        <f t="shared" si="74"/>
        <v>1.0777084645502373</v>
      </c>
      <c r="X245" s="89">
        <f t="shared" si="78"/>
        <v>6.8543306256286138</v>
      </c>
      <c r="Y245" s="89">
        <f t="shared" si="78"/>
        <v>14.100337287007433</v>
      </c>
      <c r="Z245" s="91">
        <f>N$238*(0.6*Z$41)*('Product half-life and C flows'!L25/100)</f>
        <v>40.173733127564475</v>
      </c>
      <c r="AA245" s="91">
        <f>N$238*0.6*('Product half-life and C flows'!N25/100)</f>
        <v>2.5958071434853918</v>
      </c>
      <c r="AB245" s="91">
        <f>N$238*0.6*('Product half-life and C flows'!P25/100)</f>
        <v>1.2966069647779181</v>
      </c>
      <c r="AC245" s="89">
        <f t="shared" si="79"/>
        <v>25.116225792481988</v>
      </c>
      <c r="AD245" s="17"/>
      <c r="AE245">
        <f t="shared" si="53"/>
        <v>87</v>
      </c>
      <c r="AF245" s="3">
        <f t="shared" si="69"/>
        <v>36.088090202413362</v>
      </c>
      <c r="AG245" s="113">
        <f t="shared" si="54"/>
        <v>150.79213160552499</v>
      </c>
      <c r="AH245" s="124">
        <f t="shared" si="58"/>
        <v>25.117108514793593</v>
      </c>
      <c r="AI245" s="124">
        <f t="shared" si="59"/>
        <v>1.0777084645502373</v>
      </c>
      <c r="AJ245" s="124">
        <f t="shared" si="60"/>
        <v>12.833797773190351</v>
      </c>
      <c r="AK245" s="124">
        <f t="shared" si="61"/>
        <v>26.400955419134434</v>
      </c>
      <c r="AL245" s="124">
        <f t="shared" si="62"/>
        <v>50.238080843843733</v>
      </c>
      <c r="AM245" s="124">
        <f t="shared" si="63"/>
        <v>21.531446497194892</v>
      </c>
      <c r="AN245" s="124">
        <f t="shared" si="64"/>
        <v>10.754968280317126</v>
      </c>
      <c r="AO245" s="124">
        <f t="shared" si="65"/>
        <v>36.155053772029632</v>
      </c>
      <c r="AP245" s="3">
        <f t="shared" si="68"/>
        <v>122.83695727823078</v>
      </c>
    </row>
    <row r="246" spans="1:42" ht="14">
      <c r="A246">
        <f t="shared" si="75"/>
        <v>88</v>
      </c>
      <c r="B246" s="19">
        <f t="shared" si="75"/>
        <v>168</v>
      </c>
      <c r="C246" s="26">
        <f t="shared" si="66"/>
        <v>151.12146512743382</v>
      </c>
      <c r="D246" s="26"/>
      <c r="E246" s="26"/>
      <c r="F246" s="26"/>
      <c r="G246" s="26"/>
      <c r="H246" s="26"/>
      <c r="I246" s="126"/>
      <c r="J246" s="26"/>
      <c r="K246" s="26"/>
      <c r="L246" s="26"/>
      <c r="M246" s="83">
        <f>C$158*(0.4*D$14)*('Product half-life and C flows'!B107/100)</f>
        <v>1.2138184037228574</v>
      </c>
      <c r="N246" s="85"/>
      <c r="O246" s="85">
        <f t="shared" si="76"/>
        <v>5.9794671475617367</v>
      </c>
      <c r="P246" s="85">
        <f t="shared" si="76"/>
        <v>12.300618132127003</v>
      </c>
      <c r="Q246" s="83">
        <f>C$158*(0.6*C$15)*('Product half-life and C flows'!L107/100)</f>
        <v>9.9105116748821338</v>
      </c>
      <c r="R246" s="85">
        <f>C$158*0.6*('Product half-life and C flows'!N107/100)</f>
        <v>19.038299272001847</v>
      </c>
      <c r="S246" s="85">
        <f>C$158*0.6*('Product half-life and C flows'!P107/100)</f>
        <v>9.5096399960049158</v>
      </c>
      <c r="T246" s="85">
        <f t="shared" si="77"/>
        <v>11.038827979547648</v>
      </c>
      <c r="U246" s="3"/>
      <c r="V246" s="90">
        <f>N$238*(0.4*V$40)*('Product half-life and C flows'!B26/100)</f>
        <v>23.047709188263848</v>
      </c>
      <c r="W246" s="90">
        <f t="shared" si="74"/>
        <v>1.6158903296459175</v>
      </c>
      <c r="X246" s="89">
        <f t="shared" si="78"/>
        <v>6.8543306256286138</v>
      </c>
      <c r="Y246" s="89">
        <f t="shared" si="78"/>
        <v>14.100337287007433</v>
      </c>
      <c r="Z246" s="91">
        <f>N$238*(0.6*Z$41)*('Product half-life and C flows'!L26/100)</f>
        <v>39.559667691163426</v>
      </c>
      <c r="AA246" s="91">
        <f>N$238*0.6*('Product half-life and C flows'!N26/100)</f>
        <v>3.0055934780436897</v>
      </c>
      <c r="AB246" s="91">
        <f>N$238*0.6*('Product half-life and C flows'!P26/100)</f>
        <v>1.5012954435782668</v>
      </c>
      <c r="AC246" s="89">
        <f t="shared" si="79"/>
        <v>25.116225792481988</v>
      </c>
      <c r="AD246" s="17"/>
      <c r="AE246">
        <f t="shared" si="53"/>
        <v>88</v>
      </c>
      <c r="AF246" s="3">
        <f t="shared" si="69"/>
        <v>36.223196162389392</v>
      </c>
      <c r="AG246" s="113">
        <f t="shared" si="54"/>
        <v>151.12146512743382</v>
      </c>
      <c r="AH246" s="124">
        <f t="shared" si="58"/>
        <v>24.261527591986706</v>
      </c>
      <c r="AI246" s="124">
        <f t="shared" si="59"/>
        <v>1.6158903296459175</v>
      </c>
      <c r="AJ246" s="124">
        <f t="shared" si="60"/>
        <v>12.833797773190351</v>
      </c>
      <c r="AK246" s="124">
        <f t="shared" si="61"/>
        <v>26.400955419134434</v>
      </c>
      <c r="AL246" s="124">
        <f t="shared" si="62"/>
        <v>49.470179366045556</v>
      </c>
      <c r="AM246" s="124">
        <f t="shared" si="63"/>
        <v>22.043892750045536</v>
      </c>
      <c r="AN246" s="124">
        <f t="shared" si="64"/>
        <v>11.010935439583182</v>
      </c>
      <c r="AO246" s="124">
        <f t="shared" si="65"/>
        <v>36.155053772029632</v>
      </c>
      <c r="AP246" s="3">
        <f t="shared" si="68"/>
        <v>123.37565107764497</v>
      </c>
    </row>
    <row r="247" spans="1:42" ht="14">
      <c r="A247">
        <f t="shared" si="75"/>
        <v>89</v>
      </c>
      <c r="B247" s="19">
        <f t="shared" si="75"/>
        <v>169</v>
      </c>
      <c r="C247" s="26">
        <f t="shared" si="66"/>
        <v>151.44474243417059</v>
      </c>
      <c r="D247" s="26"/>
      <c r="E247" s="26"/>
      <c r="F247" s="26"/>
      <c r="G247" s="26"/>
      <c r="H247" s="26"/>
      <c r="I247" s="126"/>
      <c r="J247" s="26"/>
      <c r="K247" s="26"/>
      <c r="L247" s="26"/>
      <c r="M247" s="83">
        <f>C$158*(0.4*D$14)*('Product half-life and C flows'!B108/100)</f>
        <v>1.1724712928734731</v>
      </c>
      <c r="N247" s="85"/>
      <c r="O247" s="85">
        <f t="shared" si="76"/>
        <v>5.9794671475617367</v>
      </c>
      <c r="P247" s="85">
        <f t="shared" si="76"/>
        <v>12.300618132127003</v>
      </c>
      <c r="Q247" s="83">
        <f>C$158*(0.6*C$15)*('Product half-life and C flows'!L108/100)</f>
        <v>9.7590270553853564</v>
      </c>
      <c r="R247" s="85">
        <f>C$158*0.6*('Product half-life and C flows'!N108/100)</f>
        <v>19.139390008079364</v>
      </c>
      <c r="S247" s="85">
        <f>C$158*0.6*('Product half-life and C flows'!P108/100)</f>
        <v>9.5601348691705077</v>
      </c>
      <c r="T247" s="85">
        <f t="shared" si="77"/>
        <v>11.038827979547648</v>
      </c>
      <c r="U247" s="3"/>
      <c r="V247" s="90">
        <f>N$238*(0.4*V$40)*('Product half-life and C flows'!B27/100)</f>
        <v>22.262619603439013</v>
      </c>
      <c r="W247" s="90">
        <f t="shared" si="74"/>
        <v>2.2784052810626787</v>
      </c>
      <c r="X247" s="89">
        <f t="shared" si="78"/>
        <v>6.8543306256286138</v>
      </c>
      <c r="Y247" s="89">
        <f t="shared" si="78"/>
        <v>14.100337287007433</v>
      </c>
      <c r="Z247" s="91">
        <f>N$238*(0.6*Z$41)*('Product half-life and C flows'!L27/100)</f>
        <v>38.954988396672199</v>
      </c>
      <c r="AA247" s="91">
        <f>N$238*0.6*('Product half-life and C flows'!N27/100)</f>
        <v>3.4091161272341695</v>
      </c>
      <c r="AB247" s="91">
        <f>N$238*0.6*('Product half-life and C flows'!P27/100)</f>
        <v>1.7028552084086761</v>
      </c>
      <c r="AC247" s="89">
        <f t="shared" si="79"/>
        <v>25.116225792481988</v>
      </c>
      <c r="AD247" s="17"/>
      <c r="AE247">
        <f t="shared" si="53"/>
        <v>89</v>
      </c>
      <c r="AF247" s="3">
        <f t="shared" si="69"/>
        <v>36.353321772133377</v>
      </c>
      <c r="AG247" s="113">
        <f t="shared" si="54"/>
        <v>151.44474243417059</v>
      </c>
      <c r="AH247" s="124">
        <f t="shared" si="58"/>
        <v>23.435090896312488</v>
      </c>
      <c r="AI247" s="124">
        <f t="shared" si="59"/>
        <v>2.2784052810626787</v>
      </c>
      <c r="AJ247" s="124">
        <f t="shared" si="60"/>
        <v>12.833797773190351</v>
      </c>
      <c r="AK247" s="124">
        <f t="shared" si="61"/>
        <v>26.400955419134434</v>
      </c>
      <c r="AL247" s="124">
        <f t="shared" si="62"/>
        <v>48.714015452057552</v>
      </c>
      <c r="AM247" s="124">
        <f t="shared" si="63"/>
        <v>22.548506135313534</v>
      </c>
      <c r="AN247" s="124">
        <f t="shared" si="64"/>
        <v>11.262990077579184</v>
      </c>
      <c r="AO247" s="124">
        <f t="shared" si="65"/>
        <v>36.155053772029632</v>
      </c>
      <c r="AP247" s="3">
        <f t="shared" si="68"/>
        <v>124.03867013833774</v>
      </c>
    </row>
    <row r="248" spans="1:42" ht="14">
      <c r="A248">
        <f t="shared" si="75"/>
        <v>90</v>
      </c>
      <c r="B248" s="19">
        <f t="shared" si="75"/>
        <v>170</v>
      </c>
      <c r="C248" s="26">
        <f t="shared" si="66"/>
        <v>151.76206553132781</v>
      </c>
      <c r="D248" s="26"/>
      <c r="E248" s="26"/>
      <c r="F248" s="26"/>
      <c r="G248" s="26"/>
      <c r="H248" s="26"/>
      <c r="I248" s="126"/>
      <c r="J248" s="26"/>
      <c r="K248" s="26"/>
      <c r="L248" s="26"/>
      <c r="M248" s="83">
        <f>C$158*(0.4*D$14)*('Product half-life and C flows'!B109/100)</f>
        <v>1.1325326164079701</v>
      </c>
      <c r="N248" s="85"/>
      <c r="O248" s="85">
        <f t="shared" si="76"/>
        <v>5.9794671475617367</v>
      </c>
      <c r="P248" s="85">
        <f t="shared" si="76"/>
        <v>12.300618132127003</v>
      </c>
      <c r="Q248" s="83">
        <f>C$158*(0.6*C$15)*('Product half-life and C flows'!L109/100)</f>
        <v>9.6098579157242199</v>
      </c>
      <c r="R248" s="85">
        <f>C$158*0.6*('Product half-life and C flows'!N109/100)</f>
        <v>19.23893554727989</v>
      </c>
      <c r="S248" s="85">
        <f>C$158*0.6*('Product half-life and C flows'!P109/100)</f>
        <v>9.6098579157242199</v>
      </c>
      <c r="T248" s="85">
        <f t="shared" si="77"/>
        <v>11.038827979547648</v>
      </c>
      <c r="U248" s="3"/>
      <c r="V248" s="90">
        <f>N$238*(0.4*V$40)*('Product half-life and C flows'!B28/100)</f>
        <v>21.504273051996179</v>
      </c>
      <c r="W248" s="90">
        <f t="shared" si="74"/>
        <v>3.0655233705876594</v>
      </c>
      <c r="X248" s="89">
        <f t="shared" si="78"/>
        <v>6.8543306256286138</v>
      </c>
      <c r="Y248" s="89">
        <f t="shared" si="78"/>
        <v>14.100337287007433</v>
      </c>
      <c r="Z248" s="91">
        <f>N$238*(0.6*Z$41)*('Product half-life and C flows'!L28/100)</f>
        <v>38.359551774592695</v>
      </c>
      <c r="AA248" s="91">
        <f>N$238*0.6*('Product half-life and C flows'!N28/100)</f>
        <v>3.8064708330352239</v>
      </c>
      <c r="AB248" s="91">
        <f>N$238*0.6*('Product half-life and C flows'!P28/100)</f>
        <v>1.9013340824351768</v>
      </c>
      <c r="AC248" s="89">
        <f t="shared" si="79"/>
        <v>25.116225792481988</v>
      </c>
      <c r="AD248" s="17"/>
      <c r="AE248">
        <f t="shared" si="53"/>
        <v>90</v>
      </c>
      <c r="AF248" s="3">
        <f t="shared" si="69"/>
        <v>36.47863827458491</v>
      </c>
      <c r="AG248" s="113">
        <f t="shared" si="54"/>
        <v>151.76206553132781</v>
      </c>
      <c r="AH248" s="124">
        <f t="shared" si="58"/>
        <v>22.636805668404151</v>
      </c>
      <c r="AI248" s="124">
        <f t="shared" si="59"/>
        <v>3.0655233705876594</v>
      </c>
      <c r="AJ248" s="124">
        <f t="shared" si="60"/>
        <v>12.833797773190351</v>
      </c>
      <c r="AK248" s="124">
        <f t="shared" si="61"/>
        <v>26.400955419134434</v>
      </c>
      <c r="AL248" s="124">
        <f t="shared" si="62"/>
        <v>47.969409690316915</v>
      </c>
      <c r="AM248" s="124">
        <f t="shared" si="63"/>
        <v>23.045406380315114</v>
      </c>
      <c r="AN248" s="124">
        <f t="shared" si="64"/>
        <v>11.511191998159397</v>
      </c>
      <c r="AO248" s="124">
        <f t="shared" si="65"/>
        <v>36.155053772029632</v>
      </c>
      <c r="AP248" s="3">
        <f t="shared" si="68"/>
        <v>124.82628463170388</v>
      </c>
    </row>
    <row r="249" spans="1:42" ht="14">
      <c r="A249">
        <f t="shared" si="75"/>
        <v>91</v>
      </c>
      <c r="B249" s="19">
        <f t="shared" si="75"/>
        <v>171</v>
      </c>
      <c r="C249" s="26">
        <f t="shared" si="66"/>
        <v>152.07353508858631</v>
      </c>
      <c r="D249" s="26"/>
      <c r="E249" s="26"/>
      <c r="F249" s="26"/>
      <c r="G249" s="26"/>
      <c r="H249" s="26"/>
      <c r="I249" s="126"/>
      <c r="J249" s="26"/>
      <c r="K249" s="26"/>
      <c r="L249" s="26"/>
      <c r="M249" s="83">
        <f>C$158*(0.4*D$14)*('Product half-life and C flows'!B110/100)</f>
        <v>1.0939543978807649</v>
      </c>
      <c r="N249" s="85"/>
      <c r="O249" s="85">
        <f t="shared" si="76"/>
        <v>5.9794671475617367</v>
      </c>
      <c r="P249" s="85">
        <f t="shared" si="76"/>
        <v>12.300618132127003</v>
      </c>
      <c r="Q249" s="83">
        <f>C$158*(0.6*C$15)*('Product half-life and C flows'!L110/100)</f>
        <v>9.4629688632173643</v>
      </c>
      <c r="R249" s="85">
        <f>C$158*0.6*('Product half-life and C flows'!N110/100)</f>
        <v>19.336959508319467</v>
      </c>
      <c r="S249" s="85">
        <f>C$158*0.6*('Product half-life and C flows'!P110/100)</f>
        <v>9.6588209332265063</v>
      </c>
      <c r="T249" s="85">
        <f t="shared" si="77"/>
        <v>11.038827979547648</v>
      </c>
      <c r="U249" s="3"/>
      <c r="V249" s="90">
        <f>N$238*(0.4*V$40)*('Product half-life and C flows'!B29/100)</f>
        <v>20.771758568042674</v>
      </c>
      <c r="W249" s="90">
        <f t="shared" si="74"/>
        <v>3.9752622463725169</v>
      </c>
      <c r="X249" s="89">
        <f t="shared" si="78"/>
        <v>6.8543306256286138</v>
      </c>
      <c r="Y249" s="89">
        <f t="shared" si="78"/>
        <v>14.100337287007433</v>
      </c>
      <c r="Z249" s="91">
        <f>N$238*(0.6*Z$41)*('Product half-life and C flows'!L29/100)</f>
        <v>37.773216548393563</v>
      </c>
      <c r="AA249" s="91">
        <f>N$238*0.6*('Product half-life and C flows'!N29/100)</f>
        <v>4.1977518739854425</v>
      </c>
      <c r="AB249" s="91">
        <f>N$238*0.6*('Product half-life and C flows'!P29/100)</f>
        <v>2.0967791578348867</v>
      </c>
      <c r="AC249" s="89">
        <f t="shared" si="79"/>
        <v>25.116225792481988</v>
      </c>
      <c r="AD249" s="17"/>
      <c r="AE249">
        <f t="shared" si="53"/>
        <v>91</v>
      </c>
      <c r="AF249" s="3">
        <f t="shared" si="69"/>
        <v>36.599312006760897</v>
      </c>
      <c r="AG249" s="113">
        <f t="shared" si="54"/>
        <v>152.07353508858631</v>
      </c>
      <c r="AH249" s="124">
        <f t="shared" ref="AH249:AH280" si="80">D249+M249+V249</f>
        <v>21.865712965923439</v>
      </c>
      <c r="AI249" s="124">
        <f t="shared" ref="AI249:AI280" si="81">E249+N249+W249</f>
        <v>3.9752622463725169</v>
      </c>
      <c r="AJ249" s="124">
        <f t="shared" ref="AJ249:AJ280" si="82">F249+O249+X249</f>
        <v>12.833797773190351</v>
      </c>
      <c r="AK249" s="124">
        <f t="shared" ref="AK249:AK280" si="83">G249+P249+Y249</f>
        <v>26.400955419134434</v>
      </c>
      <c r="AL249" s="124">
        <f t="shared" ref="AL249:AL280" si="84">H249+Q249+Z249</f>
        <v>47.236185411610926</v>
      </c>
      <c r="AM249" s="124">
        <f t="shared" ref="AM249:AM280" si="85">I249+R249+AA249</f>
        <v>23.534711382304909</v>
      </c>
      <c r="AN249" s="124">
        <f t="shared" ref="AN249:AN280" si="86">J249+S249+AB249</f>
        <v>11.755600091061392</v>
      </c>
      <c r="AO249" s="124">
        <f t="shared" si="65"/>
        <v>36.155053772029632</v>
      </c>
      <c r="AP249" s="3">
        <f t="shared" si="68"/>
        <v>125.73651232367453</v>
      </c>
    </row>
    <row r="250" spans="1:42" ht="14">
      <c r="A250">
        <f t="shared" si="75"/>
        <v>92</v>
      </c>
      <c r="B250" s="19">
        <f t="shared" si="75"/>
        <v>172</v>
      </c>
      <c r="C250" s="26">
        <f t="shared" si="66"/>
        <v>152.37925044043024</v>
      </c>
      <c r="D250" s="26"/>
      <c r="E250" s="26"/>
      <c r="F250" s="26"/>
      <c r="G250" s="26"/>
      <c r="H250" s="26"/>
      <c r="I250" s="126"/>
      <c r="J250" s="26"/>
      <c r="K250" s="26"/>
      <c r="L250" s="26"/>
      <c r="M250" s="83">
        <f>C$158*(0.4*D$14)*('Product half-life and C flows'!B111/100)</f>
        <v>1.0566902951001362</v>
      </c>
      <c r="N250" s="85"/>
      <c r="O250" s="85">
        <f t="shared" si="76"/>
        <v>5.9794671475617367</v>
      </c>
      <c r="P250" s="85">
        <f t="shared" si="76"/>
        <v>12.300618132127003</v>
      </c>
      <c r="Q250" s="83">
        <f>C$158*(0.6*C$15)*('Product half-life and C flows'!L111/100)</f>
        <v>9.3183250461693028</v>
      </c>
      <c r="R250" s="85">
        <f>C$158*0.6*('Product half-life and C flows'!N111/100)</f>
        <v>19.433485148896207</v>
      </c>
      <c r="S250" s="85">
        <f>C$158*0.6*('Product half-life and C flows'!P111/100)</f>
        <v>9.7070355389091905</v>
      </c>
      <c r="T250" s="85">
        <f t="shared" si="77"/>
        <v>11.038827979547648</v>
      </c>
      <c r="U250" s="3"/>
      <c r="V250" s="90">
        <f>N$238*(0.4*V$40)*('Product half-life and C flows'!B30/100)</f>
        <v>20.064196216528348</v>
      </c>
      <c r="W250" s="90">
        <f t="shared" si="74"/>
        <v>5.0038566008813614</v>
      </c>
      <c r="X250" s="89">
        <f t="shared" si="78"/>
        <v>6.8543306256286138</v>
      </c>
      <c r="Y250" s="89">
        <f t="shared" si="78"/>
        <v>14.100337287007433</v>
      </c>
      <c r="Z250" s="91">
        <f>N$238*(0.6*Z$41)*('Product half-life and C flows'!L30/100)</f>
        <v>37.195843600990145</v>
      </c>
      <c r="AA250" s="91">
        <f>N$238*0.6*('Product half-life and C flows'!N30/100)</f>
        <v>4.5830520875526597</v>
      </c>
      <c r="AB250" s="91">
        <f>N$238*0.6*('Product half-life and C flows'!P30/100)</f>
        <v>2.2892368069693605</v>
      </c>
      <c r="AC250" s="89">
        <f t="shared" si="79"/>
        <v>25.116225792481988</v>
      </c>
      <c r="AD250" s="17"/>
      <c r="AE250">
        <f t="shared" si="53"/>
        <v>92</v>
      </c>
      <c r="AF250" s="3">
        <f t="shared" si="69"/>
        <v>36.715504457548086</v>
      </c>
      <c r="AG250" s="113">
        <f t="shared" si="54"/>
        <v>152.37925044043024</v>
      </c>
      <c r="AH250" s="124">
        <f t="shared" si="80"/>
        <v>21.120886511628484</v>
      </c>
      <c r="AI250" s="124">
        <f t="shared" si="81"/>
        <v>5.0038566008813614</v>
      </c>
      <c r="AJ250" s="124">
        <f t="shared" si="82"/>
        <v>12.833797773190351</v>
      </c>
      <c r="AK250" s="124">
        <f t="shared" si="83"/>
        <v>26.400955419134434</v>
      </c>
      <c r="AL250" s="124">
        <f t="shared" si="84"/>
        <v>46.514168647159451</v>
      </c>
      <c r="AM250" s="124">
        <f t="shared" si="85"/>
        <v>24.016537236448865</v>
      </c>
      <c r="AN250" s="124">
        <f t="shared" si="86"/>
        <v>11.996272345878552</v>
      </c>
      <c r="AO250" s="124">
        <f t="shared" si="65"/>
        <v>36.155053772029632</v>
      </c>
      <c r="AP250" s="3">
        <f t="shared" si="68"/>
        <v>126.76558802269302</v>
      </c>
    </row>
    <row r="251" spans="1:42" ht="14">
      <c r="A251">
        <f t="shared" si="75"/>
        <v>93</v>
      </c>
      <c r="B251" s="19">
        <f t="shared" si="75"/>
        <v>173</v>
      </c>
      <c r="C251" s="26">
        <f t="shared" si="66"/>
        <v>152.67930958779479</v>
      </c>
      <c r="D251" s="26"/>
      <c r="E251" s="26"/>
      <c r="F251" s="26"/>
      <c r="G251" s="26"/>
      <c r="H251" s="26"/>
      <c r="I251" s="126"/>
      <c r="J251" s="26"/>
      <c r="K251" s="26"/>
      <c r="L251" s="26"/>
      <c r="M251" s="83">
        <f>C$158*(0.4*D$14)*('Product half-life and C flows'!B112/100)</f>
        <v>1.0206955444595369</v>
      </c>
      <c r="N251" s="85"/>
      <c r="O251" s="85">
        <f t="shared" si="76"/>
        <v>5.9794671475617367</v>
      </c>
      <c r="P251" s="85">
        <f t="shared" si="76"/>
        <v>12.300618132127003</v>
      </c>
      <c r="Q251" s="83">
        <f>C$158*(0.6*C$15)*('Product half-life and C flows'!L112/100)</f>
        <v>9.1758921456013258</v>
      </c>
      <c r="R251" s="85">
        <f>C$158*0.6*('Product half-life and C flows'!N112/100)</f>
        <v>19.528535371208569</v>
      </c>
      <c r="S251" s="85">
        <f>C$158*0.6*('Product half-life and C flows'!P112/100)</f>
        <v>9.7545131724318495</v>
      </c>
      <c r="T251" s="85">
        <f t="shared" si="77"/>
        <v>11.038827979547648</v>
      </c>
      <c r="U251" s="3"/>
      <c r="V251" s="90">
        <f>N$238*(0.4*V$40)*('Product half-life and C flows'!B31/100)</f>
        <v>19.380736036221165</v>
      </c>
      <c r="W251" s="90">
        <f t="shared" si="74"/>
        <v>6.1461563011223976</v>
      </c>
      <c r="X251" s="89">
        <f t="shared" si="78"/>
        <v>6.8543306256286138</v>
      </c>
      <c r="Y251" s="89">
        <f t="shared" si="78"/>
        <v>14.100337287007433</v>
      </c>
      <c r="Z251" s="91">
        <f>N$238*(0.6*Z$41)*('Product half-life and C flows'!L31/100)</f>
        <v>36.627295941736755</v>
      </c>
      <c r="AA251" s="91">
        <f>N$238*0.6*('Product half-life and C flows'!N31/100)</f>
        <v>4.9624628921610876</v>
      </c>
      <c r="AB251" s="91">
        <f>N$238*0.6*('Product half-life and C flows'!P31/100)</f>
        <v>2.4787526933871566</v>
      </c>
      <c r="AC251" s="89">
        <f t="shared" si="79"/>
        <v>25.116225792481988</v>
      </c>
      <c r="AD251" s="17"/>
      <c r="AE251">
        <f t="shared" si="53"/>
        <v>93</v>
      </c>
      <c r="AF251" s="3">
        <f t="shared" si="69"/>
        <v>36.827372333069057</v>
      </c>
      <c r="AG251" s="113">
        <f t="shared" si="54"/>
        <v>152.67930958779479</v>
      </c>
      <c r="AH251" s="124">
        <f t="shared" si="80"/>
        <v>20.401431580680701</v>
      </c>
      <c r="AI251" s="124">
        <f t="shared" si="81"/>
        <v>6.1461563011223976</v>
      </c>
      <c r="AJ251" s="124">
        <f t="shared" si="82"/>
        <v>12.833797773190351</v>
      </c>
      <c r="AK251" s="124">
        <f t="shared" si="83"/>
        <v>26.400955419134434</v>
      </c>
      <c r="AL251" s="124">
        <f t="shared" si="84"/>
        <v>45.803188087338079</v>
      </c>
      <c r="AM251" s="124">
        <f t="shared" si="85"/>
        <v>24.490998263369658</v>
      </c>
      <c r="AN251" s="124">
        <f t="shared" si="86"/>
        <v>12.233265865819007</v>
      </c>
      <c r="AO251" s="124">
        <f t="shared" si="65"/>
        <v>36.155053772029632</v>
      </c>
      <c r="AP251" s="3">
        <f t="shared" si="68"/>
        <v>127.90836170997393</v>
      </c>
    </row>
    <row r="252" spans="1:42" ht="14">
      <c r="A252">
        <f t="shared" si="75"/>
        <v>94</v>
      </c>
      <c r="B252" s="19">
        <f t="shared" si="75"/>
        <v>174</v>
      </c>
      <c r="C252" s="26">
        <f t="shared" si="66"/>
        <v>152.97380920059325</v>
      </c>
      <c r="D252" s="26"/>
      <c r="E252" s="26"/>
      <c r="F252" s="26"/>
      <c r="G252" s="26"/>
      <c r="H252" s="26"/>
      <c r="I252" s="126"/>
      <c r="J252" s="26"/>
      <c r="K252" s="26"/>
      <c r="L252" s="26"/>
      <c r="M252" s="83">
        <f>C$158*(0.4*D$14)*('Product half-life and C flows'!B113/100)</f>
        <v>0.98592690716519149</v>
      </c>
      <c r="N252" s="85"/>
      <c r="O252" s="85">
        <f t="shared" si="76"/>
        <v>5.9794671475617367</v>
      </c>
      <c r="P252" s="85">
        <f t="shared" si="76"/>
        <v>12.300618132127003</v>
      </c>
      <c r="Q252" s="83">
        <f>C$158*(0.6*C$15)*('Product half-life and C flows'!L113/100)</f>
        <v>9.0356363671087987</v>
      </c>
      <c r="R252" s="85">
        <f>C$158*0.6*('Product half-life and C flows'!N113/100)</f>
        <v>19.622132727389253</v>
      </c>
      <c r="S252" s="85">
        <f>C$158*0.6*('Product half-life and C flows'!P113/100)</f>
        <v>9.8012650985960281</v>
      </c>
      <c r="T252" s="85">
        <f t="shared" si="77"/>
        <v>11.038827979547648</v>
      </c>
      <c r="U252" s="3"/>
      <c r="V252" s="90">
        <f>N$238*(0.4*V$40)*('Product half-life and C flows'!B32/100)</f>
        <v>18.72055701868894</v>
      </c>
      <c r="W252" s="90">
        <f t="shared" si="74"/>
        <v>7.3959627350682862</v>
      </c>
      <c r="X252" s="89">
        <f t="shared" si="78"/>
        <v>6.8543306256286138</v>
      </c>
      <c r="Y252" s="89">
        <f t="shared" si="78"/>
        <v>14.100337287007433</v>
      </c>
      <c r="Z252" s="91">
        <f>N$238*(0.6*Z$41)*('Product half-life and C flows'!L32/100)</f>
        <v>36.067438673923604</v>
      </c>
      <c r="AA252" s="91">
        <f>N$238*0.6*('Product half-life and C flows'!N32/100)</f>
        <v>5.33607430888173</v>
      </c>
      <c r="AB252" s="91">
        <f>N$238*0.6*('Product half-life and C flows'!P32/100)</f>
        <v>2.6653717826582071</v>
      </c>
      <c r="AC252" s="89">
        <f t="shared" si="79"/>
        <v>25.116225792481988</v>
      </c>
      <c r="AD252" s="17"/>
      <c r="AE252">
        <f t="shared" si="53"/>
        <v>94</v>
      </c>
      <c r="AF252" s="3">
        <f t="shared" si="69"/>
        <v>36.935067628625738</v>
      </c>
      <c r="AG252" s="113">
        <f t="shared" si="54"/>
        <v>152.97380920059325</v>
      </c>
      <c r="AH252" s="124">
        <f t="shared" si="80"/>
        <v>19.70648392585413</v>
      </c>
      <c r="AI252" s="124">
        <f t="shared" si="81"/>
        <v>7.3959627350682862</v>
      </c>
      <c r="AJ252" s="124">
        <f t="shared" si="82"/>
        <v>12.833797773190351</v>
      </c>
      <c r="AK252" s="124">
        <f t="shared" si="83"/>
        <v>26.400955419134434</v>
      </c>
      <c r="AL252" s="124">
        <f t="shared" si="84"/>
        <v>45.103075041032405</v>
      </c>
      <c r="AM252" s="124">
        <f t="shared" si="85"/>
        <v>24.958207036270984</v>
      </c>
      <c r="AN252" s="124">
        <f t="shared" si="86"/>
        <v>12.466636881254235</v>
      </c>
      <c r="AO252" s="124">
        <f t="shared" si="65"/>
        <v>36.155053772029632</v>
      </c>
      <c r="AP252" s="3">
        <f t="shared" si="68"/>
        <v>129.15863488595068</v>
      </c>
    </row>
    <row r="253" spans="1:42" ht="14">
      <c r="A253">
        <f t="shared" si="75"/>
        <v>95</v>
      </c>
      <c r="B253" s="19">
        <f t="shared" si="75"/>
        <v>175</v>
      </c>
      <c r="C253" s="26">
        <f t="shared" si="66"/>
        <v>153.26284462107563</v>
      </c>
      <c r="D253" s="26"/>
      <c r="E253" s="26"/>
      <c r="F253" s="26"/>
      <c r="G253" s="26"/>
      <c r="H253" s="26"/>
      <c r="I253" s="126"/>
      <c r="J253" s="26"/>
      <c r="K253" s="26"/>
      <c r="L253" s="26"/>
      <c r="M253" s="83">
        <f>C$158*(0.4*D$14)*('Product half-life and C flows'!B114/100)</f>
        <v>0.95234261729537206</v>
      </c>
      <c r="N253" s="85"/>
      <c r="O253" s="85">
        <f t="shared" si="76"/>
        <v>5.9794671475617367</v>
      </c>
      <c r="P253" s="85">
        <f t="shared" si="76"/>
        <v>12.300618132127003</v>
      </c>
      <c r="Q253" s="83">
        <f>C$158*(0.6*C$15)*('Product half-life and C flows'!L114/100)</f>
        <v>8.8975244328429035</v>
      </c>
      <c r="R253" s="85">
        <f>C$158*0.6*('Product half-life and C flows'!N114/100)</f>
        <v>19.714299424856026</v>
      </c>
      <c r="S253" s="85">
        <f>C$158*0.6*('Product half-life and C flows'!P114/100)</f>
        <v>9.847302410017992</v>
      </c>
      <c r="T253" s="85">
        <f t="shared" si="77"/>
        <v>11.038827979547648</v>
      </c>
      <c r="U253" s="3"/>
      <c r="V253" s="90">
        <f>N$238*(0.4*V$40)*('Product half-life and C flows'!B33/100)</f>
        <v>18.082866122060643</v>
      </c>
      <c r="W253" s="90">
        <f t="shared" si="74"/>
        <v>8.7463117144652891</v>
      </c>
      <c r="X253" s="89">
        <f t="shared" si="78"/>
        <v>6.8543306256286138</v>
      </c>
      <c r="Y253" s="89">
        <f t="shared" si="78"/>
        <v>14.100337287007433</v>
      </c>
      <c r="Z253" s="91">
        <f>N$238*(0.6*Z$41)*('Product half-life and C flows'!L33/100)</f>
        <v>35.516138962770434</v>
      </c>
      <c r="AA253" s="91">
        <f>N$238*0.6*('Product half-life and C flows'!N33/100)</f>
        <v>5.7039749827912782</v>
      </c>
      <c r="AB253" s="91">
        <f>N$238*0.6*('Product half-life and C flows'!P33/100)</f>
        <v>2.8491383530425964</v>
      </c>
      <c r="AC253" s="89">
        <f t="shared" si="79"/>
        <v>25.116225792481988</v>
      </c>
      <c r="AD253" s="17"/>
      <c r="AE253">
        <f t="shared" si="53"/>
        <v>95</v>
      </c>
      <c r="AF253" s="3">
        <f t="shared" si="69"/>
        <v>37.038737706310393</v>
      </c>
      <c r="AG253" s="113">
        <f t="shared" si="54"/>
        <v>153.26284462107563</v>
      </c>
      <c r="AH253" s="124">
        <f t="shared" si="80"/>
        <v>19.035208739356015</v>
      </c>
      <c r="AI253" s="124">
        <f t="shared" si="81"/>
        <v>8.7463117144652891</v>
      </c>
      <c r="AJ253" s="124">
        <f t="shared" si="82"/>
        <v>12.833797773190351</v>
      </c>
      <c r="AK253" s="124">
        <f t="shared" si="83"/>
        <v>26.400955419134434</v>
      </c>
      <c r="AL253" s="124">
        <f t="shared" si="84"/>
        <v>44.413663395613341</v>
      </c>
      <c r="AM253" s="124">
        <f t="shared" si="85"/>
        <v>25.418274407647303</v>
      </c>
      <c r="AN253" s="124">
        <f t="shared" si="86"/>
        <v>12.696440763060588</v>
      </c>
      <c r="AO253" s="124">
        <f t="shared" si="65"/>
        <v>36.155053772029632</v>
      </c>
      <c r="AP253" s="3">
        <f t="shared" si="68"/>
        <v>130.5094434731113</v>
      </c>
    </row>
    <row r="254" spans="1:42" ht="14">
      <c r="A254">
        <f t="shared" si="75"/>
        <v>96</v>
      </c>
      <c r="B254" s="19">
        <f t="shared" si="75"/>
        <v>176</v>
      </c>
      <c r="C254" s="26">
        <f t="shared" si="66"/>
        <v>153.54650986796895</v>
      </c>
      <c r="D254" s="26"/>
      <c r="E254" s="26"/>
      <c r="F254" s="26"/>
      <c r="G254" s="26"/>
      <c r="H254" s="26"/>
      <c r="I254" s="126"/>
      <c r="J254" s="26"/>
      <c r="K254" s="26"/>
      <c r="L254" s="26"/>
      <c r="M254" s="83">
        <f>C$158*(0.4*D$14)*('Product half-life and C flows'!B115/100)</f>
        <v>0.91990233162897095</v>
      </c>
      <c r="N254" s="85"/>
      <c r="O254" s="85">
        <f t="shared" si="76"/>
        <v>5.9794671475617367</v>
      </c>
      <c r="P254" s="85">
        <f t="shared" si="76"/>
        <v>12.300618132127003</v>
      </c>
      <c r="Q254" s="83">
        <f>C$158*(0.6*C$15)*('Product half-life and C flows'!L115/100)</f>
        <v>8.7615235736149657</v>
      </c>
      <c r="R254" s="85">
        <f>C$158*0.6*('Product half-life and C flows'!N115/100)</f>
        <v>19.805057331580798</v>
      </c>
      <c r="S254" s="85">
        <f>C$158*0.6*('Product half-life and C flows'!P115/100)</f>
        <v>9.8926360297606379</v>
      </c>
      <c r="T254" s="85">
        <f t="shared" si="77"/>
        <v>11.038827979547648</v>
      </c>
      <c r="U254" s="3"/>
      <c r="V254" s="90">
        <f>N$238*(0.4*V$40)*('Product half-life and C flows'!B34/100)</f>
        <v>17.466897318382717</v>
      </c>
      <c r="W254" s="90">
        <f t="shared" si="74"/>
        <v>10.189710224502418</v>
      </c>
      <c r="X254" s="89">
        <f t="shared" si="78"/>
        <v>6.8543306256286138</v>
      </c>
      <c r="Y254" s="89">
        <f t="shared" si="78"/>
        <v>14.100337287007433</v>
      </c>
      <c r="Z254" s="91">
        <f>N$238*(0.6*Z$41)*('Product half-life and C flows'!L34/100)</f>
        <v>34.973266003909416</v>
      </c>
      <c r="AA254" s="91">
        <f>N$238*0.6*('Product half-life and C flows'!N34/100)</f>
        <v>6.066252204004531</v>
      </c>
      <c r="AB254" s="91">
        <f>N$238*0.6*('Product half-life and C flows'!P34/100)</f>
        <v>3.0300960059962687</v>
      </c>
      <c r="AC254" s="89">
        <f t="shared" si="79"/>
        <v>25.116225792481988</v>
      </c>
      <c r="AD254" s="17"/>
      <c r="AE254">
        <f t="shared" si="53"/>
        <v>96</v>
      </c>
      <c r="AF254" s="3">
        <f t="shared" si="69"/>
        <v>37.138525377454336</v>
      </c>
      <c r="AG254" s="113">
        <f t="shared" si="54"/>
        <v>153.54650986796895</v>
      </c>
      <c r="AH254" s="124">
        <f t="shared" si="80"/>
        <v>18.386799650011689</v>
      </c>
      <c r="AI254" s="124">
        <f t="shared" si="81"/>
        <v>10.189710224502418</v>
      </c>
      <c r="AJ254" s="124">
        <f t="shared" si="82"/>
        <v>12.833797773190351</v>
      </c>
      <c r="AK254" s="124">
        <f t="shared" si="83"/>
        <v>26.400955419134434</v>
      </c>
      <c r="AL254" s="124">
        <f t="shared" si="84"/>
        <v>43.734789577524381</v>
      </c>
      <c r="AM254" s="124">
        <f t="shared" si="85"/>
        <v>25.871309535585329</v>
      </c>
      <c r="AN254" s="124">
        <f t="shared" si="86"/>
        <v>12.922732035756907</v>
      </c>
      <c r="AO254" s="124">
        <f t="shared" si="65"/>
        <v>36.155053772029632</v>
      </c>
      <c r="AP254" s="3">
        <f t="shared" si="68"/>
        <v>131.95329456569382</v>
      </c>
    </row>
    <row r="255" spans="1:42" ht="14">
      <c r="A255">
        <f t="shared" si="75"/>
        <v>97</v>
      </c>
      <c r="B255" s="19">
        <f t="shared" si="75"/>
        <v>177</v>
      </c>
      <c r="C255" s="26">
        <f t="shared" si="66"/>
        <v>153.82489764135551</v>
      </c>
      <c r="D255" s="26"/>
      <c r="E255" s="26"/>
      <c r="F255" s="26"/>
      <c r="G255" s="26"/>
      <c r="H255" s="26"/>
      <c r="I255" s="126"/>
      <c r="J255" s="26"/>
      <c r="K255" s="26"/>
      <c r="L255" s="26"/>
      <c r="M255" s="83">
        <f>C$158*(0.4*D$14)*('Product half-life and C flows'!B116/100)</f>
        <v>0.88856708118309435</v>
      </c>
      <c r="N255" s="85"/>
      <c r="O255" s="85">
        <f t="shared" si="76"/>
        <v>5.9794671475617367</v>
      </c>
      <c r="P255" s="85">
        <f t="shared" si="76"/>
        <v>12.300618132127003</v>
      </c>
      <c r="Q255" s="83">
        <f>C$158*(0.6*C$15)*('Product half-life and C flows'!L116/100)</f>
        <v>8.6276015211214556</v>
      </c>
      <c r="R255" s="85">
        <f>C$158*0.6*('Product half-life and C flows'!N116/100)</f>
        <v>19.894427981278135</v>
      </c>
      <c r="S255" s="85">
        <f>C$158*0.6*('Product half-life and C flows'!P116/100)</f>
        <v>9.9372767139251419</v>
      </c>
      <c r="T255" s="85">
        <f t="shared" si="77"/>
        <v>11.038827979547648</v>
      </c>
      <c r="U255" s="3"/>
      <c r="V255" s="90">
        <f>N$238*(0.4*V$40)*('Product half-life and C flows'!B35/100)</f>
        <v>16.87191067342583</v>
      </c>
      <c r="W255" s="90">
        <f t="shared" si="74"/>
        <v>11.718333388083606</v>
      </c>
      <c r="X255" s="89">
        <f t="shared" si="78"/>
        <v>6.8543306256286138</v>
      </c>
      <c r="Y255" s="89">
        <f t="shared" si="78"/>
        <v>14.100337287007433</v>
      </c>
      <c r="Z255" s="91">
        <f>N$238*(0.6*Z$41)*('Product half-life and C flows'!L35/100)</f>
        <v>34.438690992349812</v>
      </c>
      <c r="AA255" s="91">
        <f>N$238*0.6*('Product half-life and C flows'!N35/100)</f>
        <v>6.4229919283853123</v>
      </c>
      <c r="AB255" s="91">
        <f>N$238*0.6*('Product half-life and C flows'!P35/100)</f>
        <v>3.2082876765161399</v>
      </c>
      <c r="AC255" s="89">
        <f t="shared" si="79"/>
        <v>25.116225792481988</v>
      </c>
      <c r="AD255" s="17"/>
      <c r="AE255">
        <f t="shared" si="53"/>
        <v>97</v>
      </c>
      <c r="AF255" s="3">
        <f t="shared" si="69"/>
        <v>37.234568989158973</v>
      </c>
      <c r="AG255" s="113">
        <f t="shared" si="54"/>
        <v>153.82489764135551</v>
      </c>
      <c r="AH255" s="124">
        <f t="shared" si="80"/>
        <v>17.760477754608925</v>
      </c>
      <c r="AI255" s="124">
        <f t="shared" si="81"/>
        <v>11.718333388083606</v>
      </c>
      <c r="AJ255" s="124">
        <f t="shared" si="82"/>
        <v>12.833797773190351</v>
      </c>
      <c r="AK255" s="124">
        <f t="shared" si="83"/>
        <v>26.400955419134434</v>
      </c>
      <c r="AL255" s="124">
        <f t="shared" si="84"/>
        <v>43.066292513471268</v>
      </c>
      <c r="AM255" s="124">
        <f t="shared" si="85"/>
        <v>26.317419909663446</v>
      </c>
      <c r="AN255" s="124">
        <f t="shared" si="86"/>
        <v>13.145564390441281</v>
      </c>
      <c r="AO255" s="124">
        <f t="shared" si="65"/>
        <v>36.155053772029632</v>
      </c>
      <c r="AP255" s="3">
        <f t="shared" si="68"/>
        <v>133.48236339398437</v>
      </c>
    </row>
    <row r="256" spans="1:42" ht="14">
      <c r="A256">
        <f t="shared" ref="A256:B271" si="87">A255+1</f>
        <v>98</v>
      </c>
      <c r="B256" s="19">
        <f t="shared" si="87"/>
        <v>178</v>
      </c>
      <c r="C256" s="26">
        <f t="shared" si="66"/>
        <v>154.09809932824348</v>
      </c>
      <c r="D256" s="26"/>
      <c r="E256" s="26"/>
      <c r="F256" s="26"/>
      <c r="G256" s="26"/>
      <c r="H256" s="26"/>
      <c r="I256" s="126"/>
      <c r="J256" s="26"/>
      <c r="K256" s="26"/>
      <c r="L256" s="26"/>
      <c r="M256" s="83">
        <f>C$158*(0.4*D$14)*('Product half-life and C flows'!B117/100)</f>
        <v>0.85829922440146289</v>
      </c>
      <c r="N256" s="85"/>
      <c r="O256" s="85">
        <f t="shared" ref="O256:P271" si="88">O255</f>
        <v>5.9794671475617367</v>
      </c>
      <c r="P256" s="85">
        <f t="shared" si="88"/>
        <v>12.300618132127003</v>
      </c>
      <c r="Q256" s="83">
        <f>C$158*(0.6*C$15)*('Product half-life and C flows'!L117/100)</f>
        <v>8.4957265002878373</v>
      </c>
      <c r="R256" s="85">
        <f>C$158*0.6*('Product half-life and C flows'!N117/100)</f>
        <v>19.982432578514437</v>
      </c>
      <c r="S256" s="85">
        <f>C$158*0.6*('Product half-life and C flows'!P117/100)</f>
        <v>9.9812350542030153</v>
      </c>
      <c r="T256" s="85">
        <f t="shared" si="77"/>
        <v>11.038827979547648</v>
      </c>
      <c r="U256" s="3"/>
      <c r="V256" s="90">
        <f>N$238*(0.4*V$40)*('Product half-life and C flows'!B36/100)</f>
        <v>16.297191457836867</v>
      </c>
      <c r="W256" s="90">
        <f t="shared" si="74"/>
        <v>13.324187201714368</v>
      </c>
      <c r="X256" s="89">
        <f t="shared" si="78"/>
        <v>6.8543306256286138</v>
      </c>
      <c r="Y256" s="89">
        <f t="shared" si="78"/>
        <v>14.100337287007433</v>
      </c>
      <c r="Z256" s="91">
        <f>N$238*(0.6*Z$41)*('Product half-life and C flows'!L36/100)</f>
        <v>33.912287091916959</v>
      </c>
      <c r="AA256" s="91">
        <f>N$238*0.6*('Product half-life and C flows'!N36/100)</f>
        <v>6.7742787979408305</v>
      </c>
      <c r="AB256" s="91">
        <f>N$238*0.6*('Product half-life and C flows'!P36/100)</f>
        <v>3.3837556433270879</v>
      </c>
      <c r="AC256" s="89">
        <f t="shared" si="79"/>
        <v>25.116225792481988</v>
      </c>
      <c r="AD256" s="17"/>
      <c r="AE256">
        <f t="shared" si="53"/>
        <v>98</v>
      </c>
      <c r="AF256" s="3">
        <f t="shared" si="69"/>
        <v>37.327002514221753</v>
      </c>
      <c r="AG256" s="113">
        <f t="shared" si="54"/>
        <v>154.09809932824348</v>
      </c>
      <c r="AH256" s="124">
        <f t="shared" si="80"/>
        <v>17.15549068223833</v>
      </c>
      <c r="AI256" s="124">
        <f t="shared" si="81"/>
        <v>13.324187201714368</v>
      </c>
      <c r="AJ256" s="124">
        <f t="shared" si="82"/>
        <v>12.833797773190351</v>
      </c>
      <c r="AK256" s="124">
        <f t="shared" si="83"/>
        <v>26.400955419134434</v>
      </c>
      <c r="AL256" s="124">
        <f t="shared" si="84"/>
        <v>42.408013592204796</v>
      </c>
      <c r="AM256" s="124">
        <f t="shared" si="85"/>
        <v>26.756711376455268</v>
      </c>
      <c r="AN256" s="124">
        <f t="shared" si="86"/>
        <v>13.364990697530104</v>
      </c>
      <c r="AO256" s="124">
        <f t="shared" si="65"/>
        <v>36.155053772029632</v>
      </c>
      <c r="AP256" s="3">
        <f t="shared" si="68"/>
        <v>135.08865606022931</v>
      </c>
    </row>
    <row r="257" spans="1:42" ht="14">
      <c r="A257">
        <f t="shared" si="87"/>
        <v>99</v>
      </c>
      <c r="B257" s="19">
        <f t="shared" si="87"/>
        <v>179</v>
      </c>
      <c r="C257" s="26">
        <f t="shared" si="66"/>
        <v>154.36620500878925</v>
      </c>
      <c r="D257" s="26"/>
      <c r="E257" s="26"/>
      <c r="F257" s="26"/>
      <c r="G257" s="26"/>
      <c r="H257" s="26"/>
      <c r="I257" s="126"/>
      <c r="J257" s="26"/>
      <c r="K257" s="26"/>
      <c r="L257" s="26"/>
      <c r="M257" s="83">
        <f>C$158*(0.4*D$14)*('Product half-life and C flows'!B118/100)</f>
        <v>0.82906240193739145</v>
      </c>
      <c r="N257" s="85"/>
      <c r="O257" s="85">
        <f t="shared" si="88"/>
        <v>5.9794671475617367</v>
      </c>
      <c r="P257" s="85">
        <f t="shared" si="88"/>
        <v>12.300618132127003</v>
      </c>
      <c r="Q257" s="83">
        <f>C$158*(0.6*C$15)*('Product half-life and C flows'!L118/100)</f>
        <v>8.3658672217294363</v>
      </c>
      <c r="R257" s="85">
        <f>C$158*0.6*('Product half-life and C flows'!N118/100)</f>
        <v>20.06909200373908</v>
      </c>
      <c r="S257" s="85">
        <f>C$158*0.6*('Product half-life and C flows'!P118/100)</f>
        <v>10.024521480389147</v>
      </c>
      <c r="T257" s="85">
        <f t="shared" si="77"/>
        <v>11.038827979547648</v>
      </c>
      <c r="U257" s="3"/>
      <c r="V257" s="90">
        <f>N$238*(0.4*V$40)*('Product half-life and C flows'!B37/100)</f>
        <v>15.742049288568293</v>
      </c>
      <c r="W257" s="90">
        <f t="shared" si="74"/>
        <v>14.999241888023334</v>
      </c>
      <c r="X257" s="89">
        <f t="shared" ref="X257:Y272" si="89">X256</f>
        <v>6.8543306256286138</v>
      </c>
      <c r="Y257" s="89">
        <f t="shared" si="89"/>
        <v>14.100337287007433</v>
      </c>
      <c r="Z257" s="91">
        <f>N$238*(0.6*Z$41)*('Product half-life and C flows'!L37/100)</f>
        <v>33.393929405158516</v>
      </c>
      <c r="AA257" s="91">
        <f>N$238*0.6*('Product half-life and C flows'!N37/100)</f>
        <v>7.1201961609043005</v>
      </c>
      <c r="AB257" s="91">
        <f>N$238*0.6*('Product half-life and C flows'!P37/100)</f>
        <v>3.5565415389132369</v>
      </c>
      <c r="AC257" s="89">
        <f t="shared" si="79"/>
        <v>25.116225792481988</v>
      </c>
      <c r="AD257" s="17"/>
      <c r="AE257">
        <f t="shared" si="53"/>
        <v>99</v>
      </c>
      <c r="AF257" s="3">
        <f t="shared" si="69"/>
        <v>37.415955643833811</v>
      </c>
      <c r="AG257" s="113">
        <f t="shared" si="54"/>
        <v>154.36620500878925</v>
      </c>
      <c r="AH257" s="124">
        <f t="shared" si="80"/>
        <v>16.571111690505685</v>
      </c>
      <c r="AI257" s="124">
        <f t="shared" si="81"/>
        <v>14.999241888023334</v>
      </c>
      <c r="AJ257" s="124">
        <f t="shared" si="82"/>
        <v>12.833797773190351</v>
      </c>
      <c r="AK257" s="124">
        <f t="shared" si="83"/>
        <v>26.400955419134434</v>
      </c>
      <c r="AL257" s="124">
        <f t="shared" si="84"/>
        <v>41.759796626887955</v>
      </c>
      <c r="AM257" s="124">
        <f t="shared" si="85"/>
        <v>27.189288164643379</v>
      </c>
      <c r="AN257" s="124">
        <f t="shared" si="86"/>
        <v>13.581063019302384</v>
      </c>
      <c r="AO257" s="124">
        <f t="shared" si="65"/>
        <v>36.155053772029632</v>
      </c>
      <c r="AP257" s="3">
        <f t="shared" si="68"/>
        <v>136.76414289118185</v>
      </c>
    </row>
    <row r="258" spans="1:42" ht="14">
      <c r="A258">
        <f t="shared" si="87"/>
        <v>100</v>
      </c>
      <c r="B258" s="19">
        <f t="shared" si="87"/>
        <v>180</v>
      </c>
      <c r="C258" s="26">
        <f t="shared" si="66"/>
        <v>154.62930346313073</v>
      </c>
      <c r="D258" s="26"/>
      <c r="E258" s="26"/>
      <c r="F258" s="26"/>
      <c r="G258" s="26"/>
      <c r="H258" s="26"/>
      <c r="I258" s="126"/>
      <c r="J258" s="26"/>
      <c r="K258" s="26"/>
      <c r="L258" s="26"/>
      <c r="M258" s="83">
        <f>C$158*(0.4*D$14)*('Product half-life and C flows'!B119/100)</f>
        <v>0.80082149297701855</v>
      </c>
      <c r="N258" s="85"/>
      <c r="O258" s="85">
        <f t="shared" si="88"/>
        <v>5.9794671475617367</v>
      </c>
      <c r="P258" s="85">
        <f t="shared" si="88"/>
        <v>12.300618132127003</v>
      </c>
      <c r="Q258" s="83">
        <f>C$158*(0.6*C$15)*('Product half-life and C flows'!L119/100)</f>
        <v>8.2379928743275599</v>
      </c>
      <c r="R258" s="85">
        <f>C$158*0.6*('Product half-life and C flows'!N119/100)</f>
        <v>20.154426818238594</v>
      </c>
      <c r="S258" s="85">
        <f>C$158*0.6*('Product half-life and C flows'!P119/100)</f>
        <v>10.06714626285644</v>
      </c>
      <c r="T258" s="85">
        <f t="shared" si="77"/>
        <v>11.038827979547648</v>
      </c>
      <c r="U258" s="3"/>
      <c r="V258" s="90">
        <f>N$238*(0.4*V$40)*('Product half-life and C flows'!B38/100)</f>
        <v>15.205817299553635</v>
      </c>
      <c r="W258" s="90">
        <f t="shared" si="74"/>
        <v>16.7355400849764</v>
      </c>
      <c r="X258" s="89">
        <f t="shared" si="89"/>
        <v>6.8543306256286138</v>
      </c>
      <c r="Y258" s="89">
        <f t="shared" si="89"/>
        <v>14.100337287007433</v>
      </c>
      <c r="Z258" s="91">
        <f>N$238*(0.6*Z$41)*('Product half-life and C flows'!L38/100)</f>
        <v>32.883494943710502</v>
      </c>
      <c r="AA258" s="91">
        <f>N$238*0.6*('Product half-life and C flows'!N38/100)</f>
        <v>7.4608260915106088</v>
      </c>
      <c r="AB258" s="91">
        <f>N$238*0.6*('Product half-life and C flows'!P38/100)</f>
        <v>3.7266863593959085</v>
      </c>
      <c r="AC258" s="89">
        <f t="shared" si="79"/>
        <v>25.116225792481988</v>
      </c>
      <c r="AD258" s="17"/>
      <c r="AE258">
        <f t="shared" si="53"/>
        <v>100</v>
      </c>
      <c r="AF258" s="3">
        <f t="shared" si="69"/>
        <v>37.50155388248421</v>
      </c>
      <c r="AG258" s="113">
        <f t="shared" si="54"/>
        <v>154.62930346313073</v>
      </c>
      <c r="AH258" s="124">
        <f t="shared" si="80"/>
        <v>16.006638792530655</v>
      </c>
      <c r="AI258" s="124">
        <f t="shared" si="81"/>
        <v>16.7355400849764</v>
      </c>
      <c r="AJ258" s="124">
        <f t="shared" si="82"/>
        <v>12.833797773190351</v>
      </c>
      <c r="AK258" s="124">
        <f t="shared" si="83"/>
        <v>26.400955419134434</v>
      </c>
      <c r="AL258" s="124">
        <f t="shared" si="84"/>
        <v>41.121487818038062</v>
      </c>
      <c r="AM258" s="124">
        <f t="shared" si="85"/>
        <v>27.615252909749202</v>
      </c>
      <c r="AN258" s="124">
        <f t="shared" si="86"/>
        <v>13.793832622252349</v>
      </c>
      <c r="AO258" s="124">
        <f t="shared" si="65"/>
        <v>36.155053772029632</v>
      </c>
      <c r="AP258" s="3">
        <f t="shared" si="68"/>
        <v>138.5008666273408</v>
      </c>
    </row>
    <row r="259" spans="1:42" ht="14">
      <c r="A259">
        <f t="shared" si="87"/>
        <v>101</v>
      </c>
      <c r="B259" s="19">
        <f t="shared" si="87"/>
        <v>181</v>
      </c>
      <c r="C259" s="26">
        <f t="shared" si="66"/>
        <v>154.88748217879268</v>
      </c>
      <c r="D259" s="26"/>
      <c r="E259" s="26"/>
      <c r="F259" s="26"/>
      <c r="G259" s="26"/>
      <c r="H259" s="26"/>
      <c r="I259" s="126"/>
      <c r="J259" s="26"/>
      <c r="K259" s="26"/>
      <c r="L259" s="26"/>
      <c r="M259" s="83">
        <f>C$158*(0.4*D$14)*('Product half-life and C flows'!B120/100)</f>
        <v>0.77354257305033558</v>
      </c>
      <c r="N259" s="85"/>
      <c r="O259" s="85">
        <f t="shared" si="88"/>
        <v>5.9794671475617367</v>
      </c>
      <c r="P259" s="85">
        <f t="shared" si="88"/>
        <v>12.300618132127003</v>
      </c>
      <c r="Q259" s="83">
        <f>C$158*(0.6*C$15)*('Product half-life and C flows'!L120/100)</f>
        <v>8.1120731179190688</v>
      </c>
      <c r="R259" s="85">
        <f>C$158*0.6*('Product half-life and C flows'!N120/100)</f>
        <v>20.238457269015196</v>
      </c>
      <c r="S259" s="85">
        <f>C$158*0.6*('Product half-life and C flows'!P120/100)</f>
        <v>10.109119514992603</v>
      </c>
      <c r="T259" s="85">
        <f t="shared" si="77"/>
        <v>11.038827979547648</v>
      </c>
      <c r="U259" s="3"/>
      <c r="V259" s="90">
        <f>N$238*(0.4*V$40)*('Product half-life and C flows'!B39/100)</f>
        <v>14.687851340632745</v>
      </c>
      <c r="W259" s="90">
        <f t="shared" si="74"/>
        <v>18.5252835435601</v>
      </c>
      <c r="X259" s="89">
        <f t="shared" si="89"/>
        <v>6.8543306256286138</v>
      </c>
      <c r="Y259" s="89">
        <f t="shared" si="89"/>
        <v>14.100337287007433</v>
      </c>
      <c r="Z259" s="91">
        <f>N$238*(0.6*Z$41)*('Product half-life and C flows'!L39/100)</f>
        <v>32.380862599116504</v>
      </c>
      <c r="AA259" s="91">
        <f>N$238*0.6*('Product half-life and C flows'!N39/100)</f>
        <v>7.7962494094696693</v>
      </c>
      <c r="AB259" s="91">
        <f>N$238*0.6*('Product half-life and C flows'!P39/100)</f>
        <v>3.8942304742605742</v>
      </c>
      <c r="AC259" s="89">
        <f t="shared" si="79"/>
        <v>25.116225792481988</v>
      </c>
      <c r="AD259" s="17"/>
      <c r="AE259">
        <f t="shared" si="53"/>
        <v>101</v>
      </c>
      <c r="AF259" s="3">
        <f t="shared" si="69"/>
        <v>37.583918644559809</v>
      </c>
      <c r="AG259" s="113">
        <f t="shared" si="54"/>
        <v>154.88748217879268</v>
      </c>
      <c r="AH259" s="124">
        <f t="shared" si="80"/>
        <v>15.46139391368308</v>
      </c>
      <c r="AI259" s="124">
        <f t="shared" si="81"/>
        <v>18.5252835435601</v>
      </c>
      <c r="AJ259" s="124">
        <f t="shared" si="82"/>
        <v>12.833797773190351</v>
      </c>
      <c r="AK259" s="124">
        <f t="shared" si="83"/>
        <v>26.400955419134434</v>
      </c>
      <c r="AL259" s="124">
        <f t="shared" si="84"/>
        <v>40.492935717035571</v>
      </c>
      <c r="AM259" s="124">
        <f t="shared" si="85"/>
        <v>28.034706678484866</v>
      </c>
      <c r="AN259" s="124">
        <f t="shared" si="86"/>
        <v>14.003349989253177</v>
      </c>
      <c r="AO259" s="124">
        <f t="shared" si="65"/>
        <v>36.155053772029632</v>
      </c>
      <c r="AP259" s="3">
        <f t="shared" si="68"/>
        <v>140.29102912065849</v>
      </c>
    </row>
    <row r="260" spans="1:42" ht="14">
      <c r="A260">
        <f t="shared" si="87"/>
        <v>102</v>
      </c>
      <c r="B260" s="19">
        <f t="shared" si="87"/>
        <v>182</v>
      </c>
      <c r="C260" s="26">
        <f t="shared" si="66"/>
        <v>155.14082735862848</v>
      </c>
      <c r="D260" s="26"/>
      <c r="E260" s="26"/>
      <c r="F260" s="26"/>
      <c r="G260" s="26"/>
      <c r="H260" s="26"/>
      <c r="I260" s="126"/>
      <c r="J260" s="26"/>
      <c r="K260" s="26"/>
      <c r="L260" s="26"/>
      <c r="M260" s="83">
        <f>C$158*(0.4*D$14)*('Product half-life and C flows'!B121/100)</f>
        <v>0.74719287327932038</v>
      </c>
      <c r="N260" s="85"/>
      <c r="O260" s="85">
        <f t="shared" si="88"/>
        <v>5.9794671475617367</v>
      </c>
      <c r="P260" s="85">
        <f t="shared" si="88"/>
        <v>12.300618132127003</v>
      </c>
      <c r="Q260" s="83">
        <f>C$158*(0.6*C$15)*('Product half-life and C flows'!L121/100)</f>
        <v>7.9880780760977173</v>
      </c>
      <c r="R260" s="85">
        <f>C$158*0.6*('Product half-life and C flows'!N121/100)</f>
        <v>20.321203293590642</v>
      </c>
      <c r="S260" s="85">
        <f>C$158*0.6*('Product half-life and C flows'!P121/100)</f>
        <v>10.15045119559972</v>
      </c>
      <c r="T260" s="85">
        <f t="shared" si="77"/>
        <v>11.038827979547648</v>
      </c>
      <c r="U260" s="3"/>
      <c r="V260" s="90">
        <f>N$238*(0.4*V$40)*('Product half-life and C flows'!B40/100)</f>
        <v>14.187529203764665</v>
      </c>
      <c r="W260" s="90">
        <f t="shared" si="74"/>
        <v>20.360901524976995</v>
      </c>
      <c r="X260" s="89">
        <f t="shared" si="89"/>
        <v>6.8543306256286138</v>
      </c>
      <c r="Y260" s="89">
        <f t="shared" si="89"/>
        <v>14.100337287007433</v>
      </c>
      <c r="Z260" s="91">
        <f>N$238*(0.6*Z$41)*('Product half-life and C flows'!L40/100)</f>
        <v>31.885913114092773</v>
      </c>
      <c r="AA260" s="91">
        <f>N$238*0.6*('Product half-life and C flows'!N40/100)</f>
        <v>8.1265456991421736</v>
      </c>
      <c r="AB260" s="91">
        <f>N$238*0.6*('Product half-life and C flows'!P40/100)</f>
        <v>4.0592136359351505</v>
      </c>
      <c r="AC260" s="89">
        <f t="shared" si="79"/>
        <v>25.116225792481988</v>
      </c>
      <c r="AD260" s="17"/>
      <c r="AE260">
        <f t="shared" si="53"/>
        <v>102</v>
      </c>
      <c r="AF260" s="3">
        <f t="shared" si="69"/>
        <v>37.66316735217984</v>
      </c>
      <c r="AG260" s="113">
        <f t="shared" si="54"/>
        <v>155.14082735862848</v>
      </c>
      <c r="AH260" s="124">
        <f t="shared" si="80"/>
        <v>14.934722077043986</v>
      </c>
      <c r="AI260" s="124">
        <f t="shared" si="81"/>
        <v>20.360901524976995</v>
      </c>
      <c r="AJ260" s="124">
        <f t="shared" si="82"/>
        <v>12.833797773190351</v>
      </c>
      <c r="AK260" s="124">
        <f t="shared" si="83"/>
        <v>26.400955419134434</v>
      </c>
      <c r="AL260" s="124">
        <f t="shared" si="84"/>
        <v>39.873991190190488</v>
      </c>
      <c r="AM260" s="124">
        <f t="shared" si="85"/>
        <v>28.447748992732816</v>
      </c>
      <c r="AN260" s="124">
        <f t="shared" si="86"/>
        <v>14.209664831534869</v>
      </c>
      <c r="AO260" s="124">
        <f t="shared" si="65"/>
        <v>36.155053772029632</v>
      </c>
      <c r="AP260" s="3">
        <f t="shared" si="68"/>
        <v>142.12705973175994</v>
      </c>
    </row>
    <row r="261" spans="1:42" ht="14">
      <c r="A261">
        <f t="shared" si="87"/>
        <v>103</v>
      </c>
      <c r="B261" s="19">
        <f t="shared" si="87"/>
        <v>183</v>
      </c>
      <c r="C261" s="26">
        <f t="shared" si="66"/>
        <v>155.3894239292618</v>
      </c>
      <c r="D261" s="26"/>
      <c r="E261" s="26"/>
      <c r="F261" s="26"/>
      <c r="G261" s="26"/>
      <c r="H261" s="26"/>
      <c r="I261" s="126"/>
      <c r="J261" s="26"/>
      <c r="K261" s="26"/>
      <c r="L261" s="26"/>
      <c r="M261" s="83">
        <f>C$158*(0.4*D$14)*('Product half-life and C flows'!B122/100)</f>
        <v>0.72174074101423369</v>
      </c>
      <c r="N261" s="85"/>
      <c r="O261" s="85">
        <f t="shared" si="88"/>
        <v>5.9794671475617367</v>
      </c>
      <c r="P261" s="85">
        <f t="shared" si="88"/>
        <v>12.300618132127003</v>
      </c>
      <c r="Q261" s="83">
        <f>C$158*(0.6*C$15)*('Product half-life and C flows'!L122/100)</f>
        <v>7.8659783291255101</v>
      </c>
      <c r="R261" s="85">
        <f>C$158*0.6*('Product half-life and C flows'!N122/100)</f>
        <v>20.402684524736763</v>
      </c>
      <c r="S261" s="85">
        <f>C$158*0.6*('Product half-life and C flows'!P122/100)</f>
        <v>10.191151111257122</v>
      </c>
      <c r="T261" s="85">
        <f t="shared" si="77"/>
        <v>11.038827979547648</v>
      </c>
      <c r="U261" s="3"/>
      <c r="V261" s="90">
        <f>N$238*(0.4*V$40)*('Product half-life and C flows'!B41/100)</f>
        <v>13.704249875598478</v>
      </c>
      <c r="W261" s="90">
        <f t="shared" si="74"/>
        <v>22.235103667138301</v>
      </c>
      <c r="X261" s="89">
        <f t="shared" si="89"/>
        <v>6.8543306256286138</v>
      </c>
      <c r="Y261" s="89">
        <f t="shared" si="89"/>
        <v>14.100337287007433</v>
      </c>
      <c r="Z261" s="91">
        <f>N$238*(0.6*Z$41)*('Product half-life and C flows'!L41/100)</f>
        <v>31.398529054232615</v>
      </c>
      <c r="AA261" s="91">
        <f>N$238*0.6*('Product half-life and C flows'!N41/100)</f>
        <v>8.4517933284221876</v>
      </c>
      <c r="AB261" s="91">
        <f>N$238*0.6*('Product half-life and C flows'!P41/100)</f>
        <v>4.2216749892218717</v>
      </c>
      <c r="AC261" s="89">
        <f t="shared" si="79"/>
        <v>25.116225792481988</v>
      </c>
      <c r="AD261" s="17"/>
      <c r="AE261">
        <f t="shared" si="53"/>
        <v>103</v>
      </c>
      <c r="AF261" s="3">
        <f t="shared" si="69"/>
        <v>37.739413533850168</v>
      </c>
      <c r="AG261" s="113">
        <f t="shared" si="54"/>
        <v>155.3894239292618</v>
      </c>
      <c r="AH261" s="124">
        <f t="shared" si="80"/>
        <v>14.425990616612712</v>
      </c>
      <c r="AI261" s="124">
        <f t="shared" si="81"/>
        <v>22.235103667138301</v>
      </c>
      <c r="AJ261" s="124">
        <f t="shared" si="82"/>
        <v>12.833797773190351</v>
      </c>
      <c r="AK261" s="124">
        <f t="shared" si="83"/>
        <v>26.400955419134434</v>
      </c>
      <c r="AL261" s="124">
        <f t="shared" si="84"/>
        <v>39.264507383358122</v>
      </c>
      <c r="AM261" s="124">
        <f t="shared" si="85"/>
        <v>28.854477853158951</v>
      </c>
      <c r="AN261" s="124">
        <f t="shared" si="86"/>
        <v>14.412826100478995</v>
      </c>
      <c r="AO261" s="124">
        <f t="shared" si="65"/>
        <v>36.155053772029632</v>
      </c>
      <c r="AP261" s="3">
        <f t="shared" si="68"/>
        <v>144.00166819645915</v>
      </c>
    </row>
    <row r="262" spans="1:42" ht="14">
      <c r="A262">
        <f t="shared" si="87"/>
        <v>104</v>
      </c>
      <c r="B262" s="19">
        <f t="shared" si="87"/>
        <v>184</v>
      </c>
      <c r="C262" s="26">
        <f t="shared" si="66"/>
        <v>155.63335554999506</v>
      </c>
      <c r="D262" s="26"/>
      <c r="E262" s="26"/>
      <c r="F262" s="26"/>
      <c r="G262" s="26"/>
      <c r="H262" s="26"/>
      <c r="I262" s="126"/>
      <c r="J262" s="26"/>
      <c r="K262" s="26"/>
      <c r="L262" s="26"/>
      <c r="M262" s="83">
        <f>C$158*(0.4*D$14)*('Product half-life and C flows'!B123/100)</f>
        <v>0.69715560181078662</v>
      </c>
      <c r="N262" s="85"/>
      <c r="O262" s="85">
        <f t="shared" si="88"/>
        <v>5.9794671475617367</v>
      </c>
      <c r="P262" s="85">
        <f t="shared" si="88"/>
        <v>12.300618132127003</v>
      </c>
      <c r="Q262" s="83">
        <f>C$158*(0.6*C$15)*('Product half-life and C flows'!L123/100)</f>
        <v>7.7457449069524174</v>
      </c>
      <c r="R262" s="85">
        <f>C$158*0.6*('Product half-life and C flows'!N123/100)</f>
        <v>20.482920295133606</v>
      </c>
      <c r="S262" s="85">
        <f>C$158*0.6*('Product half-life and C flows'!P123/100)</f>
        <v>10.231228918648153</v>
      </c>
      <c r="T262" s="85">
        <f t="shared" si="77"/>
        <v>11.038827979547648</v>
      </c>
      <c r="U262" s="3"/>
      <c r="V262" s="90">
        <f>N$238*(0.4*V$40)*('Product half-life and C flows'!B42/100)</f>
        <v>13.237432815504366</v>
      </c>
      <c r="W262" s="90">
        <f t="shared" si="74"/>
        <v>24.140919721338808</v>
      </c>
      <c r="X262" s="89">
        <f t="shared" si="89"/>
        <v>6.8543306256286138</v>
      </c>
      <c r="Y262" s="89">
        <f t="shared" si="89"/>
        <v>14.100337287007433</v>
      </c>
      <c r="Z262" s="91">
        <f>N$238*(0.6*Z$41)*('Product half-life and C flows'!L42/100)</f>
        <v>30.918594780143223</v>
      </c>
      <c r="AA262" s="91">
        <f>N$238*0.6*('Product half-life and C flows'!N42/100)</f>
        <v>8.772069467331173</v>
      </c>
      <c r="AB262" s="91">
        <f>N$238*0.6*('Product half-life and C flows'!P42/100)</f>
        <v>4.3816530805850009</v>
      </c>
      <c r="AC262" s="89">
        <f t="shared" si="79"/>
        <v>25.116225792481988</v>
      </c>
      <c r="AD262" s="17"/>
      <c r="AE262">
        <f t="shared" si="53"/>
        <v>104</v>
      </c>
      <c r="AF262" s="3">
        <f t="shared" si="69"/>
        <v>37.812766923564119</v>
      </c>
      <c r="AG262" s="113">
        <f t="shared" si="54"/>
        <v>155.63335554999506</v>
      </c>
      <c r="AH262" s="124">
        <f t="shared" si="80"/>
        <v>13.934588417315153</v>
      </c>
      <c r="AI262" s="124">
        <f t="shared" si="81"/>
        <v>24.140919721338808</v>
      </c>
      <c r="AJ262" s="124">
        <f t="shared" si="82"/>
        <v>12.833797773190351</v>
      </c>
      <c r="AK262" s="124">
        <f t="shared" si="83"/>
        <v>26.400955419134434</v>
      </c>
      <c r="AL262" s="124">
        <f t="shared" si="84"/>
        <v>38.664339687095641</v>
      </c>
      <c r="AM262" s="124">
        <f t="shared" si="85"/>
        <v>29.254989762464781</v>
      </c>
      <c r="AN262" s="124">
        <f t="shared" si="86"/>
        <v>14.612881999233153</v>
      </c>
      <c r="AO262" s="124">
        <f t="shared" si="65"/>
        <v>36.155053772029632</v>
      </c>
      <c r="AP262" s="3">
        <f t="shared" si="68"/>
        <v>145.9078843624572</v>
      </c>
    </row>
    <row r="263" spans="1:42" ht="14">
      <c r="A263">
        <f t="shared" si="87"/>
        <v>105</v>
      </c>
      <c r="B263" s="19">
        <f t="shared" si="87"/>
        <v>185</v>
      </c>
      <c r="C263" s="26">
        <f t="shared" si="66"/>
        <v>155.87270462215298</v>
      </c>
      <c r="D263" s="26"/>
      <c r="E263" s="26"/>
      <c r="F263" s="26"/>
      <c r="G263" s="26"/>
      <c r="H263" s="26"/>
      <c r="I263" s="126"/>
      <c r="J263" s="26"/>
      <c r="K263" s="26"/>
      <c r="L263" s="26"/>
      <c r="M263" s="83">
        <f>C$158*(0.4*D$14)*('Product half-life and C flows'!B124/100)</f>
        <v>0.6734079227025026</v>
      </c>
      <c r="N263" s="85"/>
      <c r="O263" s="85">
        <f t="shared" si="88"/>
        <v>5.9794671475617367</v>
      </c>
      <c r="P263" s="85">
        <f t="shared" si="88"/>
        <v>12.300618132127003</v>
      </c>
      <c r="Q263" s="83">
        <f>C$158*(0.6*C$15)*('Product half-life and C flows'!L124/100)</f>
        <v>7.6273492823427773</v>
      </c>
      <c r="R263" s="85">
        <f>C$158*0.6*('Product half-life and C flows'!N124/100)</f>
        <v>20.561929641956439</v>
      </c>
      <c r="S263" s="85">
        <f>C$158*0.6*('Product half-life and C flows'!P124/100)</f>
        <v>10.270694126851366</v>
      </c>
      <c r="T263" s="85">
        <f t="shared" si="77"/>
        <v>11.038827979547648</v>
      </c>
      <c r="U263" s="3"/>
      <c r="V263" s="90">
        <f>N$238*(0.4*V$40)*('Product half-life and C flows'!B43/100)</f>
        <v>12.786517258197568</v>
      </c>
      <c r="W263" s="90">
        <f t="shared" si="74"/>
        <v>26.071728237167552</v>
      </c>
      <c r="X263" s="89">
        <f t="shared" si="89"/>
        <v>6.8543306256286138</v>
      </c>
      <c r="Y263" s="89">
        <f t="shared" si="89"/>
        <v>14.100337287007433</v>
      </c>
      <c r="Z263" s="91">
        <f>N$238*(0.6*Z$41)*('Product half-life and C flows'!L43/100)</f>
        <v>30.445996420008523</v>
      </c>
      <c r="AA263" s="91">
        <f>N$238*0.6*('Product half-life and C flows'!N43/100)</f>
        <v>9.0874501063277293</v>
      </c>
      <c r="AB263" s="91">
        <f>N$238*0.6*('Product half-life and C flows'!P43/100)</f>
        <v>4.5391858672965668</v>
      </c>
      <c r="AC263" s="89">
        <f t="shared" si="79"/>
        <v>25.116225792481988</v>
      </c>
      <c r="AD263" s="17"/>
      <c r="AE263">
        <f t="shared" si="53"/>
        <v>105</v>
      </c>
      <c r="AF263" s="3">
        <f t="shared" si="69"/>
        <v>37.883333560016261</v>
      </c>
      <c r="AG263" s="113">
        <f t="shared" si="54"/>
        <v>155.87270462215298</v>
      </c>
      <c r="AH263" s="124">
        <f t="shared" si="80"/>
        <v>13.45992518090007</v>
      </c>
      <c r="AI263" s="124">
        <f t="shared" si="81"/>
        <v>26.071728237167552</v>
      </c>
      <c r="AJ263" s="124">
        <f t="shared" si="82"/>
        <v>12.833797773190351</v>
      </c>
      <c r="AK263" s="124">
        <f t="shared" si="83"/>
        <v>26.400955419134434</v>
      </c>
      <c r="AL263" s="124">
        <f t="shared" si="84"/>
        <v>38.073345702351304</v>
      </c>
      <c r="AM263" s="124">
        <f t="shared" si="85"/>
        <v>29.649379748284169</v>
      </c>
      <c r="AN263" s="124">
        <f t="shared" si="86"/>
        <v>14.809879994147932</v>
      </c>
      <c r="AO263" s="124">
        <f t="shared" si="65"/>
        <v>36.155053772029632</v>
      </c>
      <c r="AP263" s="3">
        <f t="shared" si="68"/>
        <v>147.83908687427575</v>
      </c>
    </row>
    <row r="264" spans="1:42" ht="14">
      <c r="A264">
        <f t="shared" si="87"/>
        <v>106</v>
      </c>
      <c r="B264" s="19">
        <f t="shared" si="87"/>
        <v>186</v>
      </c>
      <c r="C264" s="26">
        <f t="shared" si="66"/>
        <v>156.10755229882932</v>
      </c>
      <c r="D264" s="26"/>
      <c r="E264" s="26"/>
      <c r="F264" s="26"/>
      <c r="G264" s="26"/>
      <c r="H264" s="26"/>
      <c r="I264" s="126"/>
      <c r="J264" s="26"/>
      <c r="K264" s="26"/>
      <c r="L264" s="26"/>
      <c r="M264" s="83">
        <f>C$158*(0.4*D$14)*('Product half-life and C flows'!B125/100)</f>
        <v>0.65046917672416182</v>
      </c>
      <c r="N264" s="85"/>
      <c r="O264" s="85">
        <f t="shared" si="88"/>
        <v>5.9794671475617367</v>
      </c>
      <c r="P264" s="85">
        <f t="shared" si="88"/>
        <v>12.300618132127003</v>
      </c>
      <c r="Q264" s="83">
        <f>C$158*(0.6*C$15)*('Product half-life and C flows'!L125/100)</f>
        <v>7.5107633641067792</v>
      </c>
      <c r="R264" s="85">
        <f>C$158*0.6*('Product half-life and C flows'!N125/100)</f>
        <v>20.639731311392598</v>
      </c>
      <c r="S264" s="85">
        <f>C$158*0.6*('Product half-life and C flows'!P125/100)</f>
        <v>10.309556099596698</v>
      </c>
      <c r="T264" s="85">
        <f t="shared" si="77"/>
        <v>11.038827979547648</v>
      </c>
      <c r="U264" s="3"/>
      <c r="V264" s="90">
        <f>N$238*(0.4*V$40)*('Product half-life and C flows'!B44/100)</f>
        <v>12.35096154011754</v>
      </c>
      <c r="W264" s="90">
        <f t="shared" si="74"/>
        <v>28.021275991399175</v>
      </c>
      <c r="X264" s="89">
        <f t="shared" si="89"/>
        <v>6.8543306256286138</v>
      </c>
      <c r="Y264" s="89">
        <f t="shared" si="89"/>
        <v>14.100337287007433</v>
      </c>
      <c r="Z264" s="91">
        <f>N$238*(0.6*Z$41)*('Product half-life and C flows'!L44/100)</f>
        <v>29.980621842571278</v>
      </c>
      <c r="AA264" s="91">
        <f>N$238*0.6*('Product half-life and C flows'!N44/100)</f>
        <v>9.3980100743375203</v>
      </c>
      <c r="AB264" s="91">
        <f>N$238*0.6*('Product half-life and C flows'!P44/100)</f>
        <v>4.6943107264423167</v>
      </c>
      <c r="AC264" s="89">
        <f t="shared" si="79"/>
        <v>25.116225792481988</v>
      </c>
      <c r="AD264" s="17"/>
      <c r="AE264">
        <f t="shared" si="53"/>
        <v>106</v>
      </c>
      <c r="AF264" s="3">
        <f t="shared" si="69"/>
        <v>37.951215885630624</v>
      </c>
      <c r="AG264" s="113">
        <f t="shared" si="54"/>
        <v>156.10755229882932</v>
      </c>
      <c r="AH264" s="124">
        <f t="shared" si="80"/>
        <v>13.001430716841702</v>
      </c>
      <c r="AI264" s="124">
        <f t="shared" si="81"/>
        <v>28.021275991399175</v>
      </c>
      <c r="AJ264" s="124">
        <f t="shared" si="82"/>
        <v>12.833797773190351</v>
      </c>
      <c r="AK264" s="124">
        <f t="shared" si="83"/>
        <v>26.400955419134434</v>
      </c>
      <c r="AL264" s="124">
        <f t="shared" si="84"/>
        <v>37.491385206678061</v>
      </c>
      <c r="AM264" s="124">
        <f t="shared" si="85"/>
        <v>30.037741385730119</v>
      </c>
      <c r="AN264" s="124">
        <f t="shared" si="86"/>
        <v>15.003866826039015</v>
      </c>
      <c r="AO264" s="124">
        <f t="shared" si="65"/>
        <v>36.155053772029632</v>
      </c>
      <c r="AP264" s="3">
        <f t="shared" si="68"/>
        <v>149.78902260217114</v>
      </c>
    </row>
    <row r="265" spans="1:42" ht="14">
      <c r="A265">
        <f t="shared" si="87"/>
        <v>107</v>
      </c>
      <c r="B265" s="19">
        <f t="shared" si="87"/>
        <v>187</v>
      </c>
      <c r="C265" s="26">
        <f t="shared" si="66"/>
        <v>156.33797849500814</v>
      </c>
      <c r="D265" s="26"/>
      <c r="E265" s="26"/>
      <c r="F265" s="26"/>
      <c r="G265" s="26"/>
      <c r="H265" s="26"/>
      <c r="I265" s="126"/>
      <c r="J265" s="26"/>
      <c r="K265" s="26"/>
      <c r="L265" s="26"/>
      <c r="M265" s="83">
        <f>C$158*(0.4*D$14)*('Product half-life and C flows'!B126/100)</f>
        <v>0.62831180864370362</v>
      </c>
      <c r="N265" s="85"/>
      <c r="O265" s="85">
        <f t="shared" si="88"/>
        <v>5.9794671475617367</v>
      </c>
      <c r="P265" s="85">
        <f t="shared" si="88"/>
        <v>12.300618132127003</v>
      </c>
      <c r="Q265" s="83">
        <f>C$158*(0.6*C$15)*('Product half-life and C flows'!L126/100)</f>
        <v>7.3959594904353851</v>
      </c>
      <c r="R265" s="85">
        <f>C$158*0.6*('Product half-life and C flows'!N126/100)</f>
        <v>20.716343763089302</v>
      </c>
      <c r="S265" s="85">
        <f>C$158*0.6*('Product half-life and C flows'!P126/100)</f>
        <v>10.347824057487163</v>
      </c>
      <c r="T265" s="85">
        <f t="shared" si="77"/>
        <v>11.038827979547648</v>
      </c>
      <c r="U265" s="3"/>
      <c r="V265" s="90">
        <f>N$238*(0.4*V$40)*('Product half-life and C flows'!B45/100)</f>
        <v>11.930242448753093</v>
      </c>
      <c r="W265" s="90">
        <f t="shared" si="74"/>
        <v>29.983689709930267</v>
      </c>
      <c r="X265" s="89">
        <f t="shared" si="89"/>
        <v>6.8543306256286138</v>
      </c>
      <c r="Y265" s="89">
        <f t="shared" si="89"/>
        <v>14.100337287007433</v>
      </c>
      <c r="Z265" s="91">
        <f>N$238*(0.6*Z$41)*('Product half-life and C flows'!L45/100)</f>
        <v>29.522360630528194</v>
      </c>
      <c r="AA265" s="91">
        <f>N$238*0.6*('Product half-life and C flows'!N45/100)</f>
        <v>9.7038230565076038</v>
      </c>
      <c r="AB265" s="91">
        <f>N$238*0.6*('Product half-life and C flows'!P45/100)</f>
        <v>4.8470644637900113</v>
      </c>
      <c r="AC265" s="89">
        <f t="shared" si="79"/>
        <v>25.116225792481988</v>
      </c>
      <c r="AD265" s="17"/>
      <c r="AE265">
        <f t="shared" si="53"/>
        <v>107</v>
      </c>
      <c r="AF265" s="3">
        <f t="shared" si="69"/>
        <v>38.016512845137939</v>
      </c>
      <c r="AG265" s="113">
        <f t="shared" si="54"/>
        <v>156.33797849500814</v>
      </c>
      <c r="AH265" s="124">
        <f t="shared" si="80"/>
        <v>12.558554257396796</v>
      </c>
      <c r="AI265" s="124">
        <f t="shared" si="81"/>
        <v>29.983689709930267</v>
      </c>
      <c r="AJ265" s="124">
        <f t="shared" si="82"/>
        <v>12.833797773190351</v>
      </c>
      <c r="AK265" s="124">
        <f t="shared" si="83"/>
        <v>26.400955419134434</v>
      </c>
      <c r="AL265" s="124">
        <f t="shared" si="84"/>
        <v>36.918320120963578</v>
      </c>
      <c r="AM265" s="124">
        <f t="shared" si="85"/>
        <v>30.420166819596908</v>
      </c>
      <c r="AN265" s="124">
        <f t="shared" si="86"/>
        <v>15.194888521277175</v>
      </c>
      <c r="AO265" s="124">
        <f t="shared" si="65"/>
        <v>36.155053772029632</v>
      </c>
      <c r="AP265" s="3">
        <f t="shared" si="68"/>
        <v>151.75181836409271</v>
      </c>
    </row>
    <row r="266" spans="1:42" ht="14">
      <c r="A266">
        <f t="shared" si="87"/>
        <v>108</v>
      </c>
      <c r="B266" s="19">
        <f t="shared" si="87"/>
        <v>188</v>
      </c>
      <c r="C266" s="26">
        <f t="shared" si="66"/>
        <v>156.56406189803187</v>
      </c>
      <c r="D266" s="26"/>
      <c r="E266" s="26"/>
      <c r="F266" s="26"/>
      <c r="G266" s="26"/>
      <c r="H266" s="26"/>
      <c r="I266" s="126"/>
      <c r="J266" s="26"/>
      <c r="K266" s="26"/>
      <c r="L266" s="26"/>
      <c r="M266" s="83">
        <f>C$158*(0.4*D$14)*('Product half-life and C flows'!B127/100)</f>
        <v>0.60690920186142872</v>
      </c>
      <c r="N266" s="85"/>
      <c r="O266" s="85">
        <f t="shared" si="88"/>
        <v>5.9794671475617367</v>
      </c>
      <c r="P266" s="85">
        <f t="shared" si="88"/>
        <v>12.300618132127003</v>
      </c>
      <c r="Q266" s="83">
        <f>C$158*(0.6*C$15)*('Product half-life and C flows'!L127/100)</f>
        <v>7.2829104223371424</v>
      </c>
      <c r="R266" s="85">
        <f>C$158*0.6*('Product half-life and C flows'!N127/100)</f>
        <v>20.79178517453353</v>
      </c>
      <c r="S266" s="85">
        <f>C$158*0.6*('Product half-life and C flows'!P127/100)</f>
        <v>10.385507080186576</v>
      </c>
      <c r="T266" s="85">
        <f t="shared" si="77"/>
        <v>11.038827979547648</v>
      </c>
      <c r="U266" s="3"/>
      <c r="V266" s="90">
        <f>N$238*(0.4*V$40)*('Product half-life and C flows'!B46/100)</f>
        <v>11.523854594131924</v>
      </c>
      <c r="W266" s="90">
        <f t="shared" si="74"/>
        <v>31.953481416457699</v>
      </c>
      <c r="X266" s="89">
        <f t="shared" si="89"/>
        <v>6.8543306256286138</v>
      </c>
      <c r="Y266" s="89">
        <f t="shared" si="89"/>
        <v>14.100337287007433</v>
      </c>
      <c r="Z266" s="91">
        <f>N$238*(0.6*Z$41)*('Product half-life and C flows'!L46/100)</f>
        <v>29.071104054331744</v>
      </c>
      <c r="AA266" s="91">
        <f>N$238*0.6*('Product half-life and C flows'!N46/100)</f>
        <v>10.004961611689369</v>
      </c>
      <c r="AB266" s="91">
        <f>N$238*0.6*('Product half-life and C flows'!P46/100)</f>
        <v>4.9974833225221618</v>
      </c>
      <c r="AC266" s="89">
        <f t="shared" si="79"/>
        <v>25.116225792481988</v>
      </c>
      <c r="AD266" s="17"/>
      <c r="AE266">
        <f t="shared" si="53"/>
        <v>108</v>
      </c>
      <c r="AF266" s="3">
        <f t="shared" si="69"/>
        <v>38.079319983466355</v>
      </c>
      <c r="AG266" s="113">
        <f t="shared" si="54"/>
        <v>156.56406189803187</v>
      </c>
      <c r="AH266" s="124">
        <f t="shared" si="80"/>
        <v>12.130763795993353</v>
      </c>
      <c r="AI266" s="124">
        <f t="shared" si="81"/>
        <v>31.953481416457699</v>
      </c>
      <c r="AJ266" s="124">
        <f t="shared" si="82"/>
        <v>12.833797773190351</v>
      </c>
      <c r="AK266" s="124">
        <f t="shared" si="83"/>
        <v>26.400955419134434</v>
      </c>
      <c r="AL266" s="124">
        <f t="shared" si="84"/>
        <v>36.354014476668887</v>
      </c>
      <c r="AM266" s="124">
        <f t="shared" si="85"/>
        <v>30.796746786222897</v>
      </c>
      <c r="AN266" s="124">
        <f t="shared" si="86"/>
        <v>15.382990402708739</v>
      </c>
      <c r="AO266" s="124">
        <f t="shared" si="65"/>
        <v>36.155053772029632</v>
      </c>
      <c r="AP266" s="3">
        <f t="shared" si="68"/>
        <v>153.72198627438303</v>
      </c>
    </row>
    <row r="267" spans="1:42" ht="14">
      <c r="A267">
        <f t="shared" si="87"/>
        <v>109</v>
      </c>
      <c r="B267" s="19">
        <f t="shared" si="87"/>
        <v>189</v>
      </c>
      <c r="C267" s="26">
        <f t="shared" si="66"/>
        <v>156.78587997838801</v>
      </c>
      <c r="D267" s="26"/>
      <c r="E267" s="26"/>
      <c r="F267" s="26"/>
      <c r="G267" s="26"/>
      <c r="H267" s="26"/>
      <c r="I267" s="126"/>
      <c r="J267" s="26"/>
      <c r="K267" s="26"/>
      <c r="L267" s="26"/>
      <c r="M267" s="83">
        <f>C$158*(0.4*D$14)*('Product half-life and C flows'!B128/100)</f>
        <v>0.58623564643673653</v>
      </c>
      <c r="N267" s="85"/>
      <c r="O267" s="85">
        <f t="shared" si="88"/>
        <v>5.9794671475617367</v>
      </c>
      <c r="P267" s="85">
        <f t="shared" si="88"/>
        <v>12.300618132127003</v>
      </c>
      <c r="Q267" s="83">
        <f>C$158*(0.6*C$15)*('Product half-life and C flows'!L128/100)</f>
        <v>7.1715893371753152</v>
      </c>
      <c r="R267" s="85">
        <f>C$158*0.6*('Product half-life and C flows'!N128/100)</f>
        <v>20.866073445364858</v>
      </c>
      <c r="S267" s="85">
        <f>C$158*0.6*('Product half-life and C flows'!P128/100)</f>
        <v>10.422614108573852</v>
      </c>
      <c r="T267" s="85">
        <f t="shared" si="77"/>
        <v>11.038827979547648</v>
      </c>
      <c r="U267" s="3"/>
      <c r="V267" s="90">
        <f>N$238*(0.4*V$40)*('Product half-life and C flows'!B47/100)</f>
        <v>11.131309801719507</v>
      </c>
      <c r="W267" s="90">
        <f t="shared" si="74"/>
        <v>33.925548553733627</v>
      </c>
      <c r="X267" s="89">
        <f t="shared" si="89"/>
        <v>6.8543306256286138</v>
      </c>
      <c r="Y267" s="89">
        <f t="shared" si="89"/>
        <v>14.100337287007433</v>
      </c>
      <c r="Z267" s="91">
        <f>N$238*(0.6*Z$41)*('Product half-life and C flows'!L47/100)</f>
        <v>28.626745046392429</v>
      </c>
      <c r="AA267" s="91">
        <f>N$238*0.6*('Product half-life and C flows'!N47/100)</f>
        <v>10.301497189654203</v>
      </c>
      <c r="AB267" s="91">
        <f>N$238*0.6*('Product half-life and C flows'!P47/100)</f>
        <v>5.1456029918352657</v>
      </c>
      <c r="AC267" s="89">
        <f t="shared" si="79"/>
        <v>25.116225792481988</v>
      </c>
      <c r="AD267" s="17"/>
      <c r="AE267">
        <f t="shared" si="53"/>
        <v>109</v>
      </c>
      <c r="AF267" s="3">
        <f t="shared" si="69"/>
        <v>38.139729542737612</v>
      </c>
      <c r="AG267" s="113">
        <f t="shared" si="54"/>
        <v>156.78587997838801</v>
      </c>
      <c r="AH267" s="124">
        <f t="shared" si="80"/>
        <v>11.717545448156244</v>
      </c>
      <c r="AI267" s="124">
        <f t="shared" si="81"/>
        <v>33.925548553733627</v>
      </c>
      <c r="AJ267" s="124">
        <f t="shared" si="82"/>
        <v>12.833797773190351</v>
      </c>
      <c r="AK267" s="124">
        <f t="shared" si="83"/>
        <v>26.400955419134434</v>
      </c>
      <c r="AL267" s="124">
        <f t="shared" si="84"/>
        <v>35.798334383567742</v>
      </c>
      <c r="AM267" s="124">
        <f t="shared" si="85"/>
        <v>31.167570635019061</v>
      </c>
      <c r="AN267" s="124">
        <f t="shared" si="86"/>
        <v>15.568217100409118</v>
      </c>
      <c r="AO267" s="124">
        <f t="shared" si="65"/>
        <v>36.155053772029632</v>
      </c>
      <c r="AP267" s="3">
        <f t="shared" si="68"/>
        <v>155.69442386505432</v>
      </c>
    </row>
    <row r="268" spans="1:42" ht="14">
      <c r="A268">
        <f t="shared" si="87"/>
        <v>110</v>
      </c>
      <c r="B268" s="19">
        <f t="shared" si="87"/>
        <v>190</v>
      </c>
      <c r="C268" s="26">
        <f t="shared" si="66"/>
        <v>157.00350900079047</v>
      </c>
      <c r="D268" s="26"/>
      <c r="E268" s="26"/>
      <c r="F268" s="26"/>
      <c r="G268" s="26"/>
      <c r="H268" s="26"/>
      <c r="I268" s="126"/>
      <c r="J268" s="26"/>
      <c r="K268" s="26"/>
      <c r="L268" s="26"/>
      <c r="M268" s="83">
        <f>C$158*(0.4*D$14)*('Product half-life and C flows'!B129/100)</f>
        <v>0.56626630820398494</v>
      </c>
      <c r="N268" s="85"/>
      <c r="O268" s="85">
        <f t="shared" si="88"/>
        <v>5.9794671475617367</v>
      </c>
      <c r="P268" s="85">
        <f t="shared" si="88"/>
        <v>12.300618132127003</v>
      </c>
      <c r="Q268" s="83">
        <f>C$158*(0.6*C$15)*('Product half-life and C flows'!L129/100)</f>
        <v>7.061969822303789</v>
      </c>
      <c r="R268" s="85">
        <f>C$158*0.6*('Product half-life and C flows'!N129/100)</f>
        <v>20.939226201622461</v>
      </c>
      <c r="S268" s="85">
        <f>C$158*0.6*('Product half-life and C flows'!P129/100)</f>
        <v>10.459153946864362</v>
      </c>
      <c r="T268" s="85">
        <f t="shared" si="77"/>
        <v>11.038827979547648</v>
      </c>
      <c r="U268" s="3"/>
      <c r="V268" s="90">
        <f>N$238*(0.4*V$40)*('Product half-life and C flows'!B48/100)</f>
        <v>10.752136525998093</v>
      </c>
      <c r="W268" s="90">
        <f t="shared" si="74"/>
        <v>35.895169859521509</v>
      </c>
      <c r="X268" s="89">
        <f t="shared" si="89"/>
        <v>6.8543306256286138</v>
      </c>
      <c r="Y268" s="89">
        <f t="shared" si="89"/>
        <v>14.100337287007433</v>
      </c>
      <c r="Z268" s="91">
        <f>N$238*(0.6*Z$41)*('Product half-life and C flows'!L48/100)</f>
        <v>28.18917817567527</v>
      </c>
      <c r="AA268" s="91">
        <f>N$238*0.6*('Product half-life and C flows'!N48/100)</f>
        <v>10.593500148046122</v>
      </c>
      <c r="AB268" s="91">
        <f>N$238*0.6*('Product half-life and C flows'!P48/100)</f>
        <v>5.2914586154076524</v>
      </c>
      <c r="AC268" s="89">
        <f t="shared" si="79"/>
        <v>25.116225792481988</v>
      </c>
      <c r="AD268" s="17"/>
      <c r="AE268">
        <f t="shared" si="53"/>
        <v>110</v>
      </c>
      <c r="AF268" s="3">
        <f t="shared" si="69"/>
        <v>38.197830558185984</v>
      </c>
      <c r="AG268" s="113">
        <f t="shared" si="54"/>
        <v>157.00350900079047</v>
      </c>
      <c r="AH268" s="124">
        <f t="shared" si="80"/>
        <v>11.318402834202079</v>
      </c>
      <c r="AI268" s="124">
        <f t="shared" si="81"/>
        <v>35.895169859521509</v>
      </c>
      <c r="AJ268" s="124">
        <f t="shared" si="82"/>
        <v>12.833797773190351</v>
      </c>
      <c r="AK268" s="124">
        <f t="shared" si="83"/>
        <v>26.400955419134434</v>
      </c>
      <c r="AL268" s="124">
        <f t="shared" si="84"/>
        <v>35.251147997979061</v>
      </c>
      <c r="AM268" s="124">
        <f t="shared" si="85"/>
        <v>31.532726349668582</v>
      </c>
      <c r="AN268" s="124">
        <f t="shared" si="86"/>
        <v>15.750612562272014</v>
      </c>
      <c r="AO268" s="124">
        <f t="shared" si="65"/>
        <v>36.155053772029632</v>
      </c>
      <c r="AP268" s="3">
        <f t="shared" si="68"/>
        <v>157.66440996176595</v>
      </c>
    </row>
    <row r="269" spans="1:42" ht="14">
      <c r="A269">
        <f t="shared" si="87"/>
        <v>111</v>
      </c>
      <c r="B269" s="19">
        <f t="shared" si="87"/>
        <v>191</v>
      </c>
      <c r="C269" s="26">
        <f t="shared" si="66"/>
        <v>157.21702403553022</v>
      </c>
      <c r="D269" s="26"/>
      <c r="E269" s="26"/>
      <c r="F269" s="26"/>
      <c r="G269" s="26"/>
      <c r="H269" s="26"/>
      <c r="I269" s="126"/>
      <c r="J269" s="26"/>
      <c r="K269" s="26"/>
      <c r="L269" s="26"/>
      <c r="M269" s="83">
        <f>C$158*(0.4*D$14)*('Product half-life and C flows'!B130/100)</f>
        <v>0.54697719894038266</v>
      </c>
      <c r="N269" s="85"/>
      <c r="O269" s="85">
        <f t="shared" si="88"/>
        <v>5.9794671475617367</v>
      </c>
      <c r="P269" s="85">
        <f t="shared" si="88"/>
        <v>12.300618132127003</v>
      </c>
      <c r="Q269" s="83">
        <f>C$158*(0.6*C$15)*('Product half-life and C flows'!L130/100)</f>
        <v>6.9540258688002856</v>
      </c>
      <c r="R269" s="85">
        <f>C$158*0.6*('Product half-life and C flows'!N130/100)</f>
        <v>21.011260799927129</v>
      </c>
      <c r="S269" s="85">
        <f>C$158*0.6*('Product half-life and C flows'!P130/100)</f>
        <v>10.495135264698863</v>
      </c>
      <c r="T269" s="85">
        <f t="shared" si="77"/>
        <v>11.038827979547648</v>
      </c>
      <c r="U269" s="3"/>
      <c r="V269" s="90">
        <f>N$238*(0.4*V$40)*('Product half-life and C flows'!B49/100)</f>
        <v>10.385879284021337</v>
      </c>
      <c r="W269" s="90">
        <f t="shared" si="74"/>
        <v>37.85799783686052</v>
      </c>
      <c r="X269" s="89">
        <f t="shared" si="89"/>
        <v>6.8543306256286138</v>
      </c>
      <c r="Y269" s="89">
        <f t="shared" si="89"/>
        <v>14.100337287007433</v>
      </c>
      <c r="Z269" s="91">
        <f>N$238*(0.6*Z$41)*('Product half-life and C flows'!L49/100)</f>
        <v>27.758299622684738</v>
      </c>
      <c r="AA269" s="91">
        <f>N$238*0.6*('Product half-life and C flows'!N49/100)</f>
        <v>10.881039769075139</v>
      </c>
      <c r="AB269" s="91">
        <f>N$238*0.6*('Product half-life and C flows'!P49/100)</f>
        <v>5.4350847997378304</v>
      </c>
      <c r="AC269" s="89">
        <f t="shared" si="79"/>
        <v>25.116225792481988</v>
      </c>
      <c r="AD269" s="17"/>
      <c r="AE269">
        <f t="shared" si="53"/>
        <v>111</v>
      </c>
      <c r="AF269" s="3">
        <f t="shared" si="69"/>
        <v>38.253708952839823</v>
      </c>
      <c r="AG269" s="113">
        <f t="shared" si="54"/>
        <v>157.21702403553022</v>
      </c>
      <c r="AH269" s="124">
        <f t="shared" si="80"/>
        <v>10.93285648296172</v>
      </c>
      <c r="AI269" s="124">
        <f t="shared" si="81"/>
        <v>37.85799783686052</v>
      </c>
      <c r="AJ269" s="124">
        <f t="shared" si="82"/>
        <v>12.833797773190351</v>
      </c>
      <c r="AK269" s="124">
        <f t="shared" si="83"/>
        <v>26.400955419134434</v>
      </c>
      <c r="AL269" s="124">
        <f t="shared" si="84"/>
        <v>34.712325491485025</v>
      </c>
      <c r="AM269" s="124">
        <f t="shared" si="85"/>
        <v>31.892300569002266</v>
      </c>
      <c r="AN269" s="124">
        <f t="shared" si="86"/>
        <v>15.930220064436693</v>
      </c>
      <c r="AO269" s="124">
        <f t="shared" si="65"/>
        <v>36.155053772029632</v>
      </c>
      <c r="AP269" s="3">
        <f t="shared" si="68"/>
        <v>159.62759715410928</v>
      </c>
    </row>
    <row r="270" spans="1:42" ht="14">
      <c r="A270">
        <f t="shared" si="87"/>
        <v>112</v>
      </c>
      <c r="B270" s="19">
        <f t="shared" si="87"/>
        <v>192</v>
      </c>
      <c r="C270" s="26">
        <f t="shared" si="66"/>
        <v>157.42649897007195</v>
      </c>
      <c r="D270" s="26"/>
      <c r="E270" s="26"/>
      <c r="F270" s="26"/>
      <c r="G270" s="26"/>
      <c r="H270" s="26"/>
      <c r="I270" s="126"/>
      <c r="J270" s="26"/>
      <c r="K270" s="26"/>
      <c r="L270" s="26"/>
      <c r="M270" s="83">
        <f>C$158*(0.4*D$14)*('Product half-life and C flows'!B131/100)</f>
        <v>0.52834514755006812</v>
      </c>
      <c r="N270" s="85"/>
      <c r="O270" s="85">
        <f t="shared" si="88"/>
        <v>5.9794671475617367</v>
      </c>
      <c r="P270" s="85">
        <f t="shared" si="88"/>
        <v>12.300618132127003</v>
      </c>
      <c r="Q270" s="83">
        <f>C$158*(0.6*C$15)*('Product half-life and C flows'!L131/100)</f>
        <v>6.8477318652953185</v>
      </c>
      <c r="R270" s="85">
        <f>C$158*0.6*('Product half-life and C flows'!N131/100)</f>
        <v>21.082194331599446</v>
      </c>
      <c r="S270" s="85">
        <f>C$158*0.6*('Product half-life and C flows'!P131/100)</f>
        <v>10.530566599200519</v>
      </c>
      <c r="T270" s="85">
        <f t="shared" si="77"/>
        <v>11.038827979547648</v>
      </c>
      <c r="U270" s="3"/>
      <c r="V270" s="90">
        <f>N$238*(0.4*V$40)*('Product half-life and C flows'!B50/100)</f>
        <v>10.032098108264176</v>
      </c>
      <c r="W270" s="90">
        <f t="shared" si="74"/>
        <v>39.810048534318845</v>
      </c>
      <c r="X270" s="89">
        <f t="shared" si="89"/>
        <v>6.8543306256286138</v>
      </c>
      <c r="Y270" s="89">
        <f t="shared" si="89"/>
        <v>14.100337287007433</v>
      </c>
      <c r="Z270" s="91">
        <f>N$238*(0.6*Z$41)*('Product half-life and C flows'!L50/100)</f>
        <v>27.334007154831919</v>
      </c>
      <c r="AA270" s="91">
        <f>N$238*0.6*('Product half-life and C flows'!N50/100)</f>
        <v>11.164184275955586</v>
      </c>
      <c r="AB270" s="91">
        <f>N$238*0.6*('Product half-life and C flows'!P50/100)</f>
        <v>5.5765156223554362</v>
      </c>
      <c r="AC270" s="89">
        <f t="shared" si="79"/>
        <v>25.116225792481988</v>
      </c>
      <c r="AD270" s="17"/>
      <c r="AE270">
        <f t="shared" ref="AE270:AE318" si="90">A270</f>
        <v>112</v>
      </c>
      <c r="AF270" s="3">
        <f t="shared" si="69"/>
        <v>38.307447630826985</v>
      </c>
      <c r="AG270" s="113">
        <f t="shared" ref="AG270:AG318" si="91">C270</f>
        <v>157.42649897007195</v>
      </c>
      <c r="AH270" s="124">
        <f t="shared" si="80"/>
        <v>10.560443255814244</v>
      </c>
      <c r="AI270" s="124">
        <f t="shared" si="81"/>
        <v>39.810048534318845</v>
      </c>
      <c r="AJ270" s="124">
        <f t="shared" si="82"/>
        <v>12.833797773190351</v>
      </c>
      <c r="AK270" s="124">
        <f t="shared" si="83"/>
        <v>26.400955419134434</v>
      </c>
      <c r="AL270" s="124">
        <f t="shared" si="84"/>
        <v>34.181739020127239</v>
      </c>
      <c r="AM270" s="124">
        <f t="shared" si="85"/>
        <v>32.24637860755503</v>
      </c>
      <c r="AN270" s="124">
        <f t="shared" si="86"/>
        <v>16.107082221555956</v>
      </c>
      <c r="AO270" s="124">
        <f t="shared" si="65"/>
        <v>36.155053772029632</v>
      </c>
      <c r="AP270" s="3">
        <f t="shared" si="68"/>
        <v>161.58000157588185</v>
      </c>
    </row>
    <row r="271" spans="1:42" ht="14">
      <c r="A271">
        <f t="shared" si="87"/>
        <v>113</v>
      </c>
      <c r="B271" s="19">
        <f t="shared" si="87"/>
        <v>193</v>
      </c>
      <c r="C271" s="26">
        <f t="shared" si="66"/>
        <v>157.63200652087528</v>
      </c>
      <c r="D271" s="26"/>
      <c r="E271" s="26"/>
      <c r="F271" s="26"/>
      <c r="G271" s="26"/>
      <c r="H271" s="26"/>
      <c r="I271" s="126"/>
      <c r="J271" s="26"/>
      <c r="K271" s="26"/>
      <c r="L271" s="26"/>
      <c r="M271" s="83">
        <f>C$158*(0.4*D$14)*('Product half-life and C flows'!B132/100)</f>
        <v>0.51034777222976835</v>
      </c>
      <c r="N271" s="85"/>
      <c r="O271" s="85">
        <f t="shared" si="88"/>
        <v>5.9794671475617367</v>
      </c>
      <c r="P271" s="85">
        <f t="shared" si="88"/>
        <v>12.300618132127003</v>
      </c>
      <c r="Q271" s="83">
        <f>C$158*(0.6*C$15)*('Product half-life and C flows'!L132/100)</f>
        <v>6.7430625918955105</v>
      </c>
      <c r="R271" s="85">
        <f>C$158*0.6*('Product half-life and C flows'!N132/100)</f>
        <v>21.152043626714917</v>
      </c>
      <c r="S271" s="85">
        <f>C$158*0.6*('Product half-life and C flows'!P132/100)</f>
        <v>10.565456357000453</v>
      </c>
      <c r="T271" s="85">
        <f t="shared" si="77"/>
        <v>11.038827979547648</v>
      </c>
      <c r="U271" s="3"/>
      <c r="V271" s="90">
        <f>N$238*(0.4*V$40)*('Product half-life and C flows'!B51/100)</f>
        <v>9.6903680181105845</v>
      </c>
      <c r="W271" s="90">
        <f t="shared" si="74"/>
        <v>41.747689244282668</v>
      </c>
      <c r="X271" s="89">
        <f t="shared" si="89"/>
        <v>6.8543306256286138</v>
      </c>
      <c r="Y271" s="89">
        <f t="shared" si="89"/>
        <v>14.100337287007433</v>
      </c>
      <c r="Z271" s="91">
        <f>N$238*(0.6*Z$41)*('Product half-life and C flows'!L51/100)</f>
        <v>26.916200102178291</v>
      </c>
      <c r="AA271" s="91">
        <f>N$238*0.6*('Product half-life and C flows'!N51/100)</f>
        <v>11.443000849093108</v>
      </c>
      <c r="AB271" s="91">
        <f>N$238*0.6*('Product half-life and C flows'!P51/100)</f>
        <v>5.7157846399066461</v>
      </c>
      <c r="AC271" s="89">
        <f t="shared" si="79"/>
        <v>25.116225792481988</v>
      </c>
      <c r="AD271" s="17"/>
      <c r="AE271">
        <f t="shared" si="90"/>
        <v>113</v>
      </c>
      <c r="AF271" s="3">
        <f t="shared" si="69"/>
        <v>38.359126569184305</v>
      </c>
      <c r="AG271" s="113">
        <f t="shared" si="91"/>
        <v>157.63200652087528</v>
      </c>
      <c r="AH271" s="124">
        <f t="shared" si="80"/>
        <v>10.200715790340352</v>
      </c>
      <c r="AI271" s="124">
        <f t="shared" si="81"/>
        <v>41.747689244282668</v>
      </c>
      <c r="AJ271" s="124">
        <f t="shared" si="82"/>
        <v>12.833797773190351</v>
      </c>
      <c r="AK271" s="124">
        <f t="shared" si="83"/>
        <v>26.400955419134434</v>
      </c>
      <c r="AL271" s="124">
        <f t="shared" si="84"/>
        <v>33.659262694073803</v>
      </c>
      <c r="AM271" s="124">
        <f t="shared" si="85"/>
        <v>32.595044475808024</v>
      </c>
      <c r="AN271" s="124">
        <f t="shared" si="86"/>
        <v>16.281240996907101</v>
      </c>
      <c r="AO271" s="124">
        <f t="shared" si="65"/>
        <v>36.155053772029632</v>
      </c>
      <c r="AP271" s="3">
        <f t="shared" si="68"/>
        <v>163.51799060339641</v>
      </c>
    </row>
    <row r="272" spans="1:42" ht="14">
      <c r="A272">
        <f t="shared" ref="A272:B287" si="92">A271+1</f>
        <v>114</v>
      </c>
      <c r="B272" s="19">
        <f t="shared" si="92"/>
        <v>194</v>
      </c>
      <c r="C272" s="26">
        <f t="shared" si="66"/>
        <v>157.83361824541831</v>
      </c>
      <c r="D272" s="26"/>
      <c r="E272" s="26"/>
      <c r="F272" s="26"/>
      <c r="G272" s="26"/>
      <c r="H272" s="26"/>
      <c r="I272" s="126"/>
      <c r="J272" s="26"/>
      <c r="K272" s="26"/>
      <c r="L272" s="26"/>
      <c r="M272" s="83">
        <f>C$158*(0.4*D$14)*('Product half-life and C flows'!B133/100)</f>
        <v>0.49296345358259575</v>
      </c>
      <c r="N272" s="85"/>
      <c r="O272" s="85">
        <f t="shared" ref="O272:P287" si="93">O271</f>
        <v>5.9794671475617367</v>
      </c>
      <c r="P272" s="85">
        <f t="shared" si="93"/>
        <v>12.300618132127003</v>
      </c>
      <c r="Q272" s="83">
        <f>C$158*(0.6*C$15)*('Product half-life and C flows'!L133/100)</f>
        <v>6.6399932141997944</v>
      </c>
      <c r="R272" s="85">
        <f>C$158*0.6*('Product half-life and C flows'!N133/100)</f>
        <v>21.220825258097193</v>
      </c>
      <c r="S272" s="85">
        <f>C$158*0.6*('Product half-life and C flows'!P133/100)</f>
        <v>10.59981281623236</v>
      </c>
      <c r="T272" s="85">
        <f t="shared" si="77"/>
        <v>11.038827979547648</v>
      </c>
      <c r="U272" s="3"/>
      <c r="V272" s="90">
        <f>N$238*(0.4*V$40)*('Product half-life and C flows'!B52/100)</f>
        <v>9.3602785093444698</v>
      </c>
      <c r="W272" s="90">
        <f t="shared" si="74"/>
        <v>43.667624633970696</v>
      </c>
      <c r="X272" s="89">
        <f t="shared" si="89"/>
        <v>6.8543306256286138</v>
      </c>
      <c r="Y272" s="89">
        <f t="shared" si="89"/>
        <v>14.100337287007433</v>
      </c>
      <c r="Z272" s="91">
        <f>N$238*(0.6*Z$41)*('Product half-life and C flows'!L52/100)</f>
        <v>26.504779333550204</v>
      </c>
      <c r="AA272" s="91">
        <f>N$238*0.6*('Product half-life and C flows'!N52/100)</f>
        <v>11.717555642024248</v>
      </c>
      <c r="AB272" s="91">
        <f>N$238*0.6*('Product half-life and C flows'!P52/100)</f>
        <v>5.8529248961160079</v>
      </c>
      <c r="AC272" s="89">
        <f t="shared" si="79"/>
        <v>25.116225792481988</v>
      </c>
      <c r="AD272" s="17"/>
      <c r="AE272">
        <f t="shared" si="90"/>
        <v>114</v>
      </c>
      <c r="AF272" s="3">
        <f t="shared" si="69"/>
        <v>38.408822908068679</v>
      </c>
      <c r="AG272" s="113">
        <f t="shared" si="91"/>
        <v>157.83361824541831</v>
      </c>
      <c r="AH272" s="124">
        <f t="shared" si="80"/>
        <v>9.8532419629270649</v>
      </c>
      <c r="AI272" s="124">
        <f t="shared" si="81"/>
        <v>43.667624633970696</v>
      </c>
      <c r="AJ272" s="124">
        <f t="shared" si="82"/>
        <v>12.833797773190351</v>
      </c>
      <c r="AK272" s="124">
        <f t="shared" si="83"/>
        <v>26.400955419134434</v>
      </c>
      <c r="AL272" s="124">
        <f t="shared" si="84"/>
        <v>33.144772547749994</v>
      </c>
      <c r="AM272" s="124">
        <f t="shared" si="85"/>
        <v>32.938380900121444</v>
      </c>
      <c r="AN272" s="124">
        <f t="shared" si="86"/>
        <v>16.452737712348366</v>
      </c>
      <c r="AO272" s="124">
        <f t="shared" si="65"/>
        <v>36.155053772029632</v>
      </c>
      <c r="AP272" s="3">
        <f t="shared" si="68"/>
        <v>165.43826898651531</v>
      </c>
    </row>
    <row r="273" spans="1:42" ht="14">
      <c r="A273">
        <f t="shared" si="92"/>
        <v>115</v>
      </c>
      <c r="B273" s="19">
        <f t="shared" si="92"/>
        <v>195</v>
      </c>
      <c r="C273" s="26">
        <f t="shared" si="66"/>
        <v>158.03140455440482</v>
      </c>
      <c r="D273" s="26"/>
      <c r="E273" s="26"/>
      <c r="F273" s="26"/>
      <c r="G273" s="26"/>
      <c r="H273" s="26"/>
      <c r="I273" s="126"/>
      <c r="J273" s="26"/>
      <c r="K273" s="26"/>
      <c r="L273" s="26"/>
      <c r="M273" s="83">
        <f>C$158*(0.4*D$14)*('Product half-life and C flows'!B134/100)</f>
        <v>0.47617130864768603</v>
      </c>
      <c r="N273" s="85"/>
      <c r="O273" s="85">
        <f t="shared" si="93"/>
        <v>5.9794671475617367</v>
      </c>
      <c r="P273" s="85">
        <f t="shared" si="93"/>
        <v>12.300618132127003</v>
      </c>
      <c r="Q273" s="83">
        <f>C$158*(0.6*C$15)*('Product half-life and C flows'!L134/100)</f>
        <v>6.5384992774070501</v>
      </c>
      <c r="R273" s="85">
        <f>C$158*0.6*('Product half-life and C flows'!N134/100)</f>
        <v>21.288555545250215</v>
      </c>
      <c r="S273" s="85">
        <f>C$158*0.6*('Product half-life and C flows'!P134/100)</f>
        <v>10.633644128496607</v>
      </c>
      <c r="T273" s="85">
        <f t="shared" si="77"/>
        <v>11.038827979547648</v>
      </c>
      <c r="U273" s="3"/>
      <c r="V273" s="90">
        <f>N$238*(0.4*V$40)*('Product half-life and C flows'!B53/100)</f>
        <v>9.0414330610303217</v>
      </c>
      <c r="W273" s="90">
        <f t="shared" si="74"/>
        <v>45.566881743001851</v>
      </c>
      <c r="X273" s="89">
        <f t="shared" ref="X273:Y288" si="94">X272</f>
        <v>6.8543306256286138</v>
      </c>
      <c r="Y273" s="89">
        <f t="shared" si="94"/>
        <v>14.100337287007433</v>
      </c>
      <c r="Z273" s="91">
        <f>N$238*(0.6*Z$41)*('Product half-life and C flows'!L53/100)</f>
        <v>26.099647233018512</v>
      </c>
      <c r="AA273" s="91">
        <f>N$238*0.6*('Product half-life and C flows'!N53/100)</f>
        <v>11.9879137971124</v>
      </c>
      <c r="AB273" s="91">
        <f>N$238*0.6*('Product half-life and C flows'!P53/100)</f>
        <v>5.9879689296265726</v>
      </c>
      <c r="AC273" s="89">
        <f t="shared" si="79"/>
        <v>25.116225792481988</v>
      </c>
      <c r="AD273" s="17"/>
      <c r="AE273">
        <f t="shared" si="90"/>
        <v>115</v>
      </c>
      <c r="AF273" s="3">
        <f t="shared" si="69"/>
        <v>38.456611039283139</v>
      </c>
      <c r="AG273" s="113">
        <f t="shared" si="91"/>
        <v>158.03140455440482</v>
      </c>
      <c r="AH273" s="124">
        <f t="shared" si="80"/>
        <v>9.5176043696780077</v>
      </c>
      <c r="AI273" s="124">
        <f t="shared" si="81"/>
        <v>45.566881743001851</v>
      </c>
      <c r="AJ273" s="124">
        <f t="shared" si="82"/>
        <v>12.833797773190351</v>
      </c>
      <c r="AK273" s="124">
        <f t="shared" si="83"/>
        <v>26.400955419134434</v>
      </c>
      <c r="AL273" s="124">
        <f t="shared" si="84"/>
        <v>32.638146510425564</v>
      </c>
      <c r="AM273" s="124">
        <f t="shared" si="85"/>
        <v>33.276469342362617</v>
      </c>
      <c r="AN273" s="124">
        <f t="shared" si="86"/>
        <v>16.621613058123181</v>
      </c>
      <c r="AO273" s="124">
        <f t="shared" si="65"/>
        <v>36.155053772029632</v>
      </c>
      <c r="AP273" s="3">
        <f t="shared" si="68"/>
        <v>167.33786384623801</v>
      </c>
    </row>
    <row r="274" spans="1:42" ht="14">
      <c r="A274">
        <f t="shared" si="92"/>
        <v>116</v>
      </c>
      <c r="B274" s="19">
        <f t="shared" si="92"/>
        <v>196</v>
      </c>
      <c r="C274" s="26">
        <f t="shared" si="66"/>
        <v>158.22543472413426</v>
      </c>
      <c r="D274" s="26"/>
      <c r="E274" s="26"/>
      <c r="F274" s="26"/>
      <c r="G274" s="26"/>
      <c r="H274" s="26"/>
      <c r="I274" s="126"/>
      <c r="J274" s="26"/>
      <c r="K274" s="26"/>
      <c r="L274" s="26"/>
      <c r="M274" s="83">
        <f>C$158*(0.4*D$14)*('Product half-life and C flows'!B135/100)</f>
        <v>0.45995116581448564</v>
      </c>
      <c r="N274" s="85"/>
      <c r="O274" s="85">
        <f t="shared" si="93"/>
        <v>5.9794671475617367</v>
      </c>
      <c r="P274" s="85">
        <f t="shared" si="93"/>
        <v>12.300618132127003</v>
      </c>
      <c r="Q274" s="83">
        <f>C$158*(0.6*C$15)*('Product half-life and C flows'!L135/100)</f>
        <v>6.4385567005138391</v>
      </c>
      <c r="R274" s="85">
        <f>C$158*0.6*('Product half-life and C flows'!N135/100)</f>
        <v>21.355250558230285</v>
      </c>
      <c r="S274" s="85">
        <f>C$158*0.6*('Product half-life and C flows'!P135/100)</f>
        <v>10.666958320794345</v>
      </c>
      <c r="T274" s="85">
        <f t="shared" si="77"/>
        <v>11.038827979547648</v>
      </c>
      <c r="U274" s="3"/>
      <c r="V274" s="90">
        <f>N$238*(0.4*V$40)*('Product half-life and C flows'!B54/100)</f>
        <v>8.7334486591913585</v>
      </c>
      <c r="W274" s="90">
        <f t="shared" si="74"/>
        <v>47.44279421141578</v>
      </c>
      <c r="X274" s="89">
        <f t="shared" si="94"/>
        <v>6.8543306256286138</v>
      </c>
      <c r="Y274" s="89">
        <f t="shared" si="94"/>
        <v>14.100337287007433</v>
      </c>
      <c r="Z274" s="91">
        <f>N$238*(0.6*Z$41)*('Product half-life and C flows'!L54/100)</f>
        <v>25.700707676737633</v>
      </c>
      <c r="AA274" s="91">
        <f>N$238*0.6*('Product half-life and C flows'!N54/100)</f>
        <v>12.254139461003838</v>
      </c>
      <c r="AB274" s="91">
        <f>N$238*0.6*('Product half-life and C flows'!P54/100)</f>
        <v>6.1209487817201982</v>
      </c>
      <c r="AC274" s="89">
        <f t="shared" si="79"/>
        <v>25.116225792481988</v>
      </c>
      <c r="AD274" s="17"/>
      <c r="AE274">
        <f t="shared" si="90"/>
        <v>116</v>
      </c>
      <c r="AF274" s="3">
        <f t="shared" si="69"/>
        <v>38.502562693045697</v>
      </c>
      <c r="AG274" s="113">
        <f t="shared" si="91"/>
        <v>158.22543472413426</v>
      </c>
      <c r="AH274" s="124">
        <f t="shared" si="80"/>
        <v>9.1933998250058444</v>
      </c>
      <c r="AI274" s="124">
        <f t="shared" si="81"/>
        <v>47.44279421141578</v>
      </c>
      <c r="AJ274" s="124">
        <f t="shared" si="82"/>
        <v>12.833797773190351</v>
      </c>
      <c r="AK274" s="124">
        <f t="shared" si="83"/>
        <v>26.400955419134434</v>
      </c>
      <c r="AL274" s="124">
        <f t="shared" si="84"/>
        <v>32.139264377251472</v>
      </c>
      <c r="AM274" s="124">
        <f t="shared" si="85"/>
        <v>33.609390019234127</v>
      </c>
      <c r="AN274" s="124">
        <f t="shared" si="86"/>
        <v>16.787907102514545</v>
      </c>
      <c r="AO274" s="124">
        <f t="shared" si="65"/>
        <v>36.155053772029632</v>
      </c>
      <c r="AP274" s="3">
        <f t="shared" si="68"/>
        <v>169.21410890274069</v>
      </c>
    </row>
    <row r="275" spans="1:42" ht="14">
      <c r="A275">
        <f t="shared" si="92"/>
        <v>117</v>
      </c>
      <c r="B275" s="19">
        <f t="shared" si="92"/>
        <v>197</v>
      </c>
      <c r="C275" s="26">
        <f t="shared" si="66"/>
        <v>158.41577690901786</v>
      </c>
      <c r="D275" s="26"/>
      <c r="E275" s="26"/>
      <c r="F275" s="26"/>
      <c r="G275" s="26"/>
      <c r="H275" s="26"/>
      <c r="I275" s="126"/>
      <c r="J275" s="26"/>
      <c r="K275" s="26"/>
      <c r="L275" s="26"/>
      <c r="M275" s="83">
        <f>C$158*(0.4*D$14)*('Product half-life and C flows'!B136/100)</f>
        <v>0.44428354059154734</v>
      </c>
      <c r="N275" s="85"/>
      <c r="O275" s="85">
        <f t="shared" si="93"/>
        <v>5.9794671475617367</v>
      </c>
      <c r="P275" s="85">
        <f t="shared" si="93"/>
        <v>12.300618132127003</v>
      </c>
      <c r="Q275" s="83">
        <f>C$158*(0.6*C$15)*('Product half-life and C flows'!L136/100)</f>
        <v>6.3401417706008125</v>
      </c>
      <c r="R275" s="85">
        <f>C$158*0.6*('Product half-life and C flows'!N136/100)</f>
        <v>21.420926121458912</v>
      </c>
      <c r="S275" s="85">
        <f>C$158*0.6*('Product half-life and C flows'!P136/100)</f>
        <v>10.699763297432021</v>
      </c>
      <c r="T275" s="85">
        <f t="shared" si="77"/>
        <v>11.038827979547648</v>
      </c>
      <c r="U275" s="3"/>
      <c r="V275" s="90">
        <f>N$238*(0.4*V$40)*('Product half-life and C flows'!B55/100)</f>
        <v>8.4359553367129152</v>
      </c>
      <c r="W275" s="90">
        <f t="shared" si="74"/>
        <v>49.292986041673906</v>
      </c>
      <c r="X275" s="89">
        <f t="shared" si="94"/>
        <v>6.8543306256286138</v>
      </c>
      <c r="Y275" s="89">
        <f t="shared" si="94"/>
        <v>14.100337287007433</v>
      </c>
      <c r="Z275" s="91">
        <f>N$238*(0.6*Z$41)*('Product half-life and C flows'!L55/100)</f>
        <v>25.307866010138742</v>
      </c>
      <c r="AA275" s="91">
        <f>N$238*0.6*('Product half-life and C flows'!N55/100)</f>
        <v>12.5162957998475</v>
      </c>
      <c r="AB275" s="91">
        <f>N$238*0.6*('Product half-life and C flows'!P55/100)</f>
        <v>6.2518960039198292</v>
      </c>
      <c r="AC275" s="89">
        <f t="shared" si="79"/>
        <v>25.116225792481988</v>
      </c>
      <c r="AD275" s="17"/>
      <c r="AE275">
        <f t="shared" si="90"/>
        <v>117</v>
      </c>
      <c r="AF275" s="3">
        <f t="shared" si="69"/>
        <v>38.54674702294178</v>
      </c>
      <c r="AG275" s="113">
        <f t="shared" si="91"/>
        <v>158.41577690901786</v>
      </c>
      <c r="AH275" s="124">
        <f t="shared" si="80"/>
        <v>8.8802388773044623</v>
      </c>
      <c r="AI275" s="124">
        <f t="shared" si="81"/>
        <v>49.292986041673906</v>
      </c>
      <c r="AJ275" s="124">
        <f t="shared" si="82"/>
        <v>12.833797773190351</v>
      </c>
      <c r="AK275" s="124">
        <f t="shared" si="83"/>
        <v>26.400955419134434</v>
      </c>
      <c r="AL275" s="124">
        <f t="shared" si="84"/>
        <v>31.648007780739555</v>
      </c>
      <c r="AM275" s="124">
        <f t="shared" si="85"/>
        <v>33.93722192130641</v>
      </c>
      <c r="AN275" s="124">
        <f t="shared" si="86"/>
        <v>16.95165930135185</v>
      </c>
      <c r="AO275" s="124">
        <f t="shared" si="65"/>
        <v>36.155053772029632</v>
      </c>
      <c r="AP275" s="3">
        <f t="shared" si="68"/>
        <v>171.06462823739651</v>
      </c>
    </row>
    <row r="276" spans="1:42" ht="14">
      <c r="A276">
        <f t="shared" si="92"/>
        <v>118</v>
      </c>
      <c r="B276" s="19">
        <f t="shared" si="92"/>
        <v>198</v>
      </c>
      <c r="C276" s="26">
        <f t="shared" si="66"/>
        <v>158.60249815422287</v>
      </c>
      <c r="D276" s="26"/>
      <c r="E276" s="26"/>
      <c r="F276" s="26"/>
      <c r="G276" s="26"/>
      <c r="H276" s="26"/>
      <c r="I276" s="126"/>
      <c r="J276" s="26"/>
      <c r="K276" s="26"/>
      <c r="L276" s="26"/>
      <c r="M276" s="83">
        <f>C$158*(0.4*D$14)*('Product half-life and C flows'!B137/100)</f>
        <v>0.42914961220073128</v>
      </c>
      <c r="N276" s="85"/>
      <c r="O276" s="85">
        <f t="shared" si="93"/>
        <v>5.9794671475617367</v>
      </c>
      <c r="P276" s="85">
        <f t="shared" si="93"/>
        <v>12.300618132127003</v>
      </c>
      <c r="Q276" s="83">
        <f>C$158*(0.6*C$15)*('Product half-life and C flows'!L137/100)</f>
        <v>6.2432311372064468</v>
      </c>
      <c r="R276" s="85">
        <f>C$158*0.6*('Product half-life and C flows'!N137/100)</f>
        <v>21.485597817477419</v>
      </c>
      <c r="S276" s="85">
        <f>C$158*0.6*('Product half-life and C flows'!P137/100)</f>
        <v>10.732066841896808</v>
      </c>
      <c r="T276" s="85">
        <f t="shared" si="77"/>
        <v>11.038827979547648</v>
      </c>
      <c r="U276" s="3"/>
      <c r="V276" s="90">
        <f>N$238*(0.4*V$40)*('Product half-life and C flows'!B56/100)</f>
        <v>8.1485957289184334</v>
      </c>
      <c r="W276" s="90">
        <f t="shared" si="74"/>
        <v>51.115355146144822</v>
      </c>
      <c r="X276" s="89">
        <f t="shared" si="94"/>
        <v>6.8543306256286138</v>
      </c>
      <c r="Y276" s="89">
        <f t="shared" si="94"/>
        <v>14.100337287007433</v>
      </c>
      <c r="Z276" s="91">
        <f>N$238*(0.6*Z$41)*('Product half-life and C flows'!L56/100)</f>
        <v>24.921029025471462</v>
      </c>
      <c r="AA276" s="91">
        <f>N$238*0.6*('Product half-life and C flows'!N56/100)</f>
        <v>12.774445014282133</v>
      </c>
      <c r="AB276" s="91">
        <f>N$238*0.6*('Product half-life and C flows'!P56/100)</f>
        <v>6.3808416654755895</v>
      </c>
      <c r="AC276" s="89">
        <f t="shared" si="79"/>
        <v>25.116225792481988</v>
      </c>
      <c r="AD276" s="17"/>
      <c r="AE276">
        <f t="shared" si="90"/>
        <v>118</v>
      </c>
      <c r="AF276" s="3">
        <f t="shared" si="69"/>
        <v>38.589230689012595</v>
      </c>
      <c r="AG276" s="113">
        <f t="shared" si="91"/>
        <v>158.60249815422287</v>
      </c>
      <c r="AH276" s="124">
        <f t="shared" si="80"/>
        <v>8.5777453411191651</v>
      </c>
      <c r="AI276" s="124">
        <f t="shared" si="81"/>
        <v>51.115355146144822</v>
      </c>
      <c r="AJ276" s="124">
        <f t="shared" si="82"/>
        <v>12.833797773190351</v>
      </c>
      <c r="AK276" s="124">
        <f t="shared" si="83"/>
        <v>26.400955419134434</v>
      </c>
      <c r="AL276" s="124">
        <f t="shared" si="84"/>
        <v>31.164260162677909</v>
      </c>
      <c r="AM276" s="124">
        <f t="shared" si="85"/>
        <v>34.260042831759549</v>
      </c>
      <c r="AN276" s="124">
        <f t="shared" si="86"/>
        <v>17.112908507372396</v>
      </c>
      <c r="AO276" s="124">
        <f t="shared" si="65"/>
        <v>36.155053772029632</v>
      </c>
      <c r="AP276" s="3">
        <f t="shared" si="68"/>
        <v>172.88731984027945</v>
      </c>
    </row>
    <row r="277" spans="1:42" ht="14">
      <c r="A277">
        <f t="shared" si="92"/>
        <v>119</v>
      </c>
      <c r="B277" s="19">
        <f t="shared" si="92"/>
        <v>199</v>
      </c>
      <c r="C277" s="26">
        <f t="shared" si="66"/>
        <v>158.78566440842806</v>
      </c>
      <c r="D277" s="26"/>
      <c r="E277" s="26"/>
      <c r="F277" s="26"/>
      <c r="G277" s="26"/>
      <c r="H277" s="26"/>
      <c r="I277" s="126"/>
      <c r="J277" s="26"/>
      <c r="K277" s="26"/>
      <c r="L277" s="26"/>
      <c r="M277" s="83">
        <f>C$158*(0.4*D$14)*('Product half-life and C flows'!B138/100)</f>
        <v>0.41453120096869561</v>
      </c>
      <c r="N277" s="85"/>
      <c r="O277" s="85">
        <f t="shared" si="93"/>
        <v>5.9794671475617367</v>
      </c>
      <c r="P277" s="85">
        <f t="shared" si="93"/>
        <v>12.300618132127003</v>
      </c>
      <c r="Q277" s="83">
        <f>C$158*(0.6*C$15)*('Product half-life and C flows'!L138/100)</f>
        <v>6.147801806786795</v>
      </c>
      <c r="R277" s="85">
        <f>C$158*0.6*('Product half-life and C flows'!N138/100)</f>
        <v>21.549280990644135</v>
      </c>
      <c r="S277" s="85">
        <f>C$158*0.6*('Product half-life and C flows'!P138/100)</f>
        <v>10.76387661870336</v>
      </c>
      <c r="T277" s="85">
        <f t="shared" si="77"/>
        <v>11.038827979547648</v>
      </c>
      <c r="U277" s="3"/>
      <c r="V277" s="90">
        <f>N$238*(0.4*V$40)*('Product half-life and C flows'!B57/100)</f>
        <v>7.8710246442841463</v>
      </c>
      <c r="W277" s="90">
        <f t="shared" si="74"/>
        <v>52.908056886839212</v>
      </c>
      <c r="X277" s="89">
        <f t="shared" si="94"/>
        <v>6.8543306256286138</v>
      </c>
      <c r="Y277" s="89">
        <f t="shared" si="94"/>
        <v>14.100337287007433</v>
      </c>
      <c r="Z277" s="91">
        <f>N$238*(0.6*Z$41)*('Product half-life and C flows'!L57/100)</f>
        <v>24.540104939688916</v>
      </c>
      <c r="AA277" s="91">
        <f>N$238*0.6*('Product half-life and C flows'!N57/100)</f>
        <v>13.028648354194349</v>
      </c>
      <c r="AB277" s="91">
        <f>N$238*0.6*('Product half-life and C flows'!P57/100)</f>
        <v>6.5078163607364372</v>
      </c>
      <c r="AC277" s="89">
        <f t="shared" si="79"/>
        <v>25.116225792481988</v>
      </c>
      <c r="AD277" s="17"/>
      <c r="AE277">
        <f t="shared" si="90"/>
        <v>119</v>
      </c>
      <c r="AF277" s="3">
        <f t="shared" si="69"/>
        <v>38.630077938942755</v>
      </c>
      <c r="AG277" s="113">
        <f t="shared" si="91"/>
        <v>158.78566440842806</v>
      </c>
      <c r="AH277" s="124">
        <f t="shared" si="80"/>
        <v>8.2855558452528424</v>
      </c>
      <c r="AI277" s="124">
        <f t="shared" si="81"/>
        <v>52.908056886839212</v>
      </c>
      <c r="AJ277" s="124">
        <f t="shared" si="82"/>
        <v>12.833797773190351</v>
      </c>
      <c r="AK277" s="124">
        <f t="shared" si="83"/>
        <v>26.400955419134434</v>
      </c>
      <c r="AL277" s="124">
        <f t="shared" si="84"/>
        <v>30.687906746475711</v>
      </c>
      <c r="AM277" s="124">
        <f t="shared" si="85"/>
        <v>34.577929344838481</v>
      </c>
      <c r="AN277" s="124">
        <f t="shared" si="86"/>
        <v>17.271692979439798</v>
      </c>
      <c r="AO277" s="124">
        <f t="shared" si="65"/>
        <v>36.155053772029632</v>
      </c>
      <c r="AP277" s="3">
        <f t="shared" si="68"/>
        <v>174.68033914991798</v>
      </c>
    </row>
    <row r="278" spans="1:42" ht="14">
      <c r="A278">
        <f t="shared" si="92"/>
        <v>120</v>
      </c>
      <c r="B278" s="19">
        <f t="shared" si="92"/>
        <v>200</v>
      </c>
      <c r="C278" s="26">
        <f t="shared" si="66"/>
        <v>158.96534053667563</v>
      </c>
      <c r="D278" s="26"/>
      <c r="E278" s="26"/>
      <c r="F278" s="26"/>
      <c r="G278" s="26"/>
      <c r="H278" s="26"/>
      <c r="I278" s="126"/>
      <c r="J278" s="26"/>
      <c r="K278" s="26"/>
      <c r="L278" s="26"/>
      <c r="M278" s="83">
        <f>C$158*(0.4*D$14)*('Product half-life and C flows'!B139/100)</f>
        <v>0.40041074648850927</v>
      </c>
      <c r="N278" s="85"/>
      <c r="O278" s="85">
        <f t="shared" si="93"/>
        <v>5.9794671475617367</v>
      </c>
      <c r="P278" s="85">
        <f t="shared" si="93"/>
        <v>12.300618132127003</v>
      </c>
      <c r="Q278" s="83">
        <f>C$158*(0.6*C$15)*('Product half-life and C flows'!L139/100)</f>
        <v>6.0538311372599098</v>
      </c>
      <c r="R278" s="85">
        <f>C$158*0.6*('Product half-life and C flows'!N139/100)</f>
        <v>21.611990750775075</v>
      </c>
      <c r="S278" s="85">
        <f>C$158*0.6*('Product half-life and C flows'!P139/100)</f>
        <v>10.795200175212321</v>
      </c>
      <c r="T278" s="85">
        <f t="shared" si="77"/>
        <v>11.038827979547648</v>
      </c>
      <c r="U278" s="3"/>
      <c r="V278" s="90">
        <f>N$238*(0.4*V$40)*('Product half-life and C flows'!B58/100)</f>
        <v>7.6029086497768175</v>
      </c>
      <c r="W278" s="90">
        <f t="shared" si="74"/>
        <v>54.669487775772701</v>
      </c>
      <c r="X278" s="89">
        <f t="shared" si="94"/>
        <v>6.8543306256286138</v>
      </c>
      <c r="Y278" s="89">
        <f t="shared" si="94"/>
        <v>14.100337287007433</v>
      </c>
      <c r="Z278" s="91">
        <f>N$238*(0.6*Z$41)*('Product half-life and C flows'!L58/100)</f>
        <v>24.165003372670785</v>
      </c>
      <c r="AA278" s="91">
        <f>N$238*0.6*('Product half-life and C flows'!N58/100)</f>
        <v>13.278966133251116</v>
      </c>
      <c r="AB278" s="91">
        <f>N$238*0.6*('Product half-life and C flows'!P58/100)</f>
        <v>6.632850216409147</v>
      </c>
      <c r="AC278" s="89">
        <f t="shared" si="79"/>
        <v>25.116225792481988</v>
      </c>
      <c r="AD278" s="17"/>
      <c r="AE278">
        <f t="shared" si="90"/>
        <v>120</v>
      </c>
      <c r="AF278" s="3">
        <f t="shared" si="69"/>
        <v>38.669350687319792</v>
      </c>
      <c r="AG278" s="113">
        <f t="shared" si="91"/>
        <v>158.96534053667563</v>
      </c>
      <c r="AH278" s="124">
        <f t="shared" si="80"/>
        <v>8.0033193962653275</v>
      </c>
      <c r="AI278" s="124">
        <f t="shared" si="81"/>
        <v>54.669487775772701</v>
      </c>
      <c r="AJ278" s="124">
        <f t="shared" si="82"/>
        <v>12.833797773190351</v>
      </c>
      <c r="AK278" s="124">
        <f t="shared" si="83"/>
        <v>26.400955419134434</v>
      </c>
      <c r="AL278" s="124">
        <f t="shared" si="84"/>
        <v>30.218834509930694</v>
      </c>
      <c r="AM278" s="124">
        <f t="shared" si="85"/>
        <v>34.890956884026188</v>
      </c>
      <c r="AN278" s="124">
        <f t="shared" si="86"/>
        <v>17.428050391621468</v>
      </c>
      <c r="AO278" s="124">
        <f t="shared" si="65"/>
        <v>36.155053772029632</v>
      </c>
      <c r="AP278" s="3">
        <f t="shared" si="68"/>
        <v>176.44208275367583</v>
      </c>
    </row>
    <row r="279" spans="1:42" ht="14">
      <c r="A279">
        <f t="shared" si="92"/>
        <v>121</v>
      </c>
      <c r="B279" s="19">
        <f t="shared" si="92"/>
        <v>201</v>
      </c>
      <c r="C279" s="26">
        <f t="shared" si="66"/>
        <v>159.14159033330424</v>
      </c>
      <c r="D279" s="26"/>
      <c r="E279" s="26"/>
      <c r="F279" s="26"/>
      <c r="G279" s="26"/>
      <c r="H279" s="26"/>
      <c r="I279" s="126"/>
      <c r="J279" s="26"/>
      <c r="K279" s="26"/>
      <c r="L279" s="26"/>
      <c r="M279" s="83">
        <f>C$158*(0.4*D$14)*('Product half-life and C flows'!B140/100)</f>
        <v>0.38677128652516762</v>
      </c>
      <c r="N279" s="85"/>
      <c r="O279" s="85">
        <f t="shared" si="93"/>
        <v>5.9794671475617367</v>
      </c>
      <c r="P279" s="85">
        <f t="shared" si="93"/>
        <v>12.300618132127003</v>
      </c>
      <c r="Q279" s="83">
        <f>C$158*(0.6*C$15)*('Product half-life and C flows'!L140/100)</f>
        <v>5.9612968326336579</v>
      </c>
      <c r="R279" s="85">
        <f>C$158*0.6*('Product half-life and C flows'!N140/100)</f>
        <v>21.673741976728994</v>
      </c>
      <c r="S279" s="85">
        <f>C$158*0.6*('Product half-life and C flows'!P140/100)</f>
        <v>10.826044943421071</v>
      </c>
      <c r="T279" s="85">
        <f t="shared" si="77"/>
        <v>11.038827979547648</v>
      </c>
      <c r="U279" s="3"/>
      <c r="V279" s="90">
        <f>N$238*(0.4*V$40)*('Product half-life and C flows'!B59/100)</f>
        <v>7.3439256703163727</v>
      </c>
      <c r="W279" s="90">
        <f t="shared" si="74"/>
        <v>56.398269471480361</v>
      </c>
      <c r="X279" s="89">
        <f t="shared" si="94"/>
        <v>6.8543306256286138</v>
      </c>
      <c r="Y279" s="89">
        <f t="shared" si="94"/>
        <v>14.100337287007433</v>
      </c>
      <c r="Z279" s="91">
        <f>N$238*(0.6*Z$41)*('Product half-life and C flows'!L59/100)</f>
        <v>23.795635325779212</v>
      </c>
      <c r="AA279" s="91">
        <f>N$238*0.6*('Product half-life and C flows'!N59/100)</f>
        <v>13.525457743210094</v>
      </c>
      <c r="AB279" s="91">
        <f>N$238*0.6*('Product half-life and C flows'!P59/100)</f>
        <v>6.7559728987063385</v>
      </c>
      <c r="AC279" s="89">
        <f t="shared" si="79"/>
        <v>25.116225792481988</v>
      </c>
      <c r="AD279" s="17"/>
      <c r="AE279">
        <f t="shared" si="90"/>
        <v>121</v>
      </c>
      <c r="AF279" s="3">
        <f t="shared" si="69"/>
        <v>38.707108592946952</v>
      </c>
      <c r="AG279" s="113">
        <f t="shared" si="91"/>
        <v>159.14159033330424</v>
      </c>
      <c r="AH279" s="124">
        <f t="shared" si="80"/>
        <v>7.7306969568415402</v>
      </c>
      <c r="AI279" s="124">
        <f t="shared" si="81"/>
        <v>56.398269471480361</v>
      </c>
      <c r="AJ279" s="124">
        <f t="shared" si="82"/>
        <v>12.833797773190351</v>
      </c>
      <c r="AK279" s="124">
        <f t="shared" si="83"/>
        <v>26.400955419134434</v>
      </c>
      <c r="AL279" s="124">
        <f t="shared" si="84"/>
        <v>29.756932158412869</v>
      </c>
      <c r="AM279" s="124">
        <f t="shared" si="85"/>
        <v>35.199199719939088</v>
      </c>
      <c r="AN279" s="124">
        <f t="shared" si="86"/>
        <v>17.58201784212741</v>
      </c>
      <c r="AO279" s="124">
        <f t="shared" si="65"/>
        <v>36.155053772029632</v>
      </c>
      <c r="AP279" s="3">
        <f t="shared" si="68"/>
        <v>178.17117238428452</v>
      </c>
    </row>
    <row r="280" spans="1:42" ht="14">
      <c r="A280">
        <f t="shared" si="92"/>
        <v>122</v>
      </c>
      <c r="B280" s="19">
        <f t="shared" si="92"/>
        <v>202</v>
      </c>
      <c r="C280" s="26">
        <f t="shared" si="66"/>
        <v>159.31447653494916</v>
      </c>
      <c r="D280" s="26"/>
      <c r="E280" s="26"/>
      <c r="F280" s="26"/>
      <c r="G280" s="26"/>
      <c r="H280" s="26"/>
      <c r="I280" s="126"/>
      <c r="J280" s="26"/>
      <c r="K280" s="26"/>
      <c r="L280" s="26"/>
      <c r="M280" s="83">
        <f>C$158*(0.4*D$14)*('Product half-life and C flows'!B141/100)</f>
        <v>0.37359643663966008</v>
      </c>
      <c r="N280" s="85"/>
      <c r="O280" s="85">
        <f t="shared" si="93"/>
        <v>5.9794671475617367</v>
      </c>
      <c r="P280" s="85">
        <f t="shared" si="93"/>
        <v>12.300618132127003</v>
      </c>
      <c r="Q280" s="83">
        <f>C$158*(0.6*C$15)*('Product half-life and C flows'!L141/100)</f>
        <v>5.8701769377156596</v>
      </c>
      <c r="R280" s="85">
        <f>C$158*0.6*('Product half-life and C flows'!N141/100)</f>
        <v>21.734549319937603</v>
      </c>
      <c r="S280" s="85">
        <f>C$158*0.6*('Product half-life and C flows'!P141/100)</f>
        <v>10.856418241727068</v>
      </c>
      <c r="T280" s="85">
        <f t="shared" si="77"/>
        <v>11.038827979547648</v>
      </c>
      <c r="U280" s="3"/>
      <c r="V280" s="90">
        <f>N$238*(0.4*V$40)*('Product half-life and C flows'!B60/100)</f>
        <v>7.0937646018823344</v>
      </c>
      <c r="W280" s="90">
        <f t="shared" si="74"/>
        <v>58.093233179167008</v>
      </c>
      <c r="X280" s="89">
        <f t="shared" si="94"/>
        <v>6.8543306256286138</v>
      </c>
      <c r="Y280" s="89">
        <f t="shared" si="94"/>
        <v>14.100337287007433</v>
      </c>
      <c r="Z280" s="91">
        <f>N$238*(0.6*Z$41)*('Product half-life and C flows'!L60/100)</f>
        <v>23.431913160742507</v>
      </c>
      <c r="AA280" s="91">
        <f>N$238*0.6*('Product half-life and C flows'!N60/100)</f>
        <v>13.768181668011259</v>
      </c>
      <c r="AB280" s="91">
        <f>N$238*0.6*('Product half-life and C flows'!P60/100)</f>
        <v>6.8772136203852412</v>
      </c>
      <c r="AC280" s="89">
        <f t="shared" si="79"/>
        <v>25.116225792481988</v>
      </c>
      <c r="AD280" s="17"/>
      <c r="AE280">
        <f t="shared" si="90"/>
        <v>122</v>
      </c>
      <c r="AF280" s="3">
        <f t="shared" si="69"/>
        <v>38.743409134198195</v>
      </c>
      <c r="AG280" s="113">
        <f t="shared" si="91"/>
        <v>159.31447653494916</v>
      </c>
      <c r="AH280" s="124">
        <f t="shared" si="80"/>
        <v>7.4673610385219948</v>
      </c>
      <c r="AI280" s="124">
        <f t="shared" si="81"/>
        <v>58.093233179167008</v>
      </c>
      <c r="AJ280" s="124">
        <f t="shared" si="82"/>
        <v>12.833797773190351</v>
      </c>
      <c r="AK280" s="124">
        <f t="shared" si="83"/>
        <v>26.400955419134434</v>
      </c>
      <c r="AL280" s="124">
        <f t="shared" si="84"/>
        <v>29.302090098458166</v>
      </c>
      <c r="AM280" s="124">
        <f t="shared" si="85"/>
        <v>35.502730987948866</v>
      </c>
      <c r="AN280" s="124">
        <f t="shared" si="86"/>
        <v>17.733631862112311</v>
      </c>
      <c r="AO280" s="124">
        <f t="shared" si="65"/>
        <v>36.155053772029632</v>
      </c>
      <c r="AP280" s="3">
        <f t="shared" si="68"/>
        <v>179.86643932001112</v>
      </c>
    </row>
    <row r="281" spans="1:42" ht="14">
      <c r="A281">
        <f t="shared" si="92"/>
        <v>123</v>
      </c>
      <c r="B281" s="19">
        <f t="shared" si="92"/>
        <v>203</v>
      </c>
      <c r="C281" s="26">
        <f t="shared" si="66"/>
        <v>159.48406083359615</v>
      </c>
      <c r="D281" s="26"/>
      <c r="E281" s="26"/>
      <c r="F281" s="26"/>
      <c r="G281" s="26"/>
      <c r="H281" s="26"/>
      <c r="I281" s="126"/>
      <c r="J281" s="26"/>
      <c r="K281" s="26"/>
      <c r="L281" s="26"/>
      <c r="M281" s="83">
        <f>C$158*(0.4*D$14)*('Product half-life and C flows'!B142/100)</f>
        <v>0.36087037050711684</v>
      </c>
      <c r="N281" s="85"/>
      <c r="O281" s="85">
        <f t="shared" si="93"/>
        <v>5.9794671475617367</v>
      </c>
      <c r="P281" s="85">
        <f t="shared" si="93"/>
        <v>12.300618132127003</v>
      </c>
      <c r="Q281" s="83">
        <f>C$158*(0.6*C$15)*('Product half-life and C flows'!L142/100)</f>
        <v>5.7804498329040719</v>
      </c>
      <c r="R281" s="85">
        <f>C$158*0.6*('Product half-life and C flows'!N142/100)</f>
        <v>21.794427207881867</v>
      </c>
      <c r="S281" s="85">
        <f>C$158*0.6*('Product half-life and C flows'!P142/100)</f>
        <v>10.886327276664266</v>
      </c>
      <c r="T281" s="85">
        <f t="shared" si="77"/>
        <v>11.038827979547648</v>
      </c>
      <c r="U281" s="3"/>
      <c r="V281" s="90">
        <f>N$238*(0.4*V$40)*('Product half-life and C flows'!B61/100)</f>
        <v>6.852124937799239</v>
      </c>
      <c r="W281" s="90">
        <f t="shared" si="74"/>
        <v>59.753404538120442</v>
      </c>
      <c r="X281" s="89">
        <f t="shared" si="94"/>
        <v>6.8543306256286138</v>
      </c>
      <c r="Y281" s="89">
        <f t="shared" si="94"/>
        <v>14.100337287007433</v>
      </c>
      <c r="Z281" s="91">
        <f>N$238*(0.6*Z$41)*('Product half-life and C flows'!L61/100)</f>
        <v>23.073750578861603</v>
      </c>
      <c r="AA281" s="91">
        <f>N$238*0.6*('Product half-life and C flows'!N61/100)</f>
        <v>14.007195497653115</v>
      </c>
      <c r="AB281" s="91">
        <f>N$238*0.6*('Product half-life and C flows'!P61/100)</f>
        <v>6.9966011476788754</v>
      </c>
      <c r="AC281" s="89">
        <f t="shared" si="79"/>
        <v>25.116225792481988</v>
      </c>
      <c r="AD281" s="17"/>
      <c r="AE281">
        <f t="shared" si="90"/>
        <v>123</v>
      </c>
      <c r="AF281" s="3">
        <f t="shared" si="69"/>
        <v>38.778307682411629</v>
      </c>
      <c r="AG281" s="113">
        <f t="shared" si="91"/>
        <v>159.48406083359615</v>
      </c>
      <c r="AH281" s="124">
        <f t="shared" ref="AH281:AH293" si="95">D281+M281+V281</f>
        <v>7.2129953083063558</v>
      </c>
      <c r="AI281" s="124">
        <f t="shared" ref="AI281:AI293" si="96">E281+N281+W281</f>
        <v>59.753404538120442</v>
      </c>
      <c r="AJ281" s="124">
        <f t="shared" ref="AJ281:AJ293" si="97">F281+O281+X281</f>
        <v>12.833797773190351</v>
      </c>
      <c r="AK281" s="124">
        <f t="shared" ref="AK281:AK293" si="98">G281+P281+Y281</f>
        <v>26.400955419134434</v>
      </c>
      <c r="AL281" s="124">
        <f t="shared" ref="AL281:AL293" si="99">H281+Q281+Z281</f>
        <v>28.854200411765675</v>
      </c>
      <c r="AM281" s="124">
        <f t="shared" ref="AM281:AM293" si="100">I281+R281+AA281</f>
        <v>35.801622705534982</v>
      </c>
      <c r="AN281" s="124">
        <f t="shared" ref="AN281:AN293" si="101">J281+S281+AB281</f>
        <v>17.882928424343142</v>
      </c>
      <c r="AO281" s="124">
        <f t="shared" ref="AO281:AO293" si="102">K281+T281+AC281</f>
        <v>36.155053772029632</v>
      </c>
      <c r="AP281" s="3">
        <f t="shared" si="68"/>
        <v>181.526909272089</v>
      </c>
    </row>
    <row r="282" spans="1:42" ht="14">
      <c r="A282">
        <f t="shared" si="92"/>
        <v>124</v>
      </c>
      <c r="B282" s="19">
        <f t="shared" si="92"/>
        <v>204</v>
      </c>
      <c r="C282" s="26">
        <f t="shared" si="66"/>
        <v>159.65040388967657</v>
      </c>
      <c r="D282" s="26"/>
      <c r="E282" s="26"/>
      <c r="F282" s="26"/>
      <c r="G282" s="26"/>
      <c r="H282" s="26"/>
      <c r="I282" s="126"/>
      <c r="J282" s="26"/>
      <c r="K282" s="26"/>
      <c r="L282" s="26"/>
      <c r="M282" s="83">
        <f>C$158*(0.4*D$14)*('Product half-life and C flows'!B143/100)</f>
        <v>0.34857780090539342</v>
      </c>
      <c r="N282" s="85"/>
      <c r="O282" s="85">
        <f t="shared" si="93"/>
        <v>5.9794671475617367</v>
      </c>
      <c r="P282" s="85">
        <f t="shared" si="93"/>
        <v>12.300618132127003</v>
      </c>
      <c r="Q282" s="83">
        <f>C$158*(0.6*C$15)*('Product half-life and C flows'!L143/100)</f>
        <v>5.6920942290580081</v>
      </c>
      <c r="R282" s="85">
        <f>C$158*0.6*('Product half-life and C flows'!N143/100)</f>
        <v>21.853389847515142</v>
      </c>
      <c r="S282" s="85">
        <f>C$158*0.6*('Product half-life and C flows'!P143/100)</f>
        <v>10.915779144612953</v>
      </c>
      <c r="T282" s="85">
        <f t="shared" si="77"/>
        <v>11.038827979547648</v>
      </c>
      <c r="U282" s="3"/>
      <c r="V282" s="90">
        <f>N$238*(0.4*V$40)*('Product half-life and C flows'!B62/100)</f>
        <v>6.6187164077521832</v>
      </c>
      <c r="W282" s="90">
        <f t="shared" si="74"/>
        <v>61.377989059788973</v>
      </c>
      <c r="X282" s="89">
        <f t="shared" si="94"/>
        <v>6.8543306256286138</v>
      </c>
      <c r="Y282" s="89">
        <f t="shared" si="94"/>
        <v>14.100337287007433</v>
      </c>
      <c r="Z282" s="91">
        <f>N$238*(0.6*Z$41)*('Product half-life and C flows'!L62/100)</f>
        <v>22.721062600534392</v>
      </c>
      <c r="AA282" s="91">
        <f>N$238*0.6*('Product half-life and C flows'!N62/100)</f>
        <v>14.242555941856807</v>
      </c>
      <c r="AB282" s="91">
        <f>N$238*0.6*('Product half-life and C flows'!P62/100)</f>
        <v>7.1141638071212787</v>
      </c>
      <c r="AC282" s="89">
        <f t="shared" si="79"/>
        <v>25.116225792481988</v>
      </c>
      <c r="AD282" s="17"/>
      <c r="AE282">
        <f t="shared" si="90"/>
        <v>124</v>
      </c>
      <c r="AF282" s="3">
        <f t="shared" si="69"/>
        <v>38.811857573323095</v>
      </c>
      <c r="AG282" s="113">
        <f t="shared" si="91"/>
        <v>159.65040388967657</v>
      </c>
      <c r="AH282" s="124">
        <f t="shared" si="95"/>
        <v>6.9672942086575764</v>
      </c>
      <c r="AI282" s="124">
        <f t="shared" si="96"/>
        <v>61.377989059788973</v>
      </c>
      <c r="AJ282" s="124">
        <f t="shared" si="97"/>
        <v>12.833797773190351</v>
      </c>
      <c r="AK282" s="124">
        <f t="shared" si="98"/>
        <v>26.400955419134434</v>
      </c>
      <c r="AL282" s="124">
        <f t="shared" si="99"/>
        <v>28.413156829592399</v>
      </c>
      <c r="AM282" s="124">
        <f t="shared" si="100"/>
        <v>36.095945789371953</v>
      </c>
      <c r="AN282" s="124">
        <f t="shared" si="101"/>
        <v>18.029942951734231</v>
      </c>
      <c r="AO282" s="124">
        <f t="shared" si="102"/>
        <v>36.155053772029632</v>
      </c>
      <c r="AP282" s="3">
        <f t="shared" si="68"/>
        <v>183.15178782281234</v>
      </c>
    </row>
    <row r="283" spans="1:42" ht="14">
      <c r="A283">
        <f t="shared" si="92"/>
        <v>125</v>
      </c>
      <c r="B283" s="19">
        <f t="shared" si="92"/>
        <v>205</v>
      </c>
      <c r="C283" s="26">
        <f t="shared" si="66"/>
        <v>159.81356534519131</v>
      </c>
      <c r="D283" s="26"/>
      <c r="E283" s="26"/>
      <c r="F283" s="26"/>
      <c r="G283" s="26"/>
      <c r="H283" s="26"/>
      <c r="I283" s="126"/>
      <c r="J283" s="26"/>
      <c r="K283" s="26"/>
      <c r="L283" s="26"/>
      <c r="M283" s="83">
        <f>C$158*(0.4*D$14)*('Product half-life and C flows'!B144/100)</f>
        <v>0.3367039613512513</v>
      </c>
      <c r="N283" s="85"/>
      <c r="O283" s="85">
        <f t="shared" si="93"/>
        <v>5.9794671475617367</v>
      </c>
      <c r="P283" s="85">
        <f t="shared" si="93"/>
        <v>12.300618132127003</v>
      </c>
      <c r="Q283" s="83">
        <f>C$158*(0.6*C$15)*('Product half-life and C flows'!L144/100)</f>
        <v>5.605089162446359</v>
      </c>
      <c r="R283" s="85">
        <f>C$158*0.6*('Product half-life and C flows'!N144/100)</f>
        <v>21.911451228633982</v>
      </c>
      <c r="S283" s="85">
        <f>C$158*0.6*('Product half-life and C flows'!P144/100)</f>
        <v>10.944780833483504</v>
      </c>
      <c r="T283" s="85">
        <f t="shared" si="77"/>
        <v>11.038827979547648</v>
      </c>
      <c r="U283" s="3"/>
      <c r="V283" s="90">
        <f>N$238*(0.4*V$40)*('Product half-life and C flows'!B63/100)</f>
        <v>6.3932586290987841</v>
      </c>
      <c r="W283" s="90">
        <f t="shared" si="74"/>
        <v>62.966358162848096</v>
      </c>
      <c r="X283" s="89">
        <f t="shared" si="94"/>
        <v>6.8543306256286138</v>
      </c>
      <c r="Y283" s="89">
        <f t="shared" si="94"/>
        <v>14.100337287007433</v>
      </c>
      <c r="Z283" s="91">
        <f>N$238*(0.6*Z$41)*('Product half-life and C flows'!L63/100)</f>
        <v>22.373765545092972</v>
      </c>
      <c r="AA283" s="91">
        <f>N$238*0.6*('Product half-life and C flows'!N63/100)</f>
        <v>14.474318843521383</v>
      </c>
      <c r="AB283" s="91">
        <f>N$238*0.6*('Product half-life and C flows'!P63/100)</f>
        <v>7.2299294922684192</v>
      </c>
      <c r="AC283" s="89">
        <f t="shared" si="79"/>
        <v>25.116225792481988</v>
      </c>
      <c r="AD283" s="17"/>
      <c r="AE283">
        <f t="shared" si="90"/>
        <v>125</v>
      </c>
      <c r="AF283" s="3">
        <f t="shared" si="69"/>
        <v>38.844110176548128</v>
      </c>
      <c r="AG283" s="113">
        <f t="shared" si="91"/>
        <v>159.81356534519131</v>
      </c>
      <c r="AH283" s="124">
        <f t="shared" si="95"/>
        <v>6.7299625904500351</v>
      </c>
      <c r="AI283" s="124">
        <f t="shared" si="96"/>
        <v>62.966358162848096</v>
      </c>
      <c r="AJ283" s="124">
        <f t="shared" si="97"/>
        <v>12.833797773190351</v>
      </c>
      <c r="AK283" s="124">
        <f t="shared" si="98"/>
        <v>26.400955419134434</v>
      </c>
      <c r="AL283" s="124">
        <f t="shared" si="99"/>
        <v>27.97885470753933</v>
      </c>
      <c r="AM283" s="124">
        <f t="shared" si="100"/>
        <v>36.385770072155367</v>
      </c>
      <c r="AN283" s="124">
        <f t="shared" si="101"/>
        <v>18.174710325751924</v>
      </c>
      <c r="AO283" s="124">
        <f t="shared" si="102"/>
        <v>36.155053772029632</v>
      </c>
      <c r="AP283" s="3">
        <f t="shared" si="68"/>
        <v>184.74044646061952</v>
      </c>
    </row>
    <row r="284" spans="1:42" ht="14">
      <c r="A284">
        <f t="shared" si="92"/>
        <v>126</v>
      </c>
      <c r="B284" s="19">
        <f t="shared" si="92"/>
        <v>206</v>
      </c>
      <c r="C284" s="26">
        <f t="shared" si="66"/>
        <v>159.97360383685276</v>
      </c>
      <c r="D284" s="26"/>
      <c r="E284" s="26"/>
      <c r="F284" s="26"/>
      <c r="G284" s="26"/>
      <c r="H284" s="26"/>
      <c r="I284" s="126"/>
      <c r="J284" s="26"/>
      <c r="K284" s="26"/>
      <c r="L284" s="26"/>
      <c r="M284" s="83">
        <f>C$158*(0.4*D$14)*('Product half-life and C flows'!B145/100)</f>
        <v>0.32523458836208091</v>
      </c>
      <c r="N284" s="85"/>
      <c r="O284" s="85">
        <f t="shared" si="93"/>
        <v>5.9794671475617367</v>
      </c>
      <c r="P284" s="85">
        <f t="shared" si="93"/>
        <v>12.300618132127003</v>
      </c>
      <c r="Q284" s="83">
        <f>C$158*(0.6*C$15)*('Product half-life and C flows'!L145/100)</f>
        <v>5.5194139897738248</v>
      </c>
      <c r="R284" s="85">
        <f>C$158*0.6*('Product half-life and C flows'!N145/100)</f>
        <v>21.968625127197456</v>
      </c>
      <c r="S284" s="85">
        <f>C$158*0.6*('Product half-life and C flows'!P145/100)</f>
        <v>10.973339224374348</v>
      </c>
      <c r="T284" s="85">
        <f t="shared" si="77"/>
        <v>11.038827979547648</v>
      </c>
      <c r="U284" s="3"/>
      <c r="V284" s="90">
        <f>N$238*(0.4*V$40)*('Product half-life and C flows'!B64/100)</f>
        <v>6.1754807700587708</v>
      </c>
      <c r="W284" s="90">
        <f t="shared" si="74"/>
        <v>64.518035837226023</v>
      </c>
      <c r="X284" s="89">
        <f t="shared" si="94"/>
        <v>6.8543306256286138</v>
      </c>
      <c r="Y284" s="89">
        <f t="shared" si="94"/>
        <v>14.100337287007433</v>
      </c>
      <c r="Z284" s="91">
        <f>N$238*(0.6*Z$41)*('Product half-life and C flows'!L64/100)</f>
        <v>22.031777010949114</v>
      </c>
      <c r="AA284" s="91">
        <f>N$238*0.6*('Product half-life and C flows'!N64/100)</f>
        <v>14.702539191973385</v>
      </c>
      <c r="AB284" s="91">
        <f>N$238*0.6*('Product half-life and C flows'!P64/100)</f>
        <v>7.3439256703163718</v>
      </c>
      <c r="AC284" s="89">
        <f t="shared" si="79"/>
        <v>25.116225792481988</v>
      </c>
      <c r="AD284" s="17"/>
      <c r="AE284">
        <f t="shared" si="90"/>
        <v>126</v>
      </c>
      <c r="AF284" s="3">
        <f t="shared" si="69"/>
        <v>38.875114963124162</v>
      </c>
      <c r="AG284" s="113">
        <f t="shared" si="91"/>
        <v>159.97360383685276</v>
      </c>
      <c r="AH284" s="124">
        <f t="shared" si="95"/>
        <v>6.5007153584208517</v>
      </c>
      <c r="AI284" s="124">
        <f t="shared" si="96"/>
        <v>64.518035837226023</v>
      </c>
      <c r="AJ284" s="124">
        <f t="shared" si="97"/>
        <v>12.833797773190351</v>
      </c>
      <c r="AK284" s="124">
        <f t="shared" si="98"/>
        <v>26.400955419134434</v>
      </c>
      <c r="AL284" s="124">
        <f t="shared" si="99"/>
        <v>27.551191000722937</v>
      </c>
      <c r="AM284" s="124">
        <f t="shared" si="100"/>
        <v>36.671164319170842</v>
      </c>
      <c r="AN284" s="124">
        <f t="shared" si="101"/>
        <v>18.31726489469072</v>
      </c>
      <c r="AO284" s="124">
        <f t="shared" si="102"/>
        <v>36.155053772029632</v>
      </c>
      <c r="AP284" s="3">
        <f t="shared" si="68"/>
        <v>186.29240924413529</v>
      </c>
    </row>
    <row r="285" spans="1:42" ht="14">
      <c r="A285">
        <f t="shared" si="92"/>
        <v>127</v>
      </c>
      <c r="B285" s="19">
        <f t="shared" si="92"/>
        <v>207</v>
      </c>
      <c r="C285" s="26">
        <f t="shared" si="66"/>
        <v>160.13057700923375</v>
      </c>
      <c r="D285" s="26"/>
      <c r="E285" s="26"/>
      <c r="F285" s="26"/>
      <c r="G285" s="26"/>
      <c r="H285" s="26"/>
      <c r="I285" s="126"/>
      <c r="J285" s="26"/>
      <c r="K285" s="26"/>
      <c r="L285" s="26"/>
      <c r="M285" s="83">
        <f>C$158*(0.4*D$14)*('Product half-life and C flows'!B146/100)</f>
        <v>0.31415590432185181</v>
      </c>
      <c r="N285" s="85"/>
      <c r="O285" s="85">
        <f t="shared" si="93"/>
        <v>5.9794671475617367</v>
      </c>
      <c r="P285" s="85">
        <f t="shared" si="93"/>
        <v>12.300618132127003</v>
      </c>
      <c r="Q285" s="83">
        <f>C$158*(0.6*C$15)*('Product half-life and C flows'!L146/100)</f>
        <v>5.4350483832829743</v>
      </c>
      <c r="R285" s="85">
        <f>C$158*0.6*('Product half-life and C flows'!N146/100)</f>
        <v>22.024925108595681</v>
      </c>
      <c r="S285" s="85">
        <f>C$158*0.6*('Product half-life and C flows'!P146/100)</f>
        <v>11.001461093204631</v>
      </c>
      <c r="T285" s="85">
        <f t="shared" si="77"/>
        <v>11.038827979547648</v>
      </c>
      <c r="U285" s="3"/>
      <c r="V285" s="90">
        <f>N$238*(0.4*V$40)*('Product half-life and C flows'!B65/100)</f>
        <v>5.9651212243765483</v>
      </c>
      <c r="W285" s="90">
        <f t="shared" si="74"/>
        <v>66.032685957059485</v>
      </c>
      <c r="X285" s="89">
        <f t="shared" si="94"/>
        <v>6.8543306256286138</v>
      </c>
      <c r="Y285" s="89">
        <f t="shared" si="94"/>
        <v>14.100337287007433</v>
      </c>
      <c r="Z285" s="91">
        <f>N$238*(0.6*Z$41)*('Product half-life and C flows'!L65/100)</f>
        <v>21.695015856043241</v>
      </c>
      <c r="AA285" s="91">
        <f>N$238*0.6*('Product half-life and C flows'!N65/100)</f>
        <v>14.927271136013905</v>
      </c>
      <c r="AB285" s="91">
        <f>N$238*0.6*('Product half-life and C flows'!P65/100)</f>
        <v>7.4561793886183292</v>
      </c>
      <c r="AC285" s="89">
        <f t="shared" si="79"/>
        <v>25.116225792481988</v>
      </c>
      <c r="AD285" s="17"/>
      <c r="AE285">
        <f t="shared" si="90"/>
        <v>127</v>
      </c>
      <c r="AF285" s="3">
        <f t="shared" si="69"/>
        <v>38.904919571130222</v>
      </c>
      <c r="AG285" s="113">
        <f t="shared" si="91"/>
        <v>160.13057700923375</v>
      </c>
      <c r="AH285" s="124">
        <f t="shared" si="95"/>
        <v>6.2792771286983999</v>
      </c>
      <c r="AI285" s="124">
        <f t="shared" si="96"/>
        <v>66.032685957059485</v>
      </c>
      <c r="AJ285" s="124">
        <f t="shared" si="97"/>
        <v>12.833797773190351</v>
      </c>
      <c r="AK285" s="124">
        <f t="shared" si="98"/>
        <v>26.400955419134434</v>
      </c>
      <c r="AL285" s="124">
        <f t="shared" si="99"/>
        <v>27.130064239326217</v>
      </c>
      <c r="AM285" s="124">
        <f t="shared" si="100"/>
        <v>36.952196244609588</v>
      </c>
      <c r="AN285" s="124">
        <f t="shared" si="101"/>
        <v>18.45764048182296</v>
      </c>
      <c r="AO285" s="124">
        <f t="shared" si="102"/>
        <v>36.155053772029632</v>
      </c>
      <c r="AP285" s="3">
        <f t="shared" si="68"/>
        <v>187.80734011514303</v>
      </c>
    </row>
    <row r="286" spans="1:42" ht="14">
      <c r="A286">
        <f t="shared" si="92"/>
        <v>128</v>
      </c>
      <c r="B286" s="19">
        <f t="shared" si="92"/>
        <v>208</v>
      </c>
      <c r="C286" s="26">
        <f t="shared" ref="C286:C318" si="103">B$8*(1-EXP(-B$9*$B286))^3</f>
        <v>160.28454152791318</v>
      </c>
      <c r="D286" s="26"/>
      <c r="E286" s="26"/>
      <c r="F286" s="26"/>
      <c r="G286" s="26"/>
      <c r="H286" s="26"/>
      <c r="I286" s="126"/>
      <c r="J286" s="26"/>
      <c r="K286" s="26"/>
      <c r="L286" s="26"/>
      <c r="M286" s="83">
        <f>C$158*(0.4*D$14)*('Product half-life and C flows'!B147/100)</f>
        <v>0.30345460093071447</v>
      </c>
      <c r="N286" s="85"/>
      <c r="O286" s="85">
        <f t="shared" si="93"/>
        <v>5.9794671475617367</v>
      </c>
      <c r="P286" s="85">
        <f t="shared" si="93"/>
        <v>12.300618132127003</v>
      </c>
      <c r="Q286" s="83">
        <f>C$158*(0.6*C$15)*('Product half-life and C flows'!L147/100)</f>
        <v>5.3519723259311736</v>
      </c>
      <c r="R286" s="85">
        <f>C$158*0.6*('Product half-life and C flows'!N147/100)</f>
        <v>22.080364530868447</v>
      </c>
      <c r="S286" s="85">
        <f>C$158*0.6*('Product half-life and C flows'!P147/100)</f>
        <v>11.029153112321898</v>
      </c>
      <c r="T286" s="85">
        <f t="shared" si="77"/>
        <v>11.038827979547648</v>
      </c>
      <c r="U286" s="3"/>
      <c r="V286" s="90">
        <f>N$238*(0.4*V$40)*('Product half-life and C flows'!B66/100)</f>
        <v>5.7619272970659621</v>
      </c>
      <c r="W286" s="90">
        <f t="shared" si="74"/>
        <v>67.510100252580912</v>
      </c>
      <c r="X286" s="89">
        <f t="shared" si="94"/>
        <v>6.8543306256286138</v>
      </c>
      <c r="Y286" s="89">
        <f t="shared" si="94"/>
        <v>14.100337287007433</v>
      </c>
      <c r="Z286" s="91">
        <f>N$238*(0.6*Z$41)*('Product half-life and C flows'!L66/100)</f>
        <v>21.363402178592185</v>
      </c>
      <c r="AA286" s="91">
        <f>N$238*0.6*('Product half-life and C flows'!N66/100)</f>
        <v>15.148567996766241</v>
      </c>
      <c r="AB286" s="91">
        <f>N$238*0.6*('Product half-life and C flows'!P66/100)</f>
        <v>7.5667172811020151</v>
      </c>
      <c r="AC286" s="89">
        <f t="shared" si="79"/>
        <v>25.116225792481988</v>
      </c>
      <c r="AD286" s="17"/>
      <c r="AE286">
        <f t="shared" si="90"/>
        <v>128</v>
      </c>
      <c r="AF286" s="3">
        <f t="shared" si="69"/>
        <v>38.933569869404479</v>
      </c>
      <c r="AG286" s="113">
        <f t="shared" si="91"/>
        <v>160.28454152791318</v>
      </c>
      <c r="AH286" s="124">
        <f t="shared" si="95"/>
        <v>6.0653818979966765</v>
      </c>
      <c r="AI286" s="124">
        <f t="shared" si="96"/>
        <v>67.510100252580912</v>
      </c>
      <c r="AJ286" s="124">
        <f t="shared" si="97"/>
        <v>12.833797773190351</v>
      </c>
      <c r="AK286" s="124">
        <f t="shared" si="98"/>
        <v>26.400955419134434</v>
      </c>
      <c r="AL286" s="124">
        <f t="shared" si="99"/>
        <v>26.715374504523361</v>
      </c>
      <c r="AM286" s="124">
        <f t="shared" si="100"/>
        <v>37.22893252763469</v>
      </c>
      <c r="AN286" s="124">
        <f t="shared" si="101"/>
        <v>18.595870393423915</v>
      </c>
      <c r="AO286" s="124">
        <f t="shared" si="102"/>
        <v>36.155053772029632</v>
      </c>
      <c r="AP286" s="3">
        <f t="shared" ref="AP286:AP318" si="104">SUM(AI286:AN286)</f>
        <v>189.28503087048767</v>
      </c>
    </row>
    <row r="287" spans="1:42" ht="14">
      <c r="A287">
        <f t="shared" si="92"/>
        <v>129</v>
      </c>
      <c r="B287" s="19">
        <f t="shared" si="92"/>
        <v>209</v>
      </c>
      <c r="C287" s="26">
        <f t="shared" si="103"/>
        <v>160.43555309260927</v>
      </c>
      <c r="D287" s="26"/>
      <c r="E287" s="26"/>
      <c r="F287" s="26"/>
      <c r="G287" s="26"/>
      <c r="H287" s="26"/>
      <c r="I287" s="126"/>
      <c r="J287" s="26"/>
      <c r="K287" s="26"/>
      <c r="L287" s="26"/>
      <c r="M287" s="83">
        <f>C$158*(0.4*D$14)*('Product half-life and C flows'!B148/100)</f>
        <v>0.29311782321836821</v>
      </c>
      <c r="N287" s="85"/>
      <c r="O287" s="85">
        <f t="shared" si="93"/>
        <v>5.9794671475617367</v>
      </c>
      <c r="P287" s="85">
        <f t="shared" si="93"/>
        <v>12.300618132127003</v>
      </c>
      <c r="Q287" s="83">
        <f>C$158*(0.6*C$15)*('Product half-life and C flows'!L148/100)</f>
        <v>5.2701661066412298</v>
      </c>
      <c r="R287" s="85">
        <f>C$158*0.6*('Product half-life and C flows'!N148/100)</f>
        <v>22.134956547874605</v>
      </c>
      <c r="S287" s="85">
        <f>C$158*0.6*('Product half-life and C flows'!P148/100)</f>
        <v>11.056421852085213</v>
      </c>
      <c r="T287" s="85">
        <f t="shared" si="77"/>
        <v>11.038827979547648</v>
      </c>
      <c r="U287" s="3"/>
      <c r="V287" s="90">
        <f>N$238*(0.4*V$40)*('Product half-life and C flows'!B67/100)</f>
        <v>5.5656549008597525</v>
      </c>
      <c r="W287" s="90">
        <f t="shared" si="74"/>
        <v>68.950186942718261</v>
      </c>
      <c r="X287" s="89">
        <f t="shared" si="94"/>
        <v>6.8543306256286138</v>
      </c>
      <c r="Y287" s="89">
        <f t="shared" si="94"/>
        <v>14.100337287007433</v>
      </c>
      <c r="Z287" s="91">
        <f>N$238*(0.6*Z$41)*('Product half-life and C flows'!L67/100)</f>
        <v>21.036857298131295</v>
      </c>
      <c r="AA287" s="91">
        <f>N$238*0.6*('Product half-life and C flows'!N67/100)</f>
        <v>15.366482280327142</v>
      </c>
      <c r="AB287" s="91">
        <f>N$238*0.6*('Product half-life and C flows'!P67/100)</f>
        <v>7.6755655745889779</v>
      </c>
      <c r="AC287" s="89">
        <f t="shared" si="79"/>
        <v>25.116225792481988</v>
      </c>
      <c r="AD287" s="17"/>
      <c r="AE287">
        <f t="shared" si="90"/>
        <v>129</v>
      </c>
      <c r="AF287" s="3">
        <f t="shared" ref="AF287:AF318" si="105">D$8*(1-EXP(-D$9*$B207))^3</f>
        <v>38.961110019383533</v>
      </c>
      <c r="AG287" s="113">
        <f t="shared" si="91"/>
        <v>160.43555309260927</v>
      </c>
      <c r="AH287" s="124">
        <f t="shared" si="95"/>
        <v>5.8587727240781202</v>
      </c>
      <c r="AI287" s="124">
        <f t="shared" si="96"/>
        <v>68.950186942718261</v>
      </c>
      <c r="AJ287" s="124">
        <f t="shared" si="97"/>
        <v>12.833797773190351</v>
      </c>
      <c r="AK287" s="124">
        <f t="shared" si="98"/>
        <v>26.400955419134434</v>
      </c>
      <c r="AL287" s="124">
        <f t="shared" si="99"/>
        <v>26.307023404772526</v>
      </c>
      <c r="AM287" s="124">
        <f t="shared" si="100"/>
        <v>37.501438828201749</v>
      </c>
      <c r="AN287" s="124">
        <f t="shared" si="101"/>
        <v>18.731987426674191</v>
      </c>
      <c r="AO287" s="124">
        <f t="shared" si="102"/>
        <v>36.155053772029632</v>
      </c>
      <c r="AP287" s="3">
        <f t="shared" si="104"/>
        <v>190.72538979469149</v>
      </c>
    </row>
    <row r="288" spans="1:42" ht="14">
      <c r="A288">
        <f t="shared" ref="A288:B303" si="106">A287+1</f>
        <v>130</v>
      </c>
      <c r="B288" s="19">
        <f t="shared" si="106"/>
        <v>210</v>
      </c>
      <c r="C288" s="26">
        <f t="shared" si="103"/>
        <v>160.58366645029093</v>
      </c>
      <c r="D288" s="26"/>
      <c r="E288" s="26"/>
      <c r="F288" s="26"/>
      <c r="G288" s="26"/>
      <c r="H288" s="26"/>
      <c r="I288" s="126"/>
      <c r="J288" s="26"/>
      <c r="K288" s="26"/>
      <c r="L288" s="26"/>
      <c r="M288" s="83">
        <f>C$158*(0.4*D$14)*('Product half-life and C flows'!B149/100)</f>
        <v>0.28313315410199258</v>
      </c>
      <c r="N288" s="85"/>
      <c r="O288" s="85">
        <f t="shared" ref="O288:P303" si="107">O287</f>
        <v>5.9794671475617367</v>
      </c>
      <c r="P288" s="85">
        <f t="shared" si="107"/>
        <v>12.300618132127003</v>
      </c>
      <c r="Q288" s="83">
        <f>C$158*(0.6*C$15)*('Product half-life and C flows'!L149/100)</f>
        <v>5.1896103156246314</v>
      </c>
      <c r="R288" s="85">
        <f>C$158*0.6*('Product half-life and C flows'!N149/100)</f>
        <v>22.188714112413013</v>
      </c>
      <c r="S288" s="85">
        <f>C$158*0.6*('Product half-life and C flows'!P149/100)</f>
        <v>11.083273782424079</v>
      </c>
      <c r="T288" s="85">
        <f t="shared" si="77"/>
        <v>11.038827979547648</v>
      </c>
      <c r="U288" s="3"/>
      <c r="V288" s="90">
        <f>N$238*(0.4*V$40)*('Product half-life and C flows'!B68/100)</f>
        <v>5.3760682629990448</v>
      </c>
      <c r="W288" s="90">
        <f t="shared" si="74"/>
        <v>70.352960023466522</v>
      </c>
      <c r="X288" s="89">
        <f t="shared" si="94"/>
        <v>6.8543306256286138</v>
      </c>
      <c r="Y288" s="89">
        <f t="shared" si="94"/>
        <v>14.100337287007433</v>
      </c>
      <c r="Z288" s="91">
        <f>N$238*(0.6*Z$41)*('Product half-life and C flows'!L68/100)</f>
        <v>20.715303736846245</v>
      </c>
      <c r="AA288" s="91">
        <f>N$238*0.6*('Product half-life and C flows'!N68/100)</f>
        <v>15.581065690224698</v>
      </c>
      <c r="AB288" s="91">
        <f>N$238*0.6*('Product half-life and C flows'!P68/100)</f>
        <v>7.7827500950173265</v>
      </c>
      <c r="AC288" s="89">
        <f t="shared" si="79"/>
        <v>25.116225792481988</v>
      </c>
      <c r="AD288" s="17"/>
      <c r="AE288">
        <f t="shared" si="90"/>
        <v>130</v>
      </c>
      <c r="AF288" s="3">
        <f t="shared" si="105"/>
        <v>38.987582535090162</v>
      </c>
      <c r="AG288" s="113">
        <f t="shared" si="91"/>
        <v>160.58366645029093</v>
      </c>
      <c r="AH288" s="124">
        <f t="shared" si="95"/>
        <v>5.6592014171010376</v>
      </c>
      <c r="AI288" s="124">
        <f t="shared" si="96"/>
        <v>70.352960023466522</v>
      </c>
      <c r="AJ288" s="124">
        <f t="shared" si="97"/>
        <v>12.833797773190351</v>
      </c>
      <c r="AK288" s="124">
        <f t="shared" si="98"/>
        <v>26.400955419134434</v>
      </c>
      <c r="AL288" s="124">
        <f t="shared" si="99"/>
        <v>25.904914052470875</v>
      </c>
      <c r="AM288" s="124">
        <f t="shared" si="100"/>
        <v>37.769779802637714</v>
      </c>
      <c r="AN288" s="124">
        <f t="shared" si="101"/>
        <v>18.866023877441407</v>
      </c>
      <c r="AO288" s="124">
        <f t="shared" si="102"/>
        <v>36.155053772029632</v>
      </c>
      <c r="AP288" s="3">
        <f t="shared" si="104"/>
        <v>192.1284309483413</v>
      </c>
    </row>
    <row r="289" spans="1:42" ht="14">
      <c r="A289">
        <f t="shared" si="106"/>
        <v>131</v>
      </c>
      <c r="B289" s="19">
        <f t="shared" si="106"/>
        <v>211</v>
      </c>
      <c r="C289" s="26">
        <f t="shared" si="103"/>
        <v>160.72893540825862</v>
      </c>
      <c r="D289" s="26"/>
      <c r="E289" s="26"/>
      <c r="F289" s="26"/>
      <c r="G289" s="26"/>
      <c r="H289" s="26"/>
      <c r="I289" s="126"/>
      <c r="J289" s="26"/>
      <c r="K289" s="26"/>
      <c r="L289" s="26"/>
      <c r="M289" s="83">
        <f>C$158*(0.4*D$14)*('Product half-life and C flows'!B150/100)</f>
        <v>0.27348859947019116</v>
      </c>
      <c r="N289" s="85"/>
      <c r="O289" s="85">
        <f t="shared" si="107"/>
        <v>5.9794671475617367</v>
      </c>
      <c r="P289" s="85">
        <f t="shared" si="107"/>
        <v>12.300618132127003</v>
      </c>
      <c r="Q289" s="83">
        <f>C$158*(0.6*C$15)*('Product half-life and C flows'!L150/100)</f>
        <v>5.1102858397762843</v>
      </c>
      <c r="R289" s="85">
        <f>C$158*0.6*('Product half-life and C flows'!N150/100)</f>
        <v>22.241649979295811</v>
      </c>
      <c r="S289" s="85">
        <f>C$158*0.6*('Product half-life and C flows'!P150/100)</f>
        <v>11.109715274373526</v>
      </c>
      <c r="T289" s="85">
        <f t="shared" si="77"/>
        <v>11.038827979547648</v>
      </c>
      <c r="U289" s="3"/>
      <c r="V289" s="90">
        <f>N$238*(0.4*V$40)*('Product half-life and C flows'!B69/100)</f>
        <v>5.1929396420106686</v>
      </c>
      <c r="W289" s="90">
        <f t="shared" si="74"/>
        <v>71.718529201659706</v>
      </c>
      <c r="X289" s="89">
        <f t="shared" ref="X289:Y304" si="108">X288</f>
        <v>6.8543306256286138</v>
      </c>
      <c r="Y289" s="89">
        <f t="shared" si="108"/>
        <v>14.100337287007433</v>
      </c>
      <c r="Z289" s="91">
        <f>N$238*(0.6*Z$41)*('Product half-life and C flows'!L69/100)</f>
        <v>20.398665201190251</v>
      </c>
      <c r="AA289" s="91">
        <f>N$238*0.6*('Product half-life and C flows'!N69/100)</f>
        <v>15.792369139685798</v>
      </c>
      <c r="AB289" s="91">
        <f>N$238*0.6*('Product half-life and C flows'!P69/100)</f>
        <v>7.8882962735693267</v>
      </c>
      <c r="AC289" s="89">
        <f t="shared" si="79"/>
        <v>25.116225792481988</v>
      </c>
      <c r="AD289" s="17"/>
      <c r="AE289">
        <f t="shared" si="90"/>
        <v>131</v>
      </c>
      <c r="AF289" s="3">
        <f t="shared" si="105"/>
        <v>39.013028341298835</v>
      </c>
      <c r="AG289" s="113">
        <f t="shared" si="91"/>
        <v>160.72893540825862</v>
      </c>
      <c r="AH289" s="124">
        <f t="shared" si="95"/>
        <v>5.4664282414808598</v>
      </c>
      <c r="AI289" s="124">
        <f t="shared" si="96"/>
        <v>71.718529201659706</v>
      </c>
      <c r="AJ289" s="124">
        <f t="shared" si="97"/>
        <v>12.833797773190351</v>
      </c>
      <c r="AK289" s="124">
        <f t="shared" si="98"/>
        <v>26.400955419134434</v>
      </c>
      <c r="AL289" s="124">
        <f t="shared" si="99"/>
        <v>25.508951040966537</v>
      </c>
      <c r="AM289" s="124">
        <f t="shared" si="100"/>
        <v>38.034019118981611</v>
      </c>
      <c r="AN289" s="124">
        <f t="shared" si="101"/>
        <v>18.998011547942852</v>
      </c>
      <c r="AO289" s="124">
        <f t="shared" si="102"/>
        <v>36.155053772029632</v>
      </c>
      <c r="AP289" s="3">
        <f t="shared" si="104"/>
        <v>193.4942641018755</v>
      </c>
    </row>
    <row r="290" spans="1:42" ht="14">
      <c r="A290">
        <f t="shared" si="106"/>
        <v>132</v>
      </c>
      <c r="B290" s="19">
        <f t="shared" si="106"/>
        <v>212</v>
      </c>
      <c r="C290" s="26">
        <f t="shared" si="103"/>
        <v>160.87141284718754</v>
      </c>
      <c r="D290" s="26"/>
      <c r="E290" s="26"/>
      <c r="F290" s="26"/>
      <c r="G290" s="26"/>
      <c r="H290" s="26"/>
      <c r="I290" s="126"/>
      <c r="J290" s="26"/>
      <c r="K290" s="26"/>
      <c r="L290" s="26"/>
      <c r="M290" s="83">
        <f>C$158*(0.4*D$14)*('Product half-life and C flows'!B151/100)</f>
        <v>0.264172573775034</v>
      </c>
      <c r="N290" s="85"/>
      <c r="O290" s="85">
        <f t="shared" si="107"/>
        <v>5.9794671475617367</v>
      </c>
      <c r="P290" s="85">
        <f t="shared" si="107"/>
        <v>12.300618132127003</v>
      </c>
      <c r="Q290" s="83">
        <f>C$158*(0.6*C$15)*('Product half-life and C flows'!L151/100)</f>
        <v>5.0321738581396263</v>
      </c>
      <c r="R290" s="85">
        <f>C$158*0.6*('Product half-life and C flows'!N151/100)</f>
        <v>22.293776708374676</v>
      </c>
      <c r="S290" s="85">
        <f>C$158*0.6*('Product half-life and C flows'!P151/100)</f>
        <v>11.135752601585747</v>
      </c>
      <c r="T290" s="85">
        <f t="shared" si="77"/>
        <v>11.038827979547648</v>
      </c>
      <c r="U290" s="3"/>
      <c r="V290" s="90">
        <f>N$238*(0.4*V$40)*('Product half-life and C flows'!B70/100)</f>
        <v>5.0160490541320888</v>
      </c>
      <c r="W290" s="90">
        <f t="shared" si="74"/>
        <v>73.047090459435708</v>
      </c>
      <c r="X290" s="89">
        <f t="shared" si="108"/>
        <v>6.8543306256286138</v>
      </c>
      <c r="Y290" s="89">
        <f t="shared" si="108"/>
        <v>14.100337287007433</v>
      </c>
      <c r="Z290" s="91">
        <f>N$238*(0.6*Z$41)*('Product half-life and C flows'!L70/100)</f>
        <v>20.086866563782241</v>
      </c>
      <c r="AA290" s="91">
        <f>N$238*0.6*('Product half-life and C flows'!N70/100)</f>
        <v>16.000442763716077</v>
      </c>
      <c r="AB290" s="91">
        <f>N$238*0.6*('Product half-life and C flows'!P70/100)</f>
        <v>7.9922291527053302</v>
      </c>
      <c r="AC290" s="89">
        <f t="shared" si="79"/>
        <v>25.116225792481988</v>
      </c>
      <c r="AD290" s="17"/>
      <c r="AE290">
        <f t="shared" si="90"/>
        <v>132</v>
      </c>
      <c r="AF290" s="3">
        <f t="shared" si="105"/>
        <v>39.037486829910158</v>
      </c>
      <c r="AG290" s="113">
        <f t="shared" si="91"/>
        <v>160.87141284718754</v>
      </c>
      <c r="AH290" s="124">
        <f t="shared" si="95"/>
        <v>5.2802216279071228</v>
      </c>
      <c r="AI290" s="124">
        <f t="shared" si="96"/>
        <v>73.047090459435708</v>
      </c>
      <c r="AJ290" s="124">
        <f t="shared" si="97"/>
        <v>12.833797773190351</v>
      </c>
      <c r="AK290" s="124">
        <f t="shared" si="98"/>
        <v>26.400955419134434</v>
      </c>
      <c r="AL290" s="124">
        <f t="shared" si="99"/>
        <v>25.119040421921866</v>
      </c>
      <c r="AM290" s="124">
        <f t="shared" si="100"/>
        <v>38.294219472090752</v>
      </c>
      <c r="AN290" s="124">
        <f t="shared" si="101"/>
        <v>19.127981754291078</v>
      </c>
      <c r="AO290" s="124">
        <f t="shared" si="102"/>
        <v>36.155053772029632</v>
      </c>
      <c r="AP290" s="3">
        <f t="shared" si="104"/>
        <v>194.82308530006421</v>
      </c>
    </row>
    <row r="291" spans="1:42" ht="14">
      <c r="A291">
        <f t="shared" si="106"/>
        <v>133</v>
      </c>
      <c r="B291" s="19">
        <f t="shared" si="106"/>
        <v>213</v>
      </c>
      <c r="C291" s="26">
        <f t="shared" si="103"/>
        <v>161.0111507341245</v>
      </c>
      <c r="D291" s="26"/>
      <c r="E291" s="26"/>
      <c r="F291" s="26"/>
      <c r="G291" s="26"/>
      <c r="H291" s="26"/>
      <c r="I291" s="126"/>
      <c r="J291" s="26"/>
      <c r="K291" s="26"/>
      <c r="L291" s="26"/>
      <c r="M291" s="83">
        <f>C$158*(0.4*D$14)*('Product half-life and C flows'!B152/100)</f>
        <v>0.25517388611488417</v>
      </c>
      <c r="N291" s="85"/>
      <c r="O291" s="85">
        <f t="shared" si="107"/>
        <v>5.9794671475617367</v>
      </c>
      <c r="P291" s="85">
        <f t="shared" si="107"/>
        <v>12.300618132127003</v>
      </c>
      <c r="Q291" s="83">
        <f>C$158*(0.6*C$15)*('Product half-life and C flows'!L152/100)</f>
        <v>4.955255837441066</v>
      </c>
      <c r="R291" s="85">
        <f>C$158*0.6*('Product half-life and C flows'!N152/100)</f>
        <v>22.345106667520849</v>
      </c>
      <c r="S291" s="85">
        <f>C$158*0.6*('Product half-life and C flows'!P152/100)</f>
        <v>11.1613919418186</v>
      </c>
      <c r="T291" s="85">
        <f t="shared" si="77"/>
        <v>11.038827979547648</v>
      </c>
      <c r="U291" s="3"/>
      <c r="V291" s="90">
        <f>N$238*(0.4*V$40)*('Product half-life and C flows'!B71/100)</f>
        <v>4.8451840090552913</v>
      </c>
      <c r="W291" s="90">
        <f t="shared" si="74"/>
        <v>74.338917231292029</v>
      </c>
      <c r="X291" s="89">
        <f t="shared" si="108"/>
        <v>6.8543306256286138</v>
      </c>
      <c r="Y291" s="89">
        <f t="shared" si="108"/>
        <v>14.100337287007433</v>
      </c>
      <c r="Z291" s="91">
        <f>N$238*(0.6*Z$41)*('Product half-life and C flows'!L71/100)</f>
        <v>19.779833845581713</v>
      </c>
      <c r="AA291" s="91">
        <f>N$238*0.6*('Product half-life and C flows'!N71/100)</f>
        <v>16.205335930995226</v>
      </c>
      <c r="AB291" s="91">
        <f>N$238*0.6*('Product half-life and C flows'!P71/100)</f>
        <v>8.0945733921055059</v>
      </c>
      <c r="AC291" s="89">
        <f t="shared" si="79"/>
        <v>25.116225792481988</v>
      </c>
      <c r="AD291" s="17"/>
      <c r="AE291">
        <f t="shared" si="90"/>
        <v>133</v>
      </c>
      <c r="AF291" s="3">
        <f t="shared" si="105"/>
        <v>39.060995914567414</v>
      </c>
      <c r="AG291" s="113">
        <f t="shared" si="91"/>
        <v>161.0111507341245</v>
      </c>
      <c r="AH291" s="124">
        <f t="shared" si="95"/>
        <v>5.1003578951701751</v>
      </c>
      <c r="AI291" s="124">
        <f t="shared" si="96"/>
        <v>74.338917231292029</v>
      </c>
      <c r="AJ291" s="124">
        <f t="shared" si="97"/>
        <v>12.833797773190351</v>
      </c>
      <c r="AK291" s="124">
        <f t="shared" si="98"/>
        <v>26.400955419134434</v>
      </c>
      <c r="AL291" s="124">
        <f t="shared" si="99"/>
        <v>24.735089683022778</v>
      </c>
      <c r="AM291" s="124">
        <f t="shared" si="100"/>
        <v>38.550442598516071</v>
      </c>
      <c r="AN291" s="124">
        <f t="shared" si="101"/>
        <v>19.255965333924106</v>
      </c>
      <c r="AO291" s="124">
        <f t="shared" si="102"/>
        <v>36.155053772029632</v>
      </c>
      <c r="AP291" s="3">
        <f t="shared" si="104"/>
        <v>196.11516803907978</v>
      </c>
    </row>
    <row r="292" spans="1:42" ht="14">
      <c r="A292">
        <f t="shared" si="106"/>
        <v>134</v>
      </c>
      <c r="B292" s="19">
        <f t="shared" si="106"/>
        <v>214</v>
      </c>
      <c r="C292" s="26">
        <f t="shared" si="103"/>
        <v>161.14820013543206</v>
      </c>
      <c r="D292" s="26"/>
      <c r="E292" s="26"/>
      <c r="F292" s="26"/>
      <c r="G292" s="26"/>
      <c r="H292" s="26"/>
      <c r="I292" s="126"/>
      <c r="J292" s="26"/>
      <c r="K292" s="26"/>
      <c r="L292" s="26"/>
      <c r="M292" s="83">
        <f>C$158*(0.4*D$14)*('Product half-life and C flows'!B153/100)</f>
        <v>0.24648172679129796</v>
      </c>
      <c r="N292" s="85"/>
      <c r="O292" s="85">
        <f t="shared" si="107"/>
        <v>5.9794671475617367</v>
      </c>
      <c r="P292" s="85">
        <f t="shared" si="107"/>
        <v>12.300618132127003</v>
      </c>
      <c r="Q292" s="83">
        <f>C$158*(0.6*C$15)*('Product half-life and C flows'!L153/100)</f>
        <v>4.8795135276926782</v>
      </c>
      <c r="R292" s="85">
        <f>C$158*0.6*('Product half-life and C flows'!N153/100)</f>
        <v>22.395652035559607</v>
      </c>
      <c r="S292" s="85">
        <f>C$158*0.6*('Product half-life and C flows'!P153/100)</f>
        <v>11.186639378401395</v>
      </c>
      <c r="T292" s="85">
        <f t="shared" si="77"/>
        <v>11.038827979547648</v>
      </c>
      <c r="U292" s="3"/>
      <c r="V292" s="90">
        <f>N$238*(0.4*V$40)*('Product half-life and C flows'!B72/100)</f>
        <v>4.6801392546722358</v>
      </c>
      <c r="W292" s="90">
        <f t="shared" si="74"/>
        <v>75.59435217302817</v>
      </c>
      <c r="X292" s="89">
        <f t="shared" si="108"/>
        <v>6.8543306256286138</v>
      </c>
      <c r="Y292" s="89">
        <f t="shared" si="108"/>
        <v>14.100337287007433</v>
      </c>
      <c r="Z292" s="91">
        <f>N$238*(0.6*Z$41)*('Product half-life and C flows'!L72/100)</f>
        <v>19.477494198336096</v>
      </c>
      <c r="AA292" s="91">
        <f>N$238*0.6*('Product half-life and C flows'!N72/100)</f>
        <v>16.407097255590472</v>
      </c>
      <c r="AB292" s="91">
        <f>N$238*0.6*('Product half-life and C flows'!P72/100)</f>
        <v>8.1953532745207109</v>
      </c>
      <c r="AC292" s="89">
        <f t="shared" si="79"/>
        <v>25.116225792481988</v>
      </c>
      <c r="AD292" s="17"/>
      <c r="AE292">
        <f t="shared" si="90"/>
        <v>134</v>
      </c>
      <c r="AF292" s="3">
        <f t="shared" si="105"/>
        <v>39.083592083549917</v>
      </c>
      <c r="AG292" s="113">
        <f t="shared" si="91"/>
        <v>161.14820013543206</v>
      </c>
      <c r="AH292" s="124">
        <f t="shared" si="95"/>
        <v>4.9266209814635333</v>
      </c>
      <c r="AI292" s="124">
        <f t="shared" si="96"/>
        <v>75.59435217302817</v>
      </c>
      <c r="AJ292" s="124">
        <f t="shared" si="97"/>
        <v>12.833797773190351</v>
      </c>
      <c r="AK292" s="124">
        <f t="shared" si="98"/>
        <v>26.400955419134434</v>
      </c>
      <c r="AL292" s="124">
        <f t="shared" si="99"/>
        <v>24.357007726028776</v>
      </c>
      <c r="AM292" s="124">
        <f t="shared" si="100"/>
        <v>38.802749291150079</v>
      </c>
      <c r="AN292" s="124">
        <f t="shared" si="101"/>
        <v>19.381992652922108</v>
      </c>
      <c r="AO292" s="124">
        <f t="shared" si="102"/>
        <v>36.155053772029632</v>
      </c>
      <c r="AP292" s="3">
        <f t="shared" si="104"/>
        <v>197.37085503545393</v>
      </c>
    </row>
    <row r="293" spans="1:42" ht="14">
      <c r="A293">
        <f t="shared" si="106"/>
        <v>135</v>
      </c>
      <c r="B293" s="19">
        <f t="shared" si="106"/>
        <v>215</v>
      </c>
      <c r="C293" s="26">
        <f t="shared" si="103"/>
        <v>161.28261122967328</v>
      </c>
      <c r="D293" s="26"/>
      <c r="E293" s="26"/>
      <c r="F293" s="26"/>
      <c r="G293" s="26"/>
      <c r="H293" s="26"/>
      <c r="I293" s="126"/>
      <c r="J293" s="26"/>
      <c r="K293" s="26"/>
      <c r="L293" s="26"/>
      <c r="M293" s="83">
        <f>C$158*(0.4*D$14)*('Product half-life and C flows'!B154/100)</f>
        <v>0.23808565432384296</v>
      </c>
      <c r="N293" s="85"/>
      <c r="O293" s="85">
        <f t="shared" si="107"/>
        <v>5.9794671475617367</v>
      </c>
      <c r="P293" s="85">
        <f t="shared" si="107"/>
        <v>12.300618132127003</v>
      </c>
      <c r="Q293" s="83">
        <f>C$158*(0.6*C$15)*('Product half-life and C flows'!L154/100)</f>
        <v>4.8049289578621099</v>
      </c>
      <c r="R293" s="85">
        <f>C$158*0.6*('Product half-life and C flows'!N154/100)</f>
        <v>22.445424805159874</v>
      </c>
      <c r="S293" s="85">
        <f>C$158*0.6*('Product half-life and C flows'!P154/100)</f>
        <v>11.211500901678251</v>
      </c>
      <c r="T293" s="85">
        <f t="shared" si="77"/>
        <v>11.038827979547648</v>
      </c>
      <c r="U293" s="3"/>
      <c r="V293" s="90">
        <f>N$238*(0.4*V$40)*('Product half-life and C flows'!B73/100)</f>
        <v>4.5207165305151609</v>
      </c>
      <c r="W293" s="90">
        <f t="shared" si="74"/>
        <v>76.813799499943926</v>
      </c>
      <c r="X293" s="89">
        <f t="shared" si="108"/>
        <v>6.8543306256286138</v>
      </c>
      <c r="Y293" s="89">
        <f t="shared" si="108"/>
        <v>14.100337287007433</v>
      </c>
      <c r="Z293" s="91">
        <f>N$238*(0.6*Z$41)*('Product half-life and C flows'!L73/100)</f>
        <v>19.179775887296348</v>
      </c>
      <c r="AA293" s="91">
        <f>N$238*0.6*('Product half-life and C flows'!N73/100)</f>
        <v>16.605774608490993</v>
      </c>
      <c r="AB293" s="91">
        <f>N$238*0.6*('Product half-life and C flows'!P73/100)</f>
        <v>8.2945927115339604</v>
      </c>
      <c r="AC293" s="89">
        <f t="shared" si="79"/>
        <v>25.116225792481988</v>
      </c>
      <c r="AD293" s="17"/>
      <c r="AE293">
        <f t="shared" si="90"/>
        <v>135</v>
      </c>
      <c r="AF293" s="3">
        <f t="shared" si="105"/>
        <v>39.105310450978791</v>
      </c>
      <c r="AG293" s="113">
        <f t="shared" si="91"/>
        <v>161.28261122967328</v>
      </c>
      <c r="AH293" s="124">
        <f t="shared" si="95"/>
        <v>4.7588021848390039</v>
      </c>
      <c r="AI293" s="124">
        <f t="shared" si="96"/>
        <v>76.813799499943926</v>
      </c>
      <c r="AJ293" s="124">
        <f t="shared" si="97"/>
        <v>12.833797773190351</v>
      </c>
      <c r="AK293" s="124">
        <f t="shared" si="98"/>
        <v>26.400955419134434</v>
      </c>
      <c r="AL293" s="124">
        <f t="shared" si="99"/>
        <v>23.984704845158458</v>
      </c>
      <c r="AM293" s="124">
        <f t="shared" si="100"/>
        <v>39.051199413650863</v>
      </c>
      <c r="AN293" s="124">
        <f t="shared" si="101"/>
        <v>19.506093613212212</v>
      </c>
      <c r="AO293" s="124">
        <f t="shared" si="102"/>
        <v>36.155053772029632</v>
      </c>
      <c r="AP293" s="3">
        <f t="shared" si="104"/>
        <v>198.59055056429025</v>
      </c>
    </row>
    <row r="294" spans="1:42" ht="14">
      <c r="A294">
        <f t="shared" si="106"/>
        <v>136</v>
      </c>
      <c r="B294" s="19">
        <f t="shared" si="106"/>
        <v>216</v>
      </c>
      <c r="C294" s="26">
        <f t="shared" si="103"/>
        <v>161.41443332043016</v>
      </c>
      <c r="D294" s="26"/>
      <c r="E294" s="26"/>
      <c r="F294" s="26"/>
      <c r="G294" s="26"/>
      <c r="H294" s="26"/>
      <c r="I294" s="126"/>
      <c r="J294" s="26"/>
      <c r="K294" s="26"/>
      <c r="L294" s="26"/>
      <c r="M294" s="83">
        <f>C$158*(0.4*D$14)*('Product half-life and C flows'!B155/100)</f>
        <v>0.22997558290724276</v>
      </c>
      <c r="N294" s="85"/>
      <c r="O294" s="85">
        <f t="shared" si="107"/>
        <v>5.9794671475617367</v>
      </c>
      <c r="P294" s="85">
        <f t="shared" si="107"/>
        <v>12.300618132127003</v>
      </c>
      <c r="Q294" s="83">
        <f>C$158*(0.6*C$15)*('Product half-life and C flows'!L155/100)</f>
        <v>4.731484431608683</v>
      </c>
      <c r="R294" s="85">
        <f>C$158*0.6*('Product half-life and C flows'!N155/100)</f>
        <v>22.49443678567966</v>
      </c>
      <c r="S294" s="85">
        <f>C$158*0.6*('Product half-life and C flows'!P155/100)</f>
        <v>11.235982410429393</v>
      </c>
      <c r="T294" s="85">
        <f t="shared" si="77"/>
        <v>11.038827979547648</v>
      </c>
      <c r="U294" s="3"/>
      <c r="V294" s="90">
        <f>N$238*(0.4*V$40)*('Product half-life and C flows'!B74/100)</f>
        <v>4.3667243295956792</v>
      </c>
      <c r="W294" s="90">
        <f t="shared" si="74"/>
        <v>77.997717870301713</v>
      </c>
      <c r="X294" s="89">
        <f t="shared" si="108"/>
        <v>6.8543306256286138</v>
      </c>
      <c r="Y294" s="89">
        <f t="shared" si="108"/>
        <v>14.100337287007433</v>
      </c>
      <c r="Z294" s="91">
        <f>N$238*(0.6*Z$41)*('Product half-life and C flows'!L74/100)</f>
        <v>18.886608274196782</v>
      </c>
      <c r="AA294" s="91">
        <f>N$238*0.6*('Product half-life and C flows'!N74/100)</f>
        <v>16.801415128966106</v>
      </c>
      <c r="AB294" s="91">
        <f>N$238*0.6*('Product half-life and C flows'!P74/100)</f>
        <v>8.3923152492338158</v>
      </c>
      <c r="AC294" s="89">
        <f t="shared" si="79"/>
        <v>25.116225792481988</v>
      </c>
      <c r="AD294" s="17"/>
      <c r="AE294">
        <f t="shared" si="90"/>
        <v>136</v>
      </c>
      <c r="AF294" s="3">
        <f t="shared" si="105"/>
        <v>39.126184806372201</v>
      </c>
      <c r="AG294" s="113">
        <f t="shared" si="91"/>
        <v>161.41443332043016</v>
      </c>
      <c r="AH294" s="124">
        <f t="shared" ref="AH294:AL298" si="109">D294+M294+V294</f>
        <v>4.5966999125029222</v>
      </c>
      <c r="AI294" s="124">
        <f t="shared" si="109"/>
        <v>77.997717870301713</v>
      </c>
      <c r="AJ294" s="124">
        <f t="shared" si="109"/>
        <v>12.833797773190351</v>
      </c>
      <c r="AK294" s="124">
        <f t="shared" si="109"/>
        <v>26.400955419134434</v>
      </c>
      <c r="AL294" s="124">
        <f t="shared" si="109"/>
        <v>23.618092705805466</v>
      </c>
      <c r="AM294" s="124">
        <f t="shared" ref="AM294:AO318" si="110">I294+R294+AA294</f>
        <v>39.295851914645766</v>
      </c>
      <c r="AN294" s="124">
        <f t="shared" si="110"/>
        <v>19.628297659663211</v>
      </c>
      <c r="AO294" s="124">
        <f t="shared" si="110"/>
        <v>36.155053772029632</v>
      </c>
      <c r="AP294" s="3">
        <f t="shared" si="104"/>
        <v>199.77471334274097</v>
      </c>
    </row>
    <row r="295" spans="1:42" ht="14">
      <c r="A295">
        <f t="shared" si="106"/>
        <v>137</v>
      </c>
      <c r="B295" s="19">
        <f t="shared" si="106"/>
        <v>217</v>
      </c>
      <c r="C295" s="26">
        <f t="shared" si="103"/>
        <v>161.54371484905107</v>
      </c>
      <c r="D295" s="26"/>
      <c r="E295" s="26"/>
      <c r="F295" s="26"/>
      <c r="G295" s="26"/>
      <c r="H295" s="26"/>
      <c r="I295" s="126"/>
      <c r="J295" s="26"/>
      <c r="K295" s="26"/>
      <c r="L295" s="26"/>
      <c r="M295" s="83">
        <f>C$158*(0.4*D$14)*('Product half-life and C flows'!B156/100)</f>
        <v>0.22214177029577362</v>
      </c>
      <c r="N295" s="85"/>
      <c r="O295" s="85">
        <f t="shared" si="107"/>
        <v>5.9794671475617367</v>
      </c>
      <c r="P295" s="85">
        <f t="shared" si="107"/>
        <v>12.300618132127003</v>
      </c>
      <c r="Q295" s="83">
        <f>C$158*(0.6*C$15)*('Product half-life and C flows'!L156/100)</f>
        <v>4.6591625230846523</v>
      </c>
      <c r="R295" s="85">
        <f>C$158*0.6*('Product half-life and C flows'!N156/100)</f>
        <v>22.542699605968032</v>
      </c>
      <c r="S295" s="85">
        <f>C$158*0.6*('Product half-life and C flows'!P156/100)</f>
        <v>11.260089713270736</v>
      </c>
      <c r="T295" s="85">
        <f t="shared" si="77"/>
        <v>11.038827979547648</v>
      </c>
      <c r="U295" s="3"/>
      <c r="V295" s="90">
        <f>N$238*(0.4*V$40)*('Product half-life and C flows'!B75/100)</f>
        <v>4.2179776683564585</v>
      </c>
      <c r="W295" s="90">
        <f t="shared" si="74"/>
        <v>79.146613789176996</v>
      </c>
      <c r="X295" s="89">
        <f t="shared" si="108"/>
        <v>6.8543306256286138</v>
      </c>
      <c r="Y295" s="89">
        <f t="shared" si="108"/>
        <v>14.100337287007433</v>
      </c>
      <c r="Z295" s="91">
        <f>N$238*(0.6*Z$41)*('Product half-life and C flows'!L75/100)</f>
        <v>18.597921800495072</v>
      </c>
      <c r="AA295" s="91">
        <f>N$238*0.6*('Product half-life and C flows'!N75/100)</f>
        <v>16.994065235749712</v>
      </c>
      <c r="AB295" s="91">
        <f>N$238*0.6*('Product half-life and C flows'!P75/100)</f>
        <v>8.4885440738010516</v>
      </c>
      <c r="AC295" s="89">
        <f t="shared" si="79"/>
        <v>25.116225792481988</v>
      </c>
      <c r="AD295" s="17"/>
      <c r="AE295">
        <f t="shared" si="90"/>
        <v>137</v>
      </c>
      <c r="AF295" s="3">
        <f t="shared" si="105"/>
        <v>39.14624766258747</v>
      </c>
      <c r="AG295" s="113">
        <f t="shared" si="91"/>
        <v>161.54371484905107</v>
      </c>
      <c r="AH295" s="124">
        <f t="shared" si="109"/>
        <v>4.440119438652232</v>
      </c>
      <c r="AI295" s="124">
        <f t="shared" si="109"/>
        <v>79.146613789176996</v>
      </c>
      <c r="AJ295" s="124">
        <f t="shared" si="109"/>
        <v>12.833797773190351</v>
      </c>
      <c r="AK295" s="124">
        <f t="shared" si="109"/>
        <v>26.400955419134434</v>
      </c>
      <c r="AL295" s="124">
        <f t="shared" si="109"/>
        <v>23.257084323579726</v>
      </c>
      <c r="AM295" s="124">
        <f t="shared" si="110"/>
        <v>39.536764841717741</v>
      </c>
      <c r="AN295" s="124">
        <f t="shared" si="110"/>
        <v>19.748633787071789</v>
      </c>
      <c r="AO295" s="124">
        <f t="shared" si="110"/>
        <v>36.155053772029632</v>
      </c>
      <c r="AP295" s="3">
        <f t="shared" si="104"/>
        <v>200.92384993387103</v>
      </c>
    </row>
    <row r="296" spans="1:42" ht="14">
      <c r="A296">
        <f t="shared" si="106"/>
        <v>138</v>
      </c>
      <c r="B296" s="19">
        <f t="shared" si="106"/>
        <v>218</v>
      </c>
      <c r="C296" s="26">
        <f t="shared" si="103"/>
        <v>161.67050340732089</v>
      </c>
      <c r="D296" s="26"/>
      <c r="E296" s="26"/>
      <c r="F296" s="26"/>
      <c r="G296" s="26"/>
      <c r="H296" s="26"/>
      <c r="I296" s="126"/>
      <c r="J296" s="26"/>
      <c r="K296" s="26"/>
      <c r="L296" s="26"/>
      <c r="M296" s="83">
        <f>C$158*(0.4*D$14)*('Product half-life and C flows'!B157/100)</f>
        <v>0.21457480610036581</v>
      </c>
      <c r="N296" s="85"/>
      <c r="O296" s="85">
        <f t="shared" si="107"/>
        <v>5.9794671475617367</v>
      </c>
      <c r="P296" s="85">
        <f t="shared" si="107"/>
        <v>12.300618132127003</v>
      </c>
      <c r="Q296" s="83">
        <f>C$158*(0.6*C$15)*('Product half-life and C flows'!L157/100)</f>
        <v>4.5879460728006629</v>
      </c>
      <c r="R296" s="85">
        <f>C$158*0.6*('Product half-life and C flows'!N157/100)</f>
        <v>22.590224717124215</v>
      </c>
      <c r="S296" s="85">
        <f>C$158*0.6*('Product half-life and C flows'!P157/100)</f>
        <v>11.283828530032066</v>
      </c>
      <c r="T296" s="85">
        <f t="shared" si="77"/>
        <v>11.038827979547648</v>
      </c>
      <c r="U296" s="3"/>
      <c r="V296" s="90">
        <f>N$238*(0.4*V$40)*('Product half-life and C flows'!B76/100)</f>
        <v>4.0742978644592167</v>
      </c>
      <c r="W296" s="90">
        <f t="shared" si="74"/>
        <v>80.261035507330135</v>
      </c>
      <c r="X296" s="89">
        <f t="shared" si="108"/>
        <v>6.8543306256286138</v>
      </c>
      <c r="Y296" s="89">
        <f t="shared" si="108"/>
        <v>14.100337287007433</v>
      </c>
      <c r="Z296" s="91">
        <f>N$238*(0.6*Z$41)*('Product half-life and C flows'!L76/100)</f>
        <v>18.313647970868377</v>
      </c>
      <c r="AA296" s="91">
        <f>N$238*0.6*('Product half-life and C flows'!N76/100)</f>
        <v>17.183770638053925</v>
      </c>
      <c r="AB296" s="91">
        <f>N$238*0.6*('Product half-life and C flows'!P76/100)</f>
        <v>8.5833020170099505</v>
      </c>
      <c r="AC296" s="89">
        <f t="shared" si="79"/>
        <v>25.116225792481988</v>
      </c>
      <c r="AD296" s="17"/>
      <c r="AE296">
        <f t="shared" si="90"/>
        <v>138</v>
      </c>
      <c r="AF296" s="3">
        <f t="shared" si="105"/>
        <v>39.165530302188394</v>
      </c>
      <c r="AG296" s="113">
        <f t="shared" si="91"/>
        <v>161.67050340732089</v>
      </c>
      <c r="AH296" s="124">
        <f t="shared" si="109"/>
        <v>4.2888726705595825</v>
      </c>
      <c r="AI296" s="124">
        <f t="shared" si="109"/>
        <v>80.261035507330135</v>
      </c>
      <c r="AJ296" s="124">
        <f t="shared" si="109"/>
        <v>12.833797773190351</v>
      </c>
      <c r="AK296" s="124">
        <f t="shared" si="109"/>
        <v>26.400955419134434</v>
      </c>
      <c r="AL296" s="124">
        <f t="shared" si="109"/>
        <v>22.901594043669039</v>
      </c>
      <c r="AM296" s="124">
        <f t="shared" si="110"/>
        <v>39.773995355178144</v>
      </c>
      <c r="AN296" s="124">
        <f t="shared" si="110"/>
        <v>19.867130547042017</v>
      </c>
      <c r="AO296" s="124">
        <f t="shared" si="110"/>
        <v>36.155053772029632</v>
      </c>
      <c r="AP296" s="3">
        <f t="shared" si="104"/>
        <v>202.03850864554411</v>
      </c>
    </row>
    <row r="297" spans="1:42" ht="14">
      <c r="A297">
        <f t="shared" si="106"/>
        <v>139</v>
      </c>
      <c r="B297" s="19">
        <f t="shared" si="106"/>
        <v>219</v>
      </c>
      <c r="C297" s="26">
        <f t="shared" si="103"/>
        <v>161.79484575004849</v>
      </c>
      <c r="D297" s="26"/>
      <c r="E297" s="26"/>
      <c r="F297" s="26"/>
      <c r="G297" s="26"/>
      <c r="H297" s="26"/>
      <c r="I297" s="126"/>
      <c r="J297" s="26"/>
      <c r="K297" s="26"/>
      <c r="L297" s="26"/>
      <c r="M297" s="83">
        <f>C$158*(0.4*D$14)*('Product half-life and C flows'!B158/100)</f>
        <v>0.20726560048434781</v>
      </c>
      <c r="N297" s="85"/>
      <c r="O297" s="85">
        <f t="shared" si="107"/>
        <v>5.9794671475617367</v>
      </c>
      <c r="P297" s="85">
        <f t="shared" si="107"/>
        <v>12.300618132127003</v>
      </c>
      <c r="Q297" s="83">
        <f>C$158*(0.6*C$15)*('Product half-life and C flows'!L158/100)</f>
        <v>4.5178181835543993</v>
      </c>
      <c r="R297" s="85">
        <f>C$158*0.6*('Product half-life and C flows'!N158/100)</f>
        <v>22.637023395214555</v>
      </c>
      <c r="S297" s="85">
        <f>C$158*0.6*('Product half-life and C flows'!P158/100)</f>
        <v>11.307204493114153</v>
      </c>
      <c r="T297" s="85">
        <f t="shared" si="77"/>
        <v>11.038827979547648</v>
      </c>
      <c r="U297" s="3"/>
      <c r="V297" s="90">
        <f>N$238*(0.4*V$40)*('Product half-life and C flows'!B77/100)</f>
        <v>3.935512322142074</v>
      </c>
      <c r="W297" s="90">
        <f t="shared" si="74"/>
        <v>81.341567389573953</v>
      </c>
      <c r="X297" s="89">
        <f t="shared" si="108"/>
        <v>6.8543306256286138</v>
      </c>
      <c r="Y297" s="89">
        <f t="shared" si="108"/>
        <v>14.100337287007433</v>
      </c>
      <c r="Z297" s="91">
        <f>N$238*(0.6*Z$41)*('Product half-life and C flows'!L77/100)</f>
        <v>18.033719336961802</v>
      </c>
      <c r="AA297" s="91">
        <f>N$238*0.6*('Product half-life and C flows'!N77/100)</f>
        <v>17.37057634641425</v>
      </c>
      <c r="AB297" s="91">
        <f>N$238*0.6*('Product half-life and C flows'!P77/100)</f>
        <v>8.6766115616454744</v>
      </c>
      <c r="AC297" s="89">
        <f t="shared" si="79"/>
        <v>25.116225792481988</v>
      </c>
      <c r="AD297" s="17"/>
      <c r="AE297">
        <f t="shared" si="90"/>
        <v>139</v>
      </c>
      <c r="AF297" s="3">
        <f t="shared" si="105"/>
        <v>39.184062822276211</v>
      </c>
      <c r="AG297" s="113">
        <f t="shared" si="91"/>
        <v>161.79484575004849</v>
      </c>
      <c r="AH297" s="124">
        <f t="shared" si="109"/>
        <v>4.1427779226264221</v>
      </c>
      <c r="AI297" s="124">
        <f t="shared" si="109"/>
        <v>81.341567389573953</v>
      </c>
      <c r="AJ297" s="124">
        <f t="shared" si="109"/>
        <v>12.833797773190351</v>
      </c>
      <c r="AK297" s="124">
        <f t="shared" si="109"/>
        <v>26.400955419134434</v>
      </c>
      <c r="AL297" s="124">
        <f t="shared" si="109"/>
        <v>22.551537520516202</v>
      </c>
      <c r="AM297" s="124">
        <f t="shared" si="110"/>
        <v>40.007599741628809</v>
      </c>
      <c r="AN297" s="124">
        <f t="shared" si="110"/>
        <v>19.983816054759629</v>
      </c>
      <c r="AO297" s="124">
        <f t="shared" si="110"/>
        <v>36.155053772029632</v>
      </c>
      <c r="AP297" s="3">
        <f t="shared" si="104"/>
        <v>203.11927389880339</v>
      </c>
    </row>
    <row r="298" spans="1:42" ht="14">
      <c r="A298">
        <f t="shared" si="106"/>
        <v>140</v>
      </c>
      <c r="B298" s="19">
        <f t="shared" si="106"/>
        <v>220</v>
      </c>
      <c r="C298" s="26">
        <f t="shared" si="103"/>
        <v>161.91678780756789</v>
      </c>
      <c r="D298" s="26"/>
      <c r="E298" s="26"/>
      <c r="F298" s="26"/>
      <c r="G298" s="26"/>
      <c r="H298" s="26"/>
      <c r="I298" s="126"/>
      <c r="J298" s="26"/>
      <c r="K298" s="26"/>
      <c r="L298" s="26"/>
      <c r="M298" s="83">
        <f>C$158*(0.4*D$14)*('Product half-life and C flows'!B159/100)</f>
        <v>0.20020537324425464</v>
      </c>
      <c r="N298" s="85"/>
      <c r="O298" s="85">
        <f t="shared" si="107"/>
        <v>5.9794671475617367</v>
      </c>
      <c r="P298" s="85">
        <f t="shared" si="107"/>
        <v>12.300618132127003</v>
      </c>
      <c r="Q298" s="83">
        <f>C$158*(0.6*C$15)*('Product half-life and C flows'!L159/100)</f>
        <v>4.4487622164214518</v>
      </c>
      <c r="R298" s="85">
        <f>C$158*0.6*('Product half-life and C flows'!N159/100)</f>
        <v>22.683106743947942</v>
      </c>
      <c r="S298" s="85">
        <f>C$158*0.6*('Product half-life and C flows'!P159/100)</f>
        <v>11.330223148825137</v>
      </c>
      <c r="T298" s="85">
        <f t="shared" si="77"/>
        <v>11.038827979547648</v>
      </c>
      <c r="U298" s="3"/>
      <c r="V298" s="90">
        <f>N$238*(0.4*V$40)*('Product half-life and C flows'!B78/100)</f>
        <v>3.801454324888407</v>
      </c>
      <c r="W298" s="90">
        <f t="shared" si="74"/>
        <v>82.388824727217184</v>
      </c>
      <c r="X298" s="89">
        <f t="shared" si="108"/>
        <v>6.8543306256286138</v>
      </c>
      <c r="Y298" s="89">
        <f t="shared" si="108"/>
        <v>14.100337287007433</v>
      </c>
      <c r="Z298" s="91">
        <f>N$238*(0.6*Z$41)*('Product half-life and C flows'!L78/100)</f>
        <v>17.758069481385217</v>
      </c>
      <c r="AA298" s="91">
        <f>N$238*0.6*('Product half-life and C flows'!N78/100)</f>
        <v>17.554526683369023</v>
      </c>
      <c r="AB298" s="91">
        <f>N$238*0.6*('Product half-life and C flows'!P78/100)</f>
        <v>8.7684948468376707</v>
      </c>
      <c r="AC298" s="89">
        <f t="shared" si="79"/>
        <v>25.116225792481988</v>
      </c>
      <c r="AD298" s="17"/>
      <c r="AE298">
        <f t="shared" si="90"/>
        <v>140</v>
      </c>
      <c r="AF298" s="3">
        <f t="shared" si="105"/>
        <v>39.201874177822951</v>
      </c>
      <c r="AG298" s="113">
        <f t="shared" si="91"/>
        <v>161.91678780756789</v>
      </c>
      <c r="AH298" s="124">
        <f t="shared" si="109"/>
        <v>4.001659698132662</v>
      </c>
      <c r="AI298" s="124">
        <f t="shared" si="109"/>
        <v>82.388824727217184</v>
      </c>
      <c r="AJ298" s="124">
        <f t="shared" si="109"/>
        <v>12.833797773190351</v>
      </c>
      <c r="AK298" s="124">
        <f t="shared" si="109"/>
        <v>26.400955419134434</v>
      </c>
      <c r="AL298" s="124">
        <f t="shared" si="109"/>
        <v>22.20683169780667</v>
      </c>
      <c r="AM298" s="124">
        <f t="shared" si="110"/>
        <v>40.237633427316965</v>
      </c>
      <c r="AN298" s="124">
        <f t="shared" si="110"/>
        <v>20.09871799566281</v>
      </c>
      <c r="AO298" s="124">
        <f t="shared" si="110"/>
        <v>36.155053772029632</v>
      </c>
      <c r="AP298" s="3">
        <f t="shared" si="104"/>
        <v>204.16676104032842</v>
      </c>
    </row>
    <row r="299" spans="1:42" ht="14">
      <c r="A299">
        <f t="shared" si="106"/>
        <v>141</v>
      </c>
      <c r="B299" s="19">
        <f t="shared" si="106"/>
        <v>221</v>
      </c>
      <c r="C299" s="26">
        <f t="shared" si="103"/>
        <v>162.03637469814757</v>
      </c>
      <c r="D299" s="26"/>
      <c r="E299" s="26"/>
      <c r="F299" s="26"/>
      <c r="G299" s="26"/>
      <c r="H299" s="26"/>
      <c r="I299" s="126"/>
      <c r="J299" s="26"/>
      <c r="K299" s="26"/>
      <c r="L299" s="26"/>
      <c r="M299" s="83">
        <f>C$158*(0.4*D$14)*('Product half-life and C flows'!B160/100)</f>
        <v>0.19338564326258395</v>
      </c>
      <c r="N299" s="85"/>
      <c r="O299" s="85">
        <f t="shared" si="107"/>
        <v>5.9794671475617367</v>
      </c>
      <c r="P299" s="85">
        <f t="shared" si="107"/>
        <v>12.300618132127003</v>
      </c>
      <c r="Q299" s="83">
        <f>C$158*(0.6*C$15)*('Product half-life and C flows'!L160/100)</f>
        <v>4.380761786807482</v>
      </c>
      <c r="R299" s="85">
        <f>C$158*0.6*('Product half-life and C flows'!N160/100)</f>
        <v>22.72848569731033</v>
      </c>
      <c r="S299" s="85">
        <f>C$158*0.6*('Product half-life and C flows'!P160/100)</f>
        <v>11.352889958696458</v>
      </c>
      <c r="T299" s="85">
        <f t="shared" si="77"/>
        <v>11.038827979547648</v>
      </c>
      <c r="U299" s="3"/>
      <c r="V299" s="90">
        <f>N$238*(0.4*V$40)*('Product half-life and C flows'!B79/100)</f>
        <v>3.6719628351581863</v>
      </c>
      <c r="W299" s="90">
        <f t="shared" si="74"/>
        <v>83.403448969491279</v>
      </c>
      <c r="X299" s="89">
        <f t="shared" si="108"/>
        <v>6.8543306256286138</v>
      </c>
      <c r="Y299" s="89">
        <f t="shared" si="108"/>
        <v>14.100337287007433</v>
      </c>
      <c r="Z299" s="91">
        <f>N$238*(0.6*Z$41)*('Product half-life and C flows'!L79/100)</f>
        <v>17.486633001954708</v>
      </c>
      <c r="AA299" s="91">
        <f>N$238*0.6*('Product half-life and C flows'!N79/100)</f>
        <v>17.73566529397565</v>
      </c>
      <c r="AB299" s="91">
        <f>N$238*0.6*('Product half-life and C flows'!P79/100)</f>
        <v>8.8589736733145052</v>
      </c>
      <c r="AC299" s="89">
        <f t="shared" si="79"/>
        <v>25.116225792481988</v>
      </c>
      <c r="AD299" s="17"/>
      <c r="AE299">
        <f t="shared" si="90"/>
        <v>141</v>
      </c>
      <c r="AF299" s="3">
        <f t="shared" si="105"/>
        <v>39.218992223546429</v>
      </c>
      <c r="AG299" s="113">
        <f t="shared" si="91"/>
        <v>162.03637469814757</v>
      </c>
      <c r="AH299" s="124">
        <f t="shared" ref="AH299:AL318" si="111">D299+M299+V299</f>
        <v>3.8653484784207701</v>
      </c>
      <c r="AI299" s="124">
        <f t="shared" si="111"/>
        <v>83.403448969491279</v>
      </c>
      <c r="AJ299" s="124">
        <f t="shared" si="111"/>
        <v>12.833797773190351</v>
      </c>
      <c r="AK299" s="124">
        <f t="shared" si="111"/>
        <v>26.400955419134434</v>
      </c>
      <c r="AL299" s="124">
        <f t="shared" si="111"/>
        <v>21.867394788762191</v>
      </c>
      <c r="AM299" s="124">
        <f t="shared" si="110"/>
        <v>40.464150991285976</v>
      </c>
      <c r="AN299" s="124">
        <f t="shared" si="110"/>
        <v>20.211863632010964</v>
      </c>
      <c r="AO299" s="124">
        <f t="shared" si="110"/>
        <v>36.155053772029632</v>
      </c>
      <c r="AP299" s="3">
        <f t="shared" si="104"/>
        <v>205.18161157387519</v>
      </c>
    </row>
    <row r="300" spans="1:42" ht="14">
      <c r="A300">
        <f t="shared" si="106"/>
        <v>142</v>
      </c>
      <c r="B300" s="19">
        <f t="shared" si="106"/>
        <v>222</v>
      </c>
      <c r="C300" s="26">
        <f t="shared" si="103"/>
        <v>162.15365074030461</v>
      </c>
      <c r="D300" s="26"/>
      <c r="E300" s="26"/>
      <c r="F300" s="26"/>
      <c r="G300" s="26"/>
      <c r="H300" s="26"/>
      <c r="I300" s="126"/>
      <c r="J300" s="26"/>
      <c r="K300" s="26"/>
      <c r="L300" s="26"/>
      <c r="M300" s="83">
        <f>C$158*(0.4*D$14)*('Product half-life and C flows'!B161/100)</f>
        <v>0.18679821831983004</v>
      </c>
      <c r="N300" s="85"/>
      <c r="O300" s="85">
        <f t="shared" si="107"/>
        <v>5.9794671475617367</v>
      </c>
      <c r="P300" s="85">
        <f t="shared" si="107"/>
        <v>12.300618132127003</v>
      </c>
      <c r="Q300" s="83">
        <f>C$158*(0.6*C$15)*('Product half-life and C flows'!L161/100)</f>
        <v>4.3138007605607269</v>
      </c>
      <c r="R300" s="85">
        <f>C$158*0.6*('Product half-life and C flows'!N161/100)</f>
        <v>22.773171022158998</v>
      </c>
      <c r="S300" s="85">
        <f>C$158*0.6*('Product half-life and C flows'!P161/100)</f>
        <v>11.37521030077871</v>
      </c>
      <c r="T300" s="85">
        <f t="shared" si="77"/>
        <v>11.038827979547648</v>
      </c>
      <c r="U300" s="3"/>
      <c r="V300" s="90">
        <f>N$238*(0.4*V$40)*('Product half-life and C flows'!B80/100)</f>
        <v>3.5468823009411672</v>
      </c>
      <c r="W300" s="90">
        <f t="shared" si="74"/>
        <v>84.386103349369861</v>
      </c>
      <c r="X300" s="89">
        <f t="shared" si="108"/>
        <v>6.8543306256286138</v>
      </c>
      <c r="Y300" s="89">
        <f t="shared" si="108"/>
        <v>14.100337287007433</v>
      </c>
      <c r="Z300" s="91">
        <f>N$238*(0.6*Z$41)*('Product half-life and C flows'!L80/100)</f>
        <v>17.219345496174906</v>
      </c>
      <c r="AA300" s="91">
        <f>N$238*0.6*('Product half-life and C flows'!N80/100)</f>
        <v>17.91403515616604</v>
      </c>
      <c r="AB300" s="91">
        <f>N$238*0.6*('Product half-life and C flows'!P80/100)</f>
        <v>8.9480695085744415</v>
      </c>
      <c r="AC300" s="89">
        <f t="shared" si="79"/>
        <v>25.116225792481988</v>
      </c>
      <c r="AD300" s="17"/>
      <c r="AE300">
        <f t="shared" si="90"/>
        <v>142</v>
      </c>
      <c r="AF300" s="3">
        <f t="shared" si="105"/>
        <v>39.235443754365264</v>
      </c>
      <c r="AG300" s="113">
        <f t="shared" si="91"/>
        <v>162.15365074030461</v>
      </c>
      <c r="AH300" s="124">
        <f t="shared" si="111"/>
        <v>3.7336805192609974</v>
      </c>
      <c r="AI300" s="124">
        <f t="shared" si="111"/>
        <v>84.386103349369861</v>
      </c>
      <c r="AJ300" s="124">
        <f t="shared" si="111"/>
        <v>12.833797773190351</v>
      </c>
      <c r="AK300" s="124">
        <f t="shared" si="111"/>
        <v>26.400955419134434</v>
      </c>
      <c r="AL300" s="124">
        <f t="shared" si="111"/>
        <v>21.533146256735634</v>
      </c>
      <c r="AM300" s="124">
        <f t="shared" si="110"/>
        <v>40.687206178325042</v>
      </c>
      <c r="AN300" s="124">
        <f t="shared" si="110"/>
        <v>20.323279809353153</v>
      </c>
      <c r="AO300" s="124">
        <f t="shared" si="110"/>
        <v>36.155053772029632</v>
      </c>
      <c r="AP300" s="3">
        <f t="shared" si="104"/>
        <v>206.16448878610845</v>
      </c>
    </row>
    <row r="301" spans="1:42" ht="14">
      <c r="A301">
        <f t="shared" si="106"/>
        <v>143</v>
      </c>
      <c r="B301" s="19">
        <f t="shared" si="106"/>
        <v>223</v>
      </c>
      <c r="C301" s="26">
        <f t="shared" si="103"/>
        <v>162.26865946501934</v>
      </c>
      <c r="D301" s="26"/>
      <c r="E301" s="26"/>
      <c r="F301" s="26"/>
      <c r="G301" s="26"/>
      <c r="H301" s="26"/>
      <c r="I301" s="126"/>
      <c r="J301" s="26"/>
      <c r="K301" s="26"/>
      <c r="L301" s="26"/>
      <c r="M301" s="83">
        <f>C$158*(0.4*D$14)*('Product half-life and C flows'!B162/100)</f>
        <v>0.18043518525355842</v>
      </c>
      <c r="N301" s="85"/>
      <c r="O301" s="85">
        <f t="shared" si="107"/>
        <v>5.9794671475617367</v>
      </c>
      <c r="P301" s="85">
        <f t="shared" si="107"/>
        <v>12.300618132127003</v>
      </c>
      <c r="Q301" s="83">
        <f>C$158*(0.6*C$15)*('Product half-life and C flows'!L162/100)</f>
        <v>4.2478632501439186</v>
      </c>
      <c r="R301" s="85">
        <f>C$158*0.6*('Product half-life and C flows'!N162/100)</f>
        <v>22.817173320777147</v>
      </c>
      <c r="S301" s="85">
        <f>C$158*0.6*('Product half-life and C flows'!P162/100)</f>
        <v>11.397189470917647</v>
      </c>
      <c r="T301" s="85">
        <f t="shared" si="77"/>
        <v>11.038827979547648</v>
      </c>
      <c r="U301" s="3"/>
      <c r="V301" s="90">
        <f>N$238*(0.4*V$40)*('Product half-life and C flows'!B81/100)</f>
        <v>3.42606246889962</v>
      </c>
      <c r="W301" s="90">
        <f t="shared" si="74"/>
        <v>85.337468879830681</v>
      </c>
      <c r="X301" s="89">
        <f t="shared" si="108"/>
        <v>6.8543306256286138</v>
      </c>
      <c r="Y301" s="89">
        <f t="shared" si="108"/>
        <v>14.100337287007433</v>
      </c>
      <c r="Z301" s="91">
        <f>N$238*(0.6*Z$41)*('Product half-life and C flows'!L81/100)</f>
        <v>16.956143545958479</v>
      </c>
      <c r="AA301" s="91">
        <f>N$238*0.6*('Product half-life and C flows'!N81/100)</f>
        <v>18.089678590943798</v>
      </c>
      <c r="AB301" s="91">
        <f>N$238*0.6*('Product half-life and C flows'!P81/100)</f>
        <v>9.0358034919799159</v>
      </c>
      <c r="AC301" s="89">
        <f t="shared" si="79"/>
        <v>25.116225792481988</v>
      </c>
      <c r="AD301" s="17"/>
      <c r="AE301">
        <f t="shared" si="90"/>
        <v>143</v>
      </c>
      <c r="AF301" s="3">
        <f t="shared" si="105"/>
        <v>39.251254544473035</v>
      </c>
      <c r="AG301" s="113">
        <f t="shared" si="91"/>
        <v>162.26865946501934</v>
      </c>
      <c r="AH301" s="124">
        <f t="shared" si="111"/>
        <v>3.6064976541531784</v>
      </c>
      <c r="AI301" s="124">
        <f t="shared" si="111"/>
        <v>85.337468879830681</v>
      </c>
      <c r="AJ301" s="124">
        <f t="shared" si="111"/>
        <v>12.833797773190351</v>
      </c>
      <c r="AK301" s="124">
        <f t="shared" si="111"/>
        <v>26.400955419134434</v>
      </c>
      <c r="AL301" s="124">
        <f t="shared" si="111"/>
        <v>21.204006796102398</v>
      </c>
      <c r="AM301" s="124">
        <f t="shared" si="110"/>
        <v>40.906851911720949</v>
      </c>
      <c r="AN301" s="124">
        <f t="shared" si="110"/>
        <v>20.432992962897565</v>
      </c>
      <c r="AO301" s="124">
        <f t="shared" si="110"/>
        <v>36.155053772029632</v>
      </c>
      <c r="AP301" s="3">
        <f t="shared" si="104"/>
        <v>207.11607374287638</v>
      </c>
    </row>
    <row r="302" spans="1:42" ht="14">
      <c r="A302">
        <f t="shared" si="106"/>
        <v>144</v>
      </c>
      <c r="B302" s="19">
        <f t="shared" si="106"/>
        <v>224</v>
      </c>
      <c r="C302" s="26">
        <f t="shared" si="103"/>
        <v>162.38144362784706</v>
      </c>
      <c r="D302" s="26"/>
      <c r="E302" s="26"/>
      <c r="F302" s="26"/>
      <c r="G302" s="26"/>
      <c r="H302" s="26"/>
      <c r="I302" s="126"/>
      <c r="J302" s="26"/>
      <c r="K302" s="26"/>
      <c r="L302" s="26"/>
      <c r="M302" s="83">
        <f>C$158*(0.4*D$14)*('Product half-life and C flows'!B163/100)</f>
        <v>0.17428890045269671</v>
      </c>
      <c r="N302" s="85"/>
      <c r="O302" s="85">
        <f t="shared" si="107"/>
        <v>5.9794671475617367</v>
      </c>
      <c r="P302" s="85">
        <f t="shared" si="107"/>
        <v>12.300618132127003</v>
      </c>
      <c r="Q302" s="83">
        <f>C$158*(0.6*C$15)*('Product half-life and C flows'!L163/100)</f>
        <v>4.182933610864719</v>
      </c>
      <c r="R302" s="85">
        <f>C$158*0.6*('Product half-life and C flows'!N163/100)</f>
        <v>22.860503033389467</v>
      </c>
      <c r="S302" s="85">
        <f>C$158*0.6*('Product half-life and C flows'!P163/100)</f>
        <v>11.418832684010715</v>
      </c>
      <c r="T302" s="85">
        <f t="shared" si="77"/>
        <v>11.038827979547648</v>
      </c>
      <c r="U302" s="3"/>
      <c r="V302" s="90">
        <f>N$238*(0.4*V$40)*('Product half-life and C flows'!B82/100)</f>
        <v>3.309358203876092</v>
      </c>
      <c r="W302" s="90">
        <f t="shared" si="74"/>
        <v>86.258240697357081</v>
      </c>
      <c r="X302" s="89">
        <f t="shared" si="108"/>
        <v>6.8543306256286138</v>
      </c>
      <c r="Y302" s="89">
        <f t="shared" si="108"/>
        <v>14.100337287007433</v>
      </c>
      <c r="Z302" s="91">
        <f>N$238*(0.6*Z$41)*('Product half-life and C flows'!L82/100)</f>
        <v>16.696964702579258</v>
      </c>
      <c r="AA302" s="91">
        <f>N$238*0.6*('Product half-life and C flows'!N82/100)</f>
        <v>18.262637272425536</v>
      </c>
      <c r="AB302" s="91">
        <f>N$238*0.6*('Product half-life and C flows'!P82/100)</f>
        <v>9.1221964397729902</v>
      </c>
      <c r="AC302" s="89">
        <f t="shared" si="79"/>
        <v>25.116225792481988</v>
      </c>
      <c r="AD302" s="17"/>
      <c r="AE302">
        <f t="shared" si="90"/>
        <v>144</v>
      </c>
      <c r="AF302" s="3">
        <f t="shared" si="105"/>
        <v>39.266449385070032</v>
      </c>
      <c r="AG302" s="113">
        <f t="shared" si="91"/>
        <v>162.38144362784706</v>
      </c>
      <c r="AH302" s="124">
        <f t="shared" si="111"/>
        <v>3.4836471043287887</v>
      </c>
      <c r="AI302" s="124">
        <f t="shared" si="111"/>
        <v>86.258240697357081</v>
      </c>
      <c r="AJ302" s="124">
        <f t="shared" si="111"/>
        <v>12.833797773190351</v>
      </c>
      <c r="AK302" s="124">
        <f t="shared" si="111"/>
        <v>26.400955419134434</v>
      </c>
      <c r="AL302" s="124">
        <f t="shared" si="111"/>
        <v>20.879898313443977</v>
      </c>
      <c r="AM302" s="124">
        <f t="shared" si="110"/>
        <v>41.123140305814999</v>
      </c>
      <c r="AN302" s="124">
        <f t="shared" si="110"/>
        <v>20.541029123783705</v>
      </c>
      <c r="AO302" s="124">
        <f t="shared" si="110"/>
        <v>36.155053772029632</v>
      </c>
      <c r="AP302" s="3">
        <f t="shared" si="104"/>
        <v>208.03706163272457</v>
      </c>
    </row>
    <row r="303" spans="1:42" ht="14">
      <c r="A303">
        <f t="shared" si="106"/>
        <v>145</v>
      </c>
      <c r="B303" s="19">
        <f t="shared" si="106"/>
        <v>225</v>
      </c>
      <c r="C303" s="26">
        <f t="shared" si="103"/>
        <v>162.49204522092421</v>
      </c>
      <c r="D303" s="26"/>
      <c r="E303" s="26"/>
      <c r="F303" s="26"/>
      <c r="G303" s="26"/>
      <c r="H303" s="26"/>
      <c r="I303" s="126"/>
      <c r="J303" s="26"/>
      <c r="K303" s="26"/>
      <c r="L303" s="26"/>
      <c r="M303" s="83">
        <f>C$158*(0.4*D$14)*('Product half-life and C flows'!B164/100)</f>
        <v>0.16835198067562562</v>
      </c>
      <c r="N303" s="85"/>
      <c r="O303" s="85">
        <f t="shared" si="107"/>
        <v>5.9794671475617367</v>
      </c>
      <c r="P303" s="85">
        <f t="shared" si="107"/>
        <v>12.300618132127003</v>
      </c>
      <c r="Q303" s="83">
        <f>C$158*(0.6*C$15)*('Product half-life and C flows'!L164/100)</f>
        <v>4.1189964371637808</v>
      </c>
      <c r="R303" s="85">
        <f>C$158*0.6*('Product half-life and C flows'!N164/100)</f>
        <v>22.903170440639229</v>
      </c>
      <c r="S303" s="85">
        <f>C$158*0.6*('Product half-life and C flows'!P164/100)</f>
        <v>11.440145075244361</v>
      </c>
      <c r="T303" s="85">
        <f t="shared" si="77"/>
        <v>11.038827979547648</v>
      </c>
      <c r="U303" s="3"/>
      <c r="V303" s="90">
        <f>N$238*(0.4*V$40)*('Product half-life and C flows'!B83/100)</f>
        <v>3.1966293145493925</v>
      </c>
      <c r="W303" s="90">
        <f t="shared" ref="W303:W318" si="112">C$8*(1-EXP(-C$9*$B142))^3</f>
        <v>87.149124730306028</v>
      </c>
      <c r="X303" s="89">
        <f t="shared" si="108"/>
        <v>6.8543306256286138</v>
      </c>
      <c r="Y303" s="89">
        <f t="shared" si="108"/>
        <v>14.100337287007433</v>
      </c>
      <c r="Z303" s="91">
        <f>N$238*(0.6*Z$41)*('Product half-life and C flows'!L83/100)</f>
        <v>16.441747471855251</v>
      </c>
      <c r="AA303" s="91">
        <f>N$238*0.6*('Product half-life and C flows'!N83/100)</f>
        <v>18.432952237728689</v>
      </c>
      <c r="AB303" s="91">
        <f>N$238*0.6*('Product half-life and C flows'!P83/100)</f>
        <v>9.2072688500143265</v>
      </c>
      <c r="AC303" s="89">
        <f t="shared" si="79"/>
        <v>25.116225792481988</v>
      </c>
      <c r="AD303" s="17"/>
      <c r="AE303">
        <f t="shared" si="90"/>
        <v>145</v>
      </c>
      <c r="AF303" s="3">
        <f t="shared" si="105"/>
        <v>39.281052120790505</v>
      </c>
      <c r="AG303" s="113">
        <f t="shared" si="91"/>
        <v>162.49204522092421</v>
      </c>
      <c r="AH303" s="124">
        <f t="shared" si="111"/>
        <v>3.364981295225018</v>
      </c>
      <c r="AI303" s="124">
        <f t="shared" si="111"/>
        <v>87.149124730306028</v>
      </c>
      <c r="AJ303" s="124">
        <f t="shared" si="111"/>
        <v>12.833797773190351</v>
      </c>
      <c r="AK303" s="124">
        <f t="shared" si="111"/>
        <v>26.400955419134434</v>
      </c>
      <c r="AL303" s="124">
        <f t="shared" si="111"/>
        <v>20.560743909019031</v>
      </c>
      <c r="AM303" s="124">
        <f t="shared" si="110"/>
        <v>41.336122678367914</v>
      </c>
      <c r="AN303" s="124">
        <f t="shared" si="110"/>
        <v>20.647413925258689</v>
      </c>
      <c r="AO303" s="124">
        <f t="shared" si="110"/>
        <v>36.155053772029632</v>
      </c>
      <c r="AP303" s="3">
        <f t="shared" si="104"/>
        <v>208.92815843527646</v>
      </c>
    </row>
    <row r="304" spans="1:42" ht="14">
      <c r="A304">
        <f t="shared" ref="A304:B318" si="113">A303+1</f>
        <v>146</v>
      </c>
      <c r="B304" s="19">
        <f t="shared" si="113"/>
        <v>226</v>
      </c>
      <c r="C304" s="26">
        <f t="shared" si="103"/>
        <v>162.60050548486475</v>
      </c>
      <c r="D304" s="26"/>
      <c r="E304" s="26"/>
      <c r="F304" s="26"/>
      <c r="G304" s="26"/>
      <c r="H304" s="26"/>
      <c r="I304" s="126"/>
      <c r="J304" s="26"/>
      <c r="K304" s="26"/>
      <c r="L304" s="26"/>
      <c r="M304" s="83">
        <f>C$158*(0.4*D$14)*('Product half-life and C flows'!B165/100)</f>
        <v>0.16261729418104043</v>
      </c>
      <c r="N304" s="85"/>
      <c r="O304" s="85">
        <f t="shared" ref="O304:P318" si="114">O303</f>
        <v>5.9794671475617367</v>
      </c>
      <c r="P304" s="85">
        <f t="shared" si="114"/>
        <v>12.300618132127003</v>
      </c>
      <c r="Q304" s="83">
        <f>C$158*(0.6*C$15)*('Product half-life and C flows'!L165/100)</f>
        <v>4.0560365589595353</v>
      </c>
      <c r="R304" s="85">
        <f>C$158*0.6*('Product half-life and C flows'!N165/100)</f>
        <v>22.945185666027527</v>
      </c>
      <c r="S304" s="85">
        <f>C$158*0.6*('Product half-life and C flows'!P165/100)</f>
        <v>11.461131701312441</v>
      </c>
      <c r="T304" s="85">
        <f t="shared" si="77"/>
        <v>11.038827979547648</v>
      </c>
      <c r="U304" s="3"/>
      <c r="V304" s="90">
        <f>N$238*(0.4*V$40)*('Product half-life and C flows'!B84/100)</f>
        <v>3.0877403850293859</v>
      </c>
      <c r="W304" s="90">
        <f t="shared" si="112"/>
        <v>88.010834670654972</v>
      </c>
      <c r="X304" s="89">
        <f t="shared" si="108"/>
        <v>6.8543306256286138</v>
      </c>
      <c r="Y304" s="89">
        <f t="shared" si="108"/>
        <v>14.100337287007433</v>
      </c>
      <c r="Z304" s="91">
        <f>N$238*(0.6*Z$41)*('Product half-life and C flows'!L84/100)</f>
        <v>16.190431299558252</v>
      </c>
      <c r="AA304" s="91">
        <f>N$238*0.6*('Product half-life and C flows'!N84/100)</f>
        <v>18.600663896708216</v>
      </c>
      <c r="AB304" s="91">
        <f>N$238*0.6*('Product half-life and C flows'!P84/100)</f>
        <v>9.2910409074466589</v>
      </c>
      <c r="AC304" s="89">
        <f t="shared" si="79"/>
        <v>25.116225792481988</v>
      </c>
      <c r="AD304" s="17"/>
      <c r="AE304">
        <f t="shared" si="90"/>
        <v>146</v>
      </c>
      <c r="AF304" s="3">
        <f t="shared" si="105"/>
        <v>39.295085684863707</v>
      </c>
      <c r="AG304" s="113">
        <f t="shared" si="91"/>
        <v>162.60050548486475</v>
      </c>
      <c r="AH304" s="124">
        <f t="shared" si="111"/>
        <v>3.2503576792104263</v>
      </c>
      <c r="AI304" s="124">
        <f t="shared" si="111"/>
        <v>88.010834670654972</v>
      </c>
      <c r="AJ304" s="124">
        <f t="shared" si="111"/>
        <v>12.833797773190351</v>
      </c>
      <c r="AK304" s="124">
        <f t="shared" si="111"/>
        <v>26.400955419134434</v>
      </c>
      <c r="AL304" s="124">
        <f t="shared" si="111"/>
        <v>20.246467858517789</v>
      </c>
      <c r="AM304" s="124">
        <f t="shared" si="110"/>
        <v>41.545849562735739</v>
      </c>
      <c r="AN304" s="124">
        <f t="shared" si="110"/>
        <v>20.7521726087591</v>
      </c>
      <c r="AO304" s="124">
        <f t="shared" si="110"/>
        <v>36.155053772029632</v>
      </c>
      <c r="AP304" s="3">
        <f t="shared" si="104"/>
        <v>209.79007789299237</v>
      </c>
    </row>
    <row r="305" spans="1:42" ht="14">
      <c r="A305">
        <f t="shared" si="113"/>
        <v>147</v>
      </c>
      <c r="B305" s="19">
        <f t="shared" si="113"/>
        <v>227</v>
      </c>
      <c r="C305" s="26">
        <f t="shared" si="103"/>
        <v>162.70686492054548</v>
      </c>
      <c r="D305" s="26"/>
      <c r="E305" s="26"/>
      <c r="F305" s="26"/>
      <c r="G305" s="26"/>
      <c r="H305" s="26"/>
      <c r="I305" s="126"/>
      <c r="J305" s="26"/>
      <c r="K305" s="26"/>
      <c r="L305" s="26"/>
      <c r="M305" s="83">
        <f>C$158*(0.4*D$14)*('Product half-life and C flows'!B166/100)</f>
        <v>0.1570779521609259</v>
      </c>
      <c r="N305" s="85"/>
      <c r="O305" s="85">
        <f t="shared" si="114"/>
        <v>5.9794671475617367</v>
      </c>
      <c r="P305" s="85">
        <f t="shared" si="114"/>
        <v>12.300618132127003</v>
      </c>
      <c r="Q305" s="83">
        <f>C$158*(0.6*C$15)*('Product half-life and C flows'!L166/100)</f>
        <v>3.9940390380488586</v>
      </c>
      <c r="R305" s="85">
        <f>C$158*0.6*('Product half-life and C flows'!N166/100)</f>
        <v>22.986558678315252</v>
      </c>
      <c r="S305" s="85">
        <f>C$158*0.6*('Product half-life and C flows'!P166/100)</f>
        <v>11.481797541616</v>
      </c>
      <c r="T305" s="85">
        <f t="shared" ref="T305:T318" si="115">T304</f>
        <v>11.038827979547648</v>
      </c>
      <c r="U305" s="3"/>
      <c r="V305" s="90">
        <f>N$238*(0.4*V$40)*('Product half-life and C flows'!B85/100)</f>
        <v>2.9825606121882742</v>
      </c>
      <c r="W305" s="90">
        <f t="shared" si="112"/>
        <v>88.84408922856835</v>
      </c>
      <c r="X305" s="89">
        <f t="shared" ref="X305:Y318" si="116">X304</f>
        <v>6.8543306256286138</v>
      </c>
      <c r="Y305" s="89">
        <f t="shared" si="116"/>
        <v>14.100337287007433</v>
      </c>
      <c r="Z305" s="91">
        <f>N$238*(0.6*Z$41)*('Product half-life and C flows'!L85/100)</f>
        <v>15.942956557046386</v>
      </c>
      <c r="AA305" s="91">
        <f>N$238*0.6*('Product half-life and C flows'!N85/100)</f>
        <v>18.765812041544468</v>
      </c>
      <c r="AB305" s="91">
        <f>N$238*0.6*('Product half-life and C flows'!P85/100)</f>
        <v>9.3735324882839475</v>
      </c>
      <c r="AC305" s="89">
        <f t="shared" ref="AC305:AC318" si="117">AC304</f>
        <v>25.116225792481988</v>
      </c>
      <c r="AD305" s="17"/>
      <c r="AE305">
        <f t="shared" si="90"/>
        <v>147</v>
      </c>
      <c r="AF305" s="3">
        <f t="shared" si="105"/>
        <v>39.308572133045466</v>
      </c>
      <c r="AG305" s="113">
        <f t="shared" si="91"/>
        <v>162.70686492054548</v>
      </c>
      <c r="AH305" s="124">
        <f t="shared" si="111"/>
        <v>3.1396385643492</v>
      </c>
      <c r="AI305" s="124">
        <f t="shared" si="111"/>
        <v>88.84408922856835</v>
      </c>
      <c r="AJ305" s="124">
        <f t="shared" si="111"/>
        <v>12.833797773190351</v>
      </c>
      <c r="AK305" s="124">
        <f t="shared" si="111"/>
        <v>26.400955419134434</v>
      </c>
      <c r="AL305" s="124">
        <f t="shared" si="111"/>
        <v>19.936995595095244</v>
      </c>
      <c r="AM305" s="124">
        <f t="shared" si="110"/>
        <v>41.752370719859719</v>
      </c>
      <c r="AN305" s="124">
        <f t="shared" si="110"/>
        <v>20.855330029899946</v>
      </c>
      <c r="AO305" s="124">
        <f t="shared" si="110"/>
        <v>36.155053772029632</v>
      </c>
      <c r="AP305" s="3">
        <f t="shared" si="104"/>
        <v>210.62353876574804</v>
      </c>
    </row>
    <row r="306" spans="1:42" ht="14">
      <c r="A306">
        <f t="shared" si="113"/>
        <v>148</v>
      </c>
      <c r="B306" s="19">
        <f t="shared" si="113"/>
        <v>228</v>
      </c>
      <c r="C306" s="26">
        <f t="shared" si="103"/>
        <v>162.81116330077649</v>
      </c>
      <c r="D306" s="26"/>
      <c r="E306" s="26"/>
      <c r="F306" s="26"/>
      <c r="G306" s="26"/>
      <c r="H306" s="26"/>
      <c r="I306" s="126"/>
      <c r="J306" s="26"/>
      <c r="K306" s="26"/>
      <c r="L306" s="26"/>
      <c r="M306" s="83">
        <f>C$158*(0.4*D$14)*('Product half-life and C flows'!B167/100)</f>
        <v>0.15172730046535718</v>
      </c>
      <c r="N306" s="85"/>
      <c r="O306" s="85">
        <f t="shared" si="114"/>
        <v>5.9794671475617367</v>
      </c>
      <c r="P306" s="85">
        <f t="shared" si="114"/>
        <v>12.300618132127003</v>
      </c>
      <c r="Q306" s="83">
        <f>C$158*(0.6*C$15)*('Product half-life and C flows'!L167/100)</f>
        <v>3.9329891645627564</v>
      </c>
      <c r="R306" s="85">
        <f>C$158*0.6*('Product half-life and C flows'!N167/100)</f>
        <v>23.027299293888309</v>
      </c>
      <c r="S306" s="85">
        <f>C$158*0.6*('Product half-life and C flows'!P167/100)</f>
        <v>11.502147499444701</v>
      </c>
      <c r="T306" s="85">
        <f t="shared" si="115"/>
        <v>11.038827979547648</v>
      </c>
      <c r="U306" s="3"/>
      <c r="V306" s="90">
        <f>N$238*(0.4*V$40)*('Product half-life and C flows'!B86/100)</f>
        <v>2.8809636485329815</v>
      </c>
      <c r="W306" s="90">
        <f t="shared" si="112"/>
        <v>89.649609650172877</v>
      </c>
      <c r="X306" s="89">
        <f t="shared" si="116"/>
        <v>6.8543306256286138</v>
      </c>
      <c r="Y306" s="89">
        <f t="shared" si="116"/>
        <v>14.100337287007433</v>
      </c>
      <c r="Z306" s="91">
        <f>N$238*(0.6*Z$41)*('Product half-life and C flows'!L86/100)</f>
        <v>15.699264527116307</v>
      </c>
      <c r="AA306" s="91">
        <f>N$238*0.6*('Product half-life and C flows'!N86/100)</f>
        <v>18.928435856184475</v>
      </c>
      <c r="AB306" s="91">
        <f>N$238*0.6*('Product half-life and C flows'!P86/100)</f>
        <v>9.4547631649273089</v>
      </c>
      <c r="AC306" s="89">
        <f t="shared" si="117"/>
        <v>25.116225792481988</v>
      </c>
      <c r="AD306" s="17"/>
      <c r="AE306">
        <f t="shared" si="90"/>
        <v>148</v>
      </c>
      <c r="AF306" s="3">
        <f t="shared" si="105"/>
        <v>39.321532676357542</v>
      </c>
      <c r="AG306" s="113">
        <f t="shared" si="91"/>
        <v>162.81116330077649</v>
      </c>
      <c r="AH306" s="124">
        <f t="shared" si="111"/>
        <v>3.0326909489983387</v>
      </c>
      <c r="AI306" s="124">
        <f t="shared" si="111"/>
        <v>89.649609650172877</v>
      </c>
      <c r="AJ306" s="124">
        <f t="shared" si="111"/>
        <v>12.833797773190351</v>
      </c>
      <c r="AK306" s="124">
        <f t="shared" si="111"/>
        <v>26.400955419134434</v>
      </c>
      <c r="AL306" s="124">
        <f t="shared" si="111"/>
        <v>19.632253691679065</v>
      </c>
      <c r="AM306" s="124">
        <f t="shared" si="110"/>
        <v>41.955735150072783</v>
      </c>
      <c r="AN306" s="124">
        <f t="shared" si="110"/>
        <v>20.95691066437201</v>
      </c>
      <c r="AO306" s="124">
        <f t="shared" si="110"/>
        <v>36.155053772029632</v>
      </c>
      <c r="AP306" s="3">
        <f t="shared" si="104"/>
        <v>211.42926234862153</v>
      </c>
    </row>
    <row r="307" spans="1:42" ht="14">
      <c r="A307">
        <f t="shared" si="113"/>
        <v>149</v>
      </c>
      <c r="B307" s="19">
        <f t="shared" si="113"/>
        <v>229</v>
      </c>
      <c r="C307" s="26">
        <f t="shared" si="103"/>
        <v>162.91343968185561</v>
      </c>
      <c r="D307" s="26"/>
      <c r="E307" s="26"/>
      <c r="F307" s="26"/>
      <c r="G307" s="26"/>
      <c r="H307" s="26"/>
      <c r="I307" s="126"/>
      <c r="J307" s="26"/>
      <c r="K307" s="26"/>
      <c r="L307" s="26"/>
      <c r="M307" s="83">
        <f>C$158*(0.4*D$14)*('Product half-life and C flows'!B168/100)</f>
        <v>0.14655891160918411</v>
      </c>
      <c r="N307" s="85"/>
      <c r="O307" s="85">
        <f t="shared" si="114"/>
        <v>5.9794671475617367</v>
      </c>
      <c r="P307" s="85">
        <f t="shared" si="114"/>
        <v>12.300618132127003</v>
      </c>
      <c r="Q307" s="83">
        <f>C$158*(0.6*C$15)*('Product half-life and C flows'!L168/100)</f>
        <v>3.87287245347621</v>
      </c>
      <c r="R307" s="85">
        <f>C$158*0.6*('Product half-life and C flows'!N168/100)</f>
        <v>23.067417179086732</v>
      </c>
      <c r="S307" s="85">
        <f>C$158*0.6*('Product half-life and C flows'!P168/100)</f>
        <v>11.522186403140216</v>
      </c>
      <c r="T307" s="85">
        <f t="shared" si="115"/>
        <v>11.038827979547648</v>
      </c>
      <c r="U307" s="3"/>
      <c r="V307" s="90">
        <f>N$238*(0.4*V$40)*('Product half-life and C flows'!B87/100)</f>
        <v>2.7828274504298767</v>
      </c>
      <c r="W307" s="90">
        <f t="shared" si="112"/>
        <v>90.428117479893075</v>
      </c>
      <c r="X307" s="89">
        <f t="shared" si="116"/>
        <v>6.8543306256286138</v>
      </c>
      <c r="Y307" s="89">
        <f t="shared" si="116"/>
        <v>14.100337287007433</v>
      </c>
      <c r="Z307" s="91">
        <f>N$238*(0.6*Z$41)*('Product half-life and C flows'!L87/100)</f>
        <v>15.459297390071617</v>
      </c>
      <c r="AA307" s="91">
        <f>N$238*0.6*('Product half-life and C flows'!N87/100)</f>
        <v>19.088573925638968</v>
      </c>
      <c r="AB307" s="91">
        <f>N$238*0.6*('Product half-life and C flows'!P87/100)</f>
        <v>9.5347522106088718</v>
      </c>
      <c r="AC307" s="89">
        <f t="shared" si="117"/>
        <v>25.116225792481988</v>
      </c>
      <c r="AD307" s="17"/>
      <c r="AE307">
        <f t="shared" si="90"/>
        <v>149</v>
      </c>
      <c r="AF307" s="3">
        <f t="shared" si="105"/>
        <v>39.333987712670748</v>
      </c>
      <c r="AG307" s="113">
        <f t="shared" si="91"/>
        <v>162.91343968185561</v>
      </c>
      <c r="AH307" s="124">
        <f t="shared" si="111"/>
        <v>2.929386362039061</v>
      </c>
      <c r="AI307" s="124">
        <f t="shared" si="111"/>
        <v>90.428117479893075</v>
      </c>
      <c r="AJ307" s="124">
        <f t="shared" si="111"/>
        <v>12.833797773190351</v>
      </c>
      <c r="AK307" s="124">
        <f t="shared" si="111"/>
        <v>26.400955419134434</v>
      </c>
      <c r="AL307" s="124">
        <f t="shared" si="111"/>
        <v>19.332169843547828</v>
      </c>
      <c r="AM307" s="124">
        <f t="shared" si="110"/>
        <v>42.1559911047257</v>
      </c>
      <c r="AN307" s="124">
        <f t="shared" si="110"/>
        <v>21.056938613749089</v>
      </c>
      <c r="AO307" s="124">
        <f t="shared" si="110"/>
        <v>36.155053772029632</v>
      </c>
      <c r="AP307" s="3">
        <f t="shared" si="104"/>
        <v>212.20797023424049</v>
      </c>
    </row>
    <row r="308" spans="1:42" ht="14">
      <c r="A308">
        <f t="shared" si="113"/>
        <v>150</v>
      </c>
      <c r="B308" s="19">
        <f t="shared" si="113"/>
        <v>230</v>
      </c>
      <c r="C308" s="26">
        <f t="shared" si="103"/>
        <v>163.01373241500369</v>
      </c>
      <c r="D308" s="26"/>
      <c r="E308" s="26"/>
      <c r="F308" s="26"/>
      <c r="G308" s="26"/>
      <c r="H308" s="26"/>
      <c r="I308" s="126"/>
      <c r="J308" s="26"/>
      <c r="K308" s="26"/>
      <c r="L308" s="26"/>
      <c r="M308" s="83">
        <f>C$158*(0.4*D$14)*('Product half-life and C flows'!B169/100)</f>
        <v>0.14156657705099626</v>
      </c>
      <c r="N308" s="85"/>
      <c r="O308" s="85">
        <f t="shared" si="114"/>
        <v>5.9794671475617367</v>
      </c>
      <c r="P308" s="85">
        <f t="shared" si="114"/>
        <v>12.300618132127003</v>
      </c>
      <c r="Q308" s="83">
        <f>C$158*(0.6*C$15)*('Product half-life and C flows'!L169/100)</f>
        <v>3.8136746411713891</v>
      </c>
      <c r="R308" s="85">
        <f>C$158*0.6*('Product half-life and C flows'!N169/100)</f>
        <v>23.10692185249815</v>
      </c>
      <c r="S308" s="85">
        <f>C$158*0.6*('Product half-life and C flows'!P169/100)</f>
        <v>11.541919007241825</v>
      </c>
      <c r="T308" s="85">
        <f t="shared" si="115"/>
        <v>11.038827979547648</v>
      </c>
      <c r="U308" s="3"/>
      <c r="V308" s="90">
        <f>N$238*(0.4*V$40)*('Product half-life and C flows'!B88/100)</f>
        <v>2.6880341314995233</v>
      </c>
      <c r="W308" s="90">
        <f t="shared" si="112"/>
        <v>91.18033254965907</v>
      </c>
      <c r="X308" s="89">
        <f t="shared" si="116"/>
        <v>6.8543306256286138</v>
      </c>
      <c r="Y308" s="89">
        <f t="shared" si="116"/>
        <v>14.100337287007433</v>
      </c>
      <c r="Z308" s="91">
        <f>N$238*(0.6*Z$41)*('Product half-life and C flows'!L88/100)</f>
        <v>15.222998210004262</v>
      </c>
      <c r="AA308" s="91">
        <f>N$238*0.6*('Product half-life and C flows'!N88/100)</f>
        <v>19.246264245137247</v>
      </c>
      <c r="AB308" s="91">
        <f>N$238*0.6*('Product half-life and C flows'!P88/100)</f>
        <v>9.6135186039646552</v>
      </c>
      <c r="AC308" s="89">
        <f t="shared" si="117"/>
        <v>25.116225792481988</v>
      </c>
      <c r="AD308" s="17"/>
      <c r="AE308">
        <f t="shared" si="90"/>
        <v>150</v>
      </c>
      <c r="AF308" s="3">
        <f t="shared" si="105"/>
        <v>39.345956857167501</v>
      </c>
      <c r="AG308" s="113">
        <f t="shared" si="91"/>
        <v>163.01373241500369</v>
      </c>
      <c r="AH308" s="124">
        <f t="shared" si="111"/>
        <v>2.8296007085505197</v>
      </c>
      <c r="AI308" s="124">
        <f t="shared" si="111"/>
        <v>91.18033254965907</v>
      </c>
      <c r="AJ308" s="124">
        <f t="shared" si="111"/>
        <v>12.833797773190351</v>
      </c>
      <c r="AK308" s="124">
        <f t="shared" si="111"/>
        <v>26.400955419134434</v>
      </c>
      <c r="AL308" s="124">
        <f t="shared" si="111"/>
        <v>19.036672851175652</v>
      </c>
      <c r="AM308" s="124">
        <f t="shared" si="110"/>
        <v>42.353186097635401</v>
      </c>
      <c r="AN308" s="124">
        <f t="shared" si="110"/>
        <v>21.15543761120648</v>
      </c>
      <c r="AO308" s="124">
        <f t="shared" si="110"/>
        <v>36.155053772029632</v>
      </c>
      <c r="AP308" s="3">
        <f t="shared" si="104"/>
        <v>212.96038230200139</v>
      </c>
    </row>
    <row r="309" spans="1:42" ht="14">
      <c r="A309">
        <f t="shared" si="113"/>
        <v>151</v>
      </c>
      <c r="B309" s="19">
        <f t="shared" si="113"/>
        <v>231</v>
      </c>
      <c r="C309" s="26">
        <f t="shared" si="103"/>
        <v>163.11207915767986</v>
      </c>
      <c r="D309" s="26"/>
      <c r="E309" s="26"/>
      <c r="F309" s="26"/>
      <c r="G309" s="26"/>
      <c r="H309" s="26"/>
      <c r="I309" s="126"/>
      <c r="J309" s="26"/>
      <c r="K309" s="26"/>
      <c r="L309" s="26"/>
      <c r="M309" s="83">
        <f>C$158*(0.4*D$14)*('Product half-life and C flows'!B170/100)</f>
        <v>0.13674429973509566</v>
      </c>
      <c r="N309" s="85"/>
      <c r="O309" s="85">
        <f t="shared" si="114"/>
        <v>5.9794671475617367</v>
      </c>
      <c r="P309" s="85">
        <f t="shared" si="114"/>
        <v>12.300618132127003</v>
      </c>
      <c r="Q309" s="83">
        <f>C$158*(0.6*C$15)*('Product half-life and C flows'!L170/100)</f>
        <v>3.7553816820533905</v>
      </c>
      <c r="R309" s="85">
        <f>C$158*0.6*('Product half-life and C flows'!N170/100)</f>
        <v>23.145822687216228</v>
      </c>
      <c r="S309" s="85">
        <f>C$158*0.6*('Product half-life and C flows'!P170/100)</f>
        <v>11.56134999361449</v>
      </c>
      <c r="T309" s="85">
        <f t="shared" si="115"/>
        <v>11.038827979547648</v>
      </c>
      <c r="U309" s="3"/>
      <c r="V309" s="90">
        <f>N$238*(0.4*V$40)*('Product half-life and C flows'!B89/100)</f>
        <v>2.5964698210053343</v>
      </c>
      <c r="W309" s="90">
        <f t="shared" si="112"/>
        <v>91.906971178250416</v>
      </c>
      <c r="X309" s="89">
        <f t="shared" si="116"/>
        <v>6.8543306256286138</v>
      </c>
      <c r="Y309" s="89">
        <f t="shared" si="116"/>
        <v>14.100337287007433</v>
      </c>
      <c r="Z309" s="91">
        <f>N$238*(0.6*Z$41)*('Product half-life and C flows'!L89/100)</f>
        <v>14.990310921285639</v>
      </c>
      <c r="AA309" s="91">
        <f>N$238*0.6*('Product half-life and C flows'!N89/100)</f>
        <v>19.401544229142143</v>
      </c>
      <c r="AB309" s="91">
        <f>N$238*0.6*('Product half-life and C flows'!P89/100)</f>
        <v>9.6910810335375288</v>
      </c>
      <c r="AC309" s="89">
        <f t="shared" si="117"/>
        <v>25.116225792481988</v>
      </c>
      <c r="AD309" s="17"/>
      <c r="AE309">
        <f t="shared" si="90"/>
        <v>151</v>
      </c>
      <c r="AF309" s="3">
        <f t="shared" si="105"/>
        <v>39.357458971718664</v>
      </c>
      <c r="AG309" s="113">
        <f t="shared" si="91"/>
        <v>163.11207915767986</v>
      </c>
      <c r="AH309" s="124">
        <f t="shared" si="111"/>
        <v>2.7332141207404299</v>
      </c>
      <c r="AI309" s="124">
        <f t="shared" si="111"/>
        <v>91.906971178250416</v>
      </c>
      <c r="AJ309" s="124">
        <f t="shared" si="111"/>
        <v>12.833797773190351</v>
      </c>
      <c r="AK309" s="124">
        <f t="shared" si="111"/>
        <v>26.400955419134434</v>
      </c>
      <c r="AL309" s="124">
        <f t="shared" si="111"/>
        <v>18.74569260333903</v>
      </c>
      <c r="AM309" s="124">
        <f t="shared" si="110"/>
        <v>42.547366916358371</v>
      </c>
      <c r="AN309" s="124">
        <f t="shared" si="110"/>
        <v>21.252431027152021</v>
      </c>
      <c r="AO309" s="124">
        <f t="shared" si="110"/>
        <v>36.155053772029632</v>
      </c>
      <c r="AP309" s="3">
        <f t="shared" si="104"/>
        <v>213.68721491742465</v>
      </c>
    </row>
    <row r="310" spans="1:42" ht="14">
      <c r="A310">
        <f t="shared" si="113"/>
        <v>152</v>
      </c>
      <c r="B310" s="19">
        <f t="shared" si="113"/>
        <v>232</v>
      </c>
      <c r="C310" s="26">
        <f t="shared" si="103"/>
        <v>163.2085168847747</v>
      </c>
      <c r="D310" s="26"/>
      <c r="E310" s="26"/>
      <c r="F310" s="26"/>
      <c r="G310" s="26"/>
      <c r="H310" s="26"/>
      <c r="I310" s="126"/>
      <c r="J310" s="26"/>
      <c r="K310" s="26"/>
      <c r="L310" s="26"/>
      <c r="M310" s="83">
        <f>C$158*(0.4*D$14)*('Product half-life and C flows'!B171/100)</f>
        <v>0.132086286887517</v>
      </c>
      <c r="N310" s="85"/>
      <c r="O310" s="85">
        <f t="shared" si="114"/>
        <v>5.9794671475617367</v>
      </c>
      <c r="P310" s="85">
        <f t="shared" si="114"/>
        <v>12.300618132127003</v>
      </c>
      <c r="Q310" s="83">
        <f>C$158*(0.6*C$15)*('Product half-life and C flows'!L171/100)</f>
        <v>3.6979797452176926</v>
      </c>
      <c r="R310" s="85">
        <f>C$158*0.6*('Product half-life and C flows'!N171/100)</f>
        <v>23.18412891306458</v>
      </c>
      <c r="S310" s="85">
        <f>C$158*0.6*('Product half-life and C flows'!P171/100)</f>
        <v>11.580483972559723</v>
      </c>
      <c r="T310" s="85">
        <f t="shared" si="115"/>
        <v>11.038827979547648</v>
      </c>
      <c r="U310" s="3"/>
      <c r="V310" s="90">
        <f>N$238*(0.4*V$40)*('Product half-life and C flows'!B90/100)</f>
        <v>2.508024527066044</v>
      </c>
      <c r="W310" s="90">
        <f t="shared" si="112"/>
        <v>92.608744564975808</v>
      </c>
      <c r="X310" s="89">
        <f t="shared" si="116"/>
        <v>6.8543306256286138</v>
      </c>
      <c r="Y310" s="89">
        <f t="shared" si="116"/>
        <v>14.100337287007433</v>
      </c>
      <c r="Z310" s="91">
        <f>N$238*(0.6*Z$41)*('Product half-life and C flows'!L90/100)</f>
        <v>14.761180315264097</v>
      </c>
      <c r="AA310" s="91">
        <f>N$238*0.6*('Product half-life and C flows'!N90/100)</f>
        <v>19.554450720227184</v>
      </c>
      <c r="AB310" s="91">
        <f>N$238*0.6*('Product half-life and C flows'!P90/100)</f>
        <v>9.7674579022113779</v>
      </c>
      <c r="AC310" s="89">
        <f t="shared" si="117"/>
        <v>25.116225792481988</v>
      </c>
      <c r="AD310" s="17"/>
      <c r="AE310">
        <f t="shared" si="90"/>
        <v>152</v>
      </c>
      <c r="AF310" s="3">
        <f t="shared" si="105"/>
        <v>39.36851219320917</v>
      </c>
      <c r="AG310" s="113">
        <f t="shared" si="91"/>
        <v>163.2085168847747</v>
      </c>
      <c r="AH310" s="124">
        <f t="shared" si="111"/>
        <v>2.640110813953561</v>
      </c>
      <c r="AI310" s="124">
        <f t="shared" si="111"/>
        <v>92.608744564975808</v>
      </c>
      <c r="AJ310" s="124">
        <f t="shared" si="111"/>
        <v>12.833797773190351</v>
      </c>
      <c r="AK310" s="124">
        <f t="shared" si="111"/>
        <v>26.400955419134434</v>
      </c>
      <c r="AL310" s="124">
        <f t="shared" si="111"/>
        <v>18.459160060481789</v>
      </c>
      <c r="AM310" s="124">
        <f t="shared" si="110"/>
        <v>42.738579633291764</v>
      </c>
      <c r="AN310" s="124">
        <f t="shared" si="110"/>
        <v>21.347941874771102</v>
      </c>
      <c r="AO310" s="124">
        <f t="shared" si="110"/>
        <v>36.155053772029632</v>
      </c>
      <c r="AP310" s="3">
        <f t="shared" si="104"/>
        <v>214.38917932584525</v>
      </c>
    </row>
    <row r="311" spans="1:42" ht="14">
      <c r="A311">
        <f t="shared" si="113"/>
        <v>153</v>
      </c>
      <c r="B311" s="19">
        <f t="shared" si="113"/>
        <v>233</v>
      </c>
      <c r="C311" s="26">
        <f t="shared" si="103"/>
        <v>163.3030818996792</v>
      </c>
      <c r="D311" s="26"/>
      <c r="E311" s="26"/>
      <c r="F311" s="26"/>
      <c r="G311" s="26"/>
      <c r="H311" s="26"/>
      <c r="I311" s="126"/>
      <c r="J311" s="26"/>
      <c r="K311" s="26"/>
      <c r="L311" s="26"/>
      <c r="M311" s="83">
        <f>C$158*(0.4*D$14)*('Product half-life and C flows'!B172/100)</f>
        <v>0.12758694305744206</v>
      </c>
      <c r="N311" s="85"/>
      <c r="O311" s="85">
        <f t="shared" si="114"/>
        <v>5.9794671475617367</v>
      </c>
      <c r="P311" s="85">
        <f t="shared" si="114"/>
        <v>12.300618132127003</v>
      </c>
      <c r="Q311" s="83">
        <f>C$158*(0.6*C$15)*('Product half-life and C flows'!L172/100)</f>
        <v>3.6414552111685716</v>
      </c>
      <c r="R311" s="85">
        <f>C$158*0.6*('Product half-life and C flows'!N172/100)</f>
        <v>23.221849618786692</v>
      </c>
      <c r="S311" s="85">
        <f>C$158*0.6*('Product half-life and C flows'!P172/100)</f>
        <v>11.59932548390943</v>
      </c>
      <c r="T311" s="85">
        <f t="shared" si="115"/>
        <v>11.038827979547648</v>
      </c>
      <c r="U311" s="3"/>
      <c r="V311" s="90">
        <f>N$238*(0.4*V$40)*('Product half-life and C flows'!B91/100)</f>
        <v>2.4225920045276461</v>
      </c>
      <c r="W311" s="90">
        <f t="shared" si="112"/>
        <v>93.286357362803088</v>
      </c>
      <c r="X311" s="89">
        <f t="shared" si="116"/>
        <v>6.8543306256286138</v>
      </c>
      <c r="Y311" s="89">
        <f t="shared" si="116"/>
        <v>14.100337287007433</v>
      </c>
      <c r="Z311" s="91">
        <f>N$238*(0.6*Z$41)*('Product half-life and C flows'!L91/100)</f>
        <v>14.535552027165874</v>
      </c>
      <c r="AA311" s="91">
        <f>N$238*0.6*('Product half-life and C flows'!N91/100)</f>
        <v>19.705019997818066</v>
      </c>
      <c r="AB311" s="91">
        <f>N$238*0.6*('Product half-life and C flows'!P91/100)</f>
        <v>9.8426673315774522</v>
      </c>
      <c r="AC311" s="89">
        <f t="shared" si="117"/>
        <v>25.116225792481988</v>
      </c>
      <c r="AD311" s="17"/>
      <c r="AE311">
        <f t="shared" si="90"/>
        <v>153</v>
      </c>
      <c r="AF311" s="3">
        <f t="shared" si="105"/>
        <v>39.3791339608456</v>
      </c>
      <c r="AG311" s="113">
        <f t="shared" si="91"/>
        <v>163.3030818996792</v>
      </c>
      <c r="AH311" s="124">
        <f t="shared" si="111"/>
        <v>2.550178947585088</v>
      </c>
      <c r="AI311" s="124">
        <f t="shared" si="111"/>
        <v>93.286357362803088</v>
      </c>
      <c r="AJ311" s="124">
        <f t="shared" si="111"/>
        <v>12.833797773190351</v>
      </c>
      <c r="AK311" s="124">
        <f t="shared" si="111"/>
        <v>26.400955419134434</v>
      </c>
      <c r="AL311" s="124">
        <f t="shared" si="111"/>
        <v>18.177007238334447</v>
      </c>
      <c r="AM311" s="124">
        <f t="shared" si="110"/>
        <v>42.926869616604762</v>
      </c>
      <c r="AN311" s="124">
        <f t="shared" si="110"/>
        <v>21.441992815486884</v>
      </c>
      <c r="AO311" s="124">
        <f t="shared" si="110"/>
        <v>36.155053772029632</v>
      </c>
      <c r="AP311" s="3">
        <f t="shared" si="104"/>
        <v>215.06698022555398</v>
      </c>
    </row>
    <row r="312" spans="1:42" ht="14">
      <c r="A312">
        <f t="shared" si="113"/>
        <v>154</v>
      </c>
      <c r="B312" s="19">
        <f t="shared" si="113"/>
        <v>234</v>
      </c>
      <c r="C312" s="26">
        <f t="shared" si="103"/>
        <v>163.39580984522976</v>
      </c>
      <c r="D312" s="26"/>
      <c r="E312" s="26"/>
      <c r="F312" s="26"/>
      <c r="G312" s="26"/>
      <c r="H312" s="26"/>
      <c r="I312" s="126"/>
      <c r="J312" s="26"/>
      <c r="K312" s="26"/>
      <c r="L312" s="26"/>
      <c r="M312" s="83">
        <f>C$158*(0.4*D$14)*('Product half-life and C flows'!B173/100)</f>
        <v>0.12324086339564896</v>
      </c>
      <c r="N312" s="85"/>
      <c r="O312" s="85">
        <f t="shared" si="114"/>
        <v>5.9794671475617367</v>
      </c>
      <c r="P312" s="85">
        <f t="shared" si="114"/>
        <v>12.300618132127003</v>
      </c>
      <c r="Q312" s="83">
        <f>C$158*(0.6*C$15)*('Product half-life and C flows'!L173/100)</f>
        <v>3.5857946685876576</v>
      </c>
      <c r="R312" s="85">
        <f>C$158*0.6*('Product half-life and C flows'!N173/100)</f>
        <v>23.258993754202358</v>
      </c>
      <c r="S312" s="85">
        <f>C$158*0.6*('Product half-life and C flows'!P173/100)</f>
        <v>11.617878998103068</v>
      </c>
      <c r="T312" s="85">
        <f t="shared" si="115"/>
        <v>11.038827979547648</v>
      </c>
      <c r="U312" s="3"/>
      <c r="V312" s="90">
        <f>N$238*(0.4*V$40)*('Product half-life and C flows'!B92/100)</f>
        <v>2.3400696273361175</v>
      </c>
      <c r="W312" s="90">
        <f t="shared" si="112"/>
        <v>93.940506416941886</v>
      </c>
      <c r="X312" s="89">
        <f t="shared" si="116"/>
        <v>6.8543306256286138</v>
      </c>
      <c r="Y312" s="89">
        <f t="shared" si="116"/>
        <v>14.100337287007433</v>
      </c>
      <c r="Z312" s="91">
        <f>N$238*(0.6*Z$41)*('Product half-life and C flows'!L92/100)</f>
        <v>14.313372523196215</v>
      </c>
      <c r="AA312" s="91">
        <f>N$238*0.6*('Product half-life and C flows'!N92/100)</f>
        <v>19.853287786800482</v>
      </c>
      <c r="AB312" s="91">
        <f>N$238*0.6*('Product half-life and C flows'!P92/100)</f>
        <v>9.916727166234006</v>
      </c>
      <c r="AC312" s="89">
        <f t="shared" si="117"/>
        <v>25.116225792481988</v>
      </c>
      <c r="AD312" s="17"/>
      <c r="AE312">
        <f t="shared" si="90"/>
        <v>154</v>
      </c>
      <c r="AF312" s="3">
        <f t="shared" si="105"/>
        <v>39.389341042478947</v>
      </c>
      <c r="AG312" s="113">
        <f t="shared" si="91"/>
        <v>163.39580984522976</v>
      </c>
      <c r="AH312" s="124">
        <f t="shared" si="111"/>
        <v>2.4633104907317662</v>
      </c>
      <c r="AI312" s="124">
        <f t="shared" si="111"/>
        <v>93.940506416941886</v>
      </c>
      <c r="AJ312" s="124">
        <f t="shared" si="111"/>
        <v>12.833797773190351</v>
      </c>
      <c r="AK312" s="124">
        <f t="shared" si="111"/>
        <v>26.400955419134434</v>
      </c>
      <c r="AL312" s="124">
        <f t="shared" si="111"/>
        <v>17.899167191783871</v>
      </c>
      <c r="AM312" s="124">
        <f t="shared" si="110"/>
        <v>43.112281541002844</v>
      </c>
      <c r="AN312" s="124">
        <f t="shared" si="110"/>
        <v>21.534606164337074</v>
      </c>
      <c r="AO312" s="124">
        <f t="shared" si="110"/>
        <v>36.155053772029632</v>
      </c>
      <c r="AP312" s="3">
        <f t="shared" si="104"/>
        <v>215.72131450639048</v>
      </c>
    </row>
    <row r="313" spans="1:42" ht="14">
      <c r="A313">
        <f t="shared" si="113"/>
        <v>155</v>
      </c>
      <c r="B313" s="19">
        <f t="shared" si="113"/>
        <v>235</v>
      </c>
      <c r="C313" s="26">
        <f t="shared" si="103"/>
        <v>163.48673571452642</v>
      </c>
      <c r="D313" s="26"/>
      <c r="E313" s="26"/>
      <c r="F313" s="26"/>
      <c r="G313" s="26"/>
      <c r="H313" s="26"/>
      <c r="I313" s="126"/>
      <c r="J313" s="26"/>
      <c r="K313" s="26"/>
      <c r="L313" s="26"/>
      <c r="M313" s="83">
        <f>C$158*(0.4*D$14)*('Product half-life and C flows'!B174/100)</f>
        <v>0.11904282716192148</v>
      </c>
      <c r="N313" s="85"/>
      <c r="O313" s="85">
        <f t="shared" si="114"/>
        <v>5.9794671475617367</v>
      </c>
      <c r="P313" s="85">
        <f t="shared" si="114"/>
        <v>12.300618132127003</v>
      </c>
      <c r="Q313" s="83">
        <f>C$158*(0.6*C$15)*('Product half-life and C flows'!L174/100)</f>
        <v>3.5309849111518945</v>
      </c>
      <c r="R313" s="85">
        <f>C$158*0.6*('Product half-life and C flows'!N174/100)</f>
        <v>23.295570132331154</v>
      </c>
      <c r="S313" s="85">
        <f>C$158*0.6*('Product half-life and C flows'!P174/100)</f>
        <v>11.63614891724832</v>
      </c>
      <c r="T313" s="85">
        <f t="shared" si="115"/>
        <v>11.038827979547648</v>
      </c>
      <c r="U313" s="3"/>
      <c r="V313" s="90">
        <f>N$238*(0.4*V$40)*('Product half-life and C flows'!B93/100)</f>
        <v>2.2603582652575809</v>
      </c>
      <c r="W313" s="90">
        <f t="shared" si="112"/>
        <v>94.57187965573975</v>
      </c>
      <c r="X313" s="89">
        <f t="shared" si="116"/>
        <v>6.8543306256286138</v>
      </c>
      <c r="Y313" s="89">
        <f t="shared" si="116"/>
        <v>14.100337287007433</v>
      </c>
      <c r="Z313" s="91">
        <f>N$238*(0.6*Z$41)*('Product half-life and C flows'!L93/100)</f>
        <v>14.094589087837639</v>
      </c>
      <c r="AA313" s="91">
        <f>N$238*0.6*('Product half-life and C flows'!N93/100)</f>
        <v>19.999289265996438</v>
      </c>
      <c r="AB313" s="91">
        <f>N$238*0.6*('Product half-life and C flows'!P93/100)</f>
        <v>9.989654978020198</v>
      </c>
      <c r="AC313" s="89">
        <f t="shared" si="117"/>
        <v>25.116225792481988</v>
      </c>
      <c r="AD313" s="17"/>
      <c r="AE313">
        <f t="shared" si="90"/>
        <v>155</v>
      </c>
      <c r="AF313" s="3">
        <f t="shared" si="105"/>
        <v>39.399149559974234</v>
      </c>
      <c r="AG313" s="113">
        <f t="shared" si="91"/>
        <v>163.48673571452642</v>
      </c>
      <c r="AH313" s="124">
        <f t="shared" si="111"/>
        <v>2.3794010924195024</v>
      </c>
      <c r="AI313" s="124">
        <f t="shared" si="111"/>
        <v>94.57187965573975</v>
      </c>
      <c r="AJ313" s="124">
        <f t="shared" si="111"/>
        <v>12.833797773190351</v>
      </c>
      <c r="AK313" s="124">
        <f t="shared" si="111"/>
        <v>26.400955419134434</v>
      </c>
      <c r="AL313" s="124">
        <f t="shared" si="111"/>
        <v>17.625573998989534</v>
      </c>
      <c r="AM313" s="124">
        <f t="shared" si="110"/>
        <v>43.294859398327588</v>
      </c>
      <c r="AN313" s="124">
        <f t="shared" si="110"/>
        <v>21.625803895268518</v>
      </c>
      <c r="AO313" s="124">
        <f t="shared" si="110"/>
        <v>36.155053772029632</v>
      </c>
      <c r="AP313" s="3">
        <f t="shared" si="104"/>
        <v>216.35287014065017</v>
      </c>
    </row>
    <row r="314" spans="1:42" ht="14">
      <c r="A314">
        <f t="shared" si="113"/>
        <v>156</v>
      </c>
      <c r="B314" s="19">
        <f t="shared" si="113"/>
        <v>236</v>
      </c>
      <c r="C314" s="26">
        <f t="shared" si="103"/>
        <v>163.57589386162428</v>
      </c>
      <c r="D314" s="26"/>
      <c r="E314" s="26"/>
      <c r="F314" s="26"/>
      <c r="G314" s="26"/>
      <c r="H314" s="26"/>
      <c r="I314" s="126"/>
      <c r="J314" s="26"/>
      <c r="K314" s="26"/>
      <c r="L314" s="26"/>
      <c r="M314" s="83">
        <f>C$158*(0.4*D$14)*('Product half-life and C flows'!B175/100)</f>
        <v>0.11498779145362138</v>
      </c>
      <c r="N314" s="85"/>
      <c r="O314" s="85">
        <f t="shared" si="114"/>
        <v>5.9794671475617367</v>
      </c>
      <c r="P314" s="85">
        <f t="shared" si="114"/>
        <v>12.300618132127003</v>
      </c>
      <c r="Q314" s="83">
        <f>C$158*(0.6*C$15)*('Product half-life and C flows'!L175/100)</f>
        <v>3.4770129344001428</v>
      </c>
      <c r="R314" s="85">
        <f>C$158*0.6*('Product half-life and C flows'!N175/100)</f>
        <v>23.331587431483488</v>
      </c>
      <c r="S314" s="85">
        <f>C$158*0.6*('Product half-life and C flows'!P175/100)</f>
        <v>11.654139576165571</v>
      </c>
      <c r="T314" s="85">
        <f t="shared" si="115"/>
        <v>11.038827979547648</v>
      </c>
      <c r="U314" s="3"/>
      <c r="V314" s="90">
        <f>N$238*(0.4*V$40)*('Product half-life and C flows'!B94/100)</f>
        <v>2.1833621647978396</v>
      </c>
      <c r="W314" s="90">
        <f t="shared" si="112"/>
        <v>95.181155121580233</v>
      </c>
      <c r="X314" s="89">
        <f t="shared" si="116"/>
        <v>6.8543306256286138</v>
      </c>
      <c r="Y314" s="89">
        <f t="shared" si="116"/>
        <v>14.100337287007433</v>
      </c>
      <c r="Z314" s="91">
        <f>N$238*(0.6*Z$41)*('Product half-life and C flows'!L94/100)</f>
        <v>13.879149811342369</v>
      </c>
      <c r="AA314" s="91">
        <f>N$238*0.6*('Product half-life and C flows'!N94/100)</f>
        <v>20.143059076510948</v>
      </c>
      <c r="AB314" s="91">
        <f>N$238*0.6*('Product half-life and C flows'!P94/100)</f>
        <v>10.061468070185288</v>
      </c>
      <c r="AC314" s="89">
        <f t="shared" si="117"/>
        <v>25.116225792481988</v>
      </c>
      <c r="AD314" s="17"/>
      <c r="AE314">
        <f t="shared" si="90"/>
        <v>156</v>
      </c>
      <c r="AF314" s="3">
        <f t="shared" si="105"/>
        <v>39.408575013658655</v>
      </c>
      <c r="AG314" s="113">
        <f t="shared" si="91"/>
        <v>163.57589386162428</v>
      </c>
      <c r="AH314" s="124">
        <f t="shared" si="111"/>
        <v>2.2983499562514611</v>
      </c>
      <c r="AI314" s="124">
        <f t="shared" si="111"/>
        <v>95.181155121580233</v>
      </c>
      <c r="AJ314" s="124">
        <f t="shared" si="111"/>
        <v>12.833797773190351</v>
      </c>
      <c r="AK314" s="124">
        <f t="shared" si="111"/>
        <v>26.400955419134434</v>
      </c>
      <c r="AL314" s="124">
        <f t="shared" si="111"/>
        <v>17.356162745742512</v>
      </c>
      <c r="AM314" s="124">
        <f t="shared" si="110"/>
        <v>43.474646507994436</v>
      </c>
      <c r="AN314" s="124">
        <f t="shared" si="110"/>
        <v>21.715607646350861</v>
      </c>
      <c r="AO314" s="124">
        <f t="shared" si="110"/>
        <v>36.155053772029632</v>
      </c>
      <c r="AP314" s="3">
        <f t="shared" si="104"/>
        <v>216.96232521399284</v>
      </c>
    </row>
    <row r="315" spans="1:42" ht="14">
      <c r="A315">
        <f t="shared" si="113"/>
        <v>157</v>
      </c>
      <c r="B315" s="19">
        <f t="shared" si="113"/>
        <v>237</v>
      </c>
      <c r="C315" s="26">
        <f t="shared" si="103"/>
        <v>163.66331801209776</v>
      </c>
      <c r="D315" s="26"/>
      <c r="E315" s="26"/>
      <c r="F315" s="26"/>
      <c r="G315" s="26"/>
      <c r="H315" s="26"/>
      <c r="I315" s="126"/>
      <c r="J315" s="26"/>
      <c r="K315" s="26"/>
      <c r="L315" s="26"/>
      <c r="M315" s="83">
        <f>C$158*(0.4*D$14)*('Product half-life and C flows'!B176/100)</f>
        <v>0.11107088514788681</v>
      </c>
      <c r="N315" s="85"/>
      <c r="O315" s="85">
        <f t="shared" si="114"/>
        <v>5.9794671475617367</v>
      </c>
      <c r="P315" s="85">
        <f t="shared" si="114"/>
        <v>12.300618132127003</v>
      </c>
      <c r="Q315" s="83">
        <f>C$158*(0.6*C$15)*('Product half-life and C flows'!L176/100)</f>
        <v>3.4238659326476584</v>
      </c>
      <c r="R315" s="85">
        <f>C$158*0.6*('Product half-life and C flows'!N176/100)</f>
        <v>23.367054197319646</v>
      </c>
      <c r="S315" s="85">
        <f>C$158*0.6*('Product half-life and C flows'!P176/100)</f>
        <v>11.671855243416399</v>
      </c>
      <c r="T315" s="85">
        <f t="shared" si="115"/>
        <v>11.038827979547648</v>
      </c>
      <c r="U315" s="3"/>
      <c r="V315" s="90">
        <f>N$238*(0.4*V$40)*('Product half-life and C flows'!B95/100)</f>
        <v>2.1089888341782288</v>
      </c>
      <c r="W315" s="90">
        <f t="shared" si="112"/>
        <v>95.769000130262825</v>
      </c>
      <c r="X315" s="89">
        <f t="shared" si="116"/>
        <v>6.8543306256286138</v>
      </c>
      <c r="Y315" s="89">
        <f t="shared" si="116"/>
        <v>14.100337287007433</v>
      </c>
      <c r="Z315" s="91">
        <f>N$238*(0.6*Z$41)*('Product half-life and C flows'!L95/100)</f>
        <v>13.66700357741596</v>
      </c>
      <c r="AA315" s="91">
        <f>N$238*0.6*('Product half-life and C flows'!N95/100)</f>
        <v>20.284631329951171</v>
      </c>
      <c r="AB315" s="91">
        <f>N$238*0.6*('Product half-life and C flows'!P95/100)</f>
        <v>10.13218348149409</v>
      </c>
      <c r="AC315" s="89">
        <f t="shared" si="117"/>
        <v>25.116225792481988</v>
      </c>
      <c r="AD315" s="17"/>
      <c r="AE315">
        <f t="shared" si="90"/>
        <v>157</v>
      </c>
      <c r="AF315" s="3">
        <f t="shared" si="105"/>
        <v>39.417632305878548</v>
      </c>
      <c r="AG315" s="113">
        <f t="shared" si="91"/>
        <v>163.66331801209776</v>
      </c>
      <c r="AH315" s="124">
        <f t="shared" si="111"/>
        <v>2.2200597193261156</v>
      </c>
      <c r="AI315" s="124">
        <f t="shared" si="111"/>
        <v>95.769000130262825</v>
      </c>
      <c r="AJ315" s="124">
        <f t="shared" si="111"/>
        <v>12.833797773190351</v>
      </c>
      <c r="AK315" s="124">
        <f t="shared" si="111"/>
        <v>26.400955419134434</v>
      </c>
      <c r="AL315" s="124">
        <f t="shared" si="111"/>
        <v>17.090869510063619</v>
      </c>
      <c r="AM315" s="124">
        <f t="shared" si="110"/>
        <v>43.651685527270814</v>
      </c>
      <c r="AN315" s="124">
        <f t="shared" si="110"/>
        <v>21.804038724910491</v>
      </c>
      <c r="AO315" s="124">
        <f t="shared" si="110"/>
        <v>36.155053772029632</v>
      </c>
      <c r="AP315" s="3">
        <f t="shared" si="104"/>
        <v>217.55034708483254</v>
      </c>
    </row>
    <row r="316" spans="1:42" ht="14">
      <c r="A316">
        <f t="shared" si="113"/>
        <v>158</v>
      </c>
      <c r="B316" s="19">
        <f t="shared" si="113"/>
        <v>238</v>
      </c>
      <c r="C316" s="26">
        <f t="shared" si="103"/>
        <v>163.74904127347503</v>
      </c>
      <c r="D316" s="26"/>
      <c r="E316" s="26"/>
      <c r="F316" s="26"/>
      <c r="G316" s="26"/>
      <c r="H316" s="26"/>
      <c r="I316" s="126"/>
      <c r="J316" s="26"/>
      <c r="K316" s="26"/>
      <c r="L316" s="26"/>
      <c r="M316" s="83">
        <f>C$158*(0.4*D$14)*('Product half-life and C flows'!B177/100)</f>
        <v>0.10728740305018289</v>
      </c>
      <c r="N316" s="85"/>
      <c r="O316" s="85">
        <f t="shared" si="114"/>
        <v>5.9794671475617367</v>
      </c>
      <c r="P316" s="85">
        <f t="shared" si="114"/>
        <v>12.300618132127003</v>
      </c>
      <c r="Q316" s="83">
        <f>C$158*(0.6*C$15)*('Product half-life and C flows'!L177/100)</f>
        <v>3.3715312959477552</v>
      </c>
      <c r="R316" s="85">
        <f>C$158*0.6*('Product half-life and C flows'!N177/100)</f>
        <v>23.40197884487738</v>
      </c>
      <c r="S316" s="85">
        <f>C$158*0.6*('Product half-life and C flows'!P177/100)</f>
        <v>11.689300122316366</v>
      </c>
      <c r="T316" s="85">
        <f t="shared" si="115"/>
        <v>11.038827979547648</v>
      </c>
      <c r="U316" s="3"/>
      <c r="V316" s="90">
        <f>N$238*(0.4*V$40)*('Product half-life and C flows'!B96/100)</f>
        <v>2.0371489322296084</v>
      </c>
      <c r="W316" s="90">
        <f t="shared" si="112"/>
        <v>96.336070548103805</v>
      </c>
      <c r="X316" s="89">
        <f t="shared" si="116"/>
        <v>6.8543306256286138</v>
      </c>
      <c r="Y316" s="89">
        <f t="shared" si="116"/>
        <v>14.100337287007433</v>
      </c>
      <c r="Z316" s="91">
        <f>N$238*(0.6*Z$41)*('Product half-life and C flows'!L96/100)</f>
        <v>13.458100051089145</v>
      </c>
      <c r="AA316" s="91">
        <f>N$238*0.6*('Product half-life and C flows'!N96/100)</f>
        <v>20.424039616519931</v>
      </c>
      <c r="AB316" s="91">
        <f>N$238*0.6*('Product half-life and C flows'!P96/100)</f>
        <v>10.201817990269697</v>
      </c>
      <c r="AC316" s="89">
        <f t="shared" si="117"/>
        <v>25.116225792481988</v>
      </c>
      <c r="AD316" s="17"/>
      <c r="AE316">
        <f t="shared" si="90"/>
        <v>158</v>
      </c>
      <c r="AF316" s="3">
        <f t="shared" si="105"/>
        <v>39.426335763695064</v>
      </c>
      <c r="AG316" s="113">
        <f t="shared" si="91"/>
        <v>163.74904127347503</v>
      </c>
      <c r="AH316" s="124">
        <f t="shared" si="111"/>
        <v>2.1444363352797913</v>
      </c>
      <c r="AI316" s="124">
        <f t="shared" si="111"/>
        <v>96.336070548103805</v>
      </c>
      <c r="AJ316" s="124">
        <f t="shared" si="111"/>
        <v>12.833797773190351</v>
      </c>
      <c r="AK316" s="124">
        <f t="shared" si="111"/>
        <v>26.400955419134434</v>
      </c>
      <c r="AL316" s="124">
        <f t="shared" si="111"/>
        <v>16.829631347036901</v>
      </c>
      <c r="AM316" s="124">
        <f t="shared" si="110"/>
        <v>43.826018461397311</v>
      </c>
      <c r="AN316" s="124">
        <f t="shared" si="110"/>
        <v>21.891118112586064</v>
      </c>
      <c r="AO316" s="124">
        <f t="shared" si="110"/>
        <v>36.155053772029632</v>
      </c>
      <c r="AP316" s="3">
        <f t="shared" si="104"/>
        <v>218.11759166144884</v>
      </c>
    </row>
    <row r="317" spans="1:42" ht="14">
      <c r="A317">
        <f t="shared" si="113"/>
        <v>159</v>
      </c>
      <c r="B317" s="19">
        <f t="shared" si="113"/>
        <v>239</v>
      </c>
      <c r="C317" s="26">
        <f t="shared" si="103"/>
        <v>163.83309614554503</v>
      </c>
      <c r="D317" s="26"/>
      <c r="E317" s="26"/>
      <c r="F317" s="26"/>
      <c r="G317" s="26"/>
      <c r="H317" s="26"/>
      <c r="I317" s="126"/>
      <c r="J317" s="26"/>
      <c r="K317" s="26"/>
      <c r="L317" s="26"/>
      <c r="M317" s="83">
        <f>C$158*(0.4*D$14)*('Product half-life and C flows'!B178/100)</f>
        <v>0.10363280024217388</v>
      </c>
      <c r="N317" s="85"/>
      <c r="O317" s="85">
        <f t="shared" si="114"/>
        <v>5.9794671475617367</v>
      </c>
      <c r="P317" s="85">
        <f t="shared" si="114"/>
        <v>12.300618132127003</v>
      </c>
      <c r="Q317" s="83">
        <f>C$158*(0.6*C$15)*('Product half-life and C flows'!L178/100)</f>
        <v>3.3199966070998959</v>
      </c>
      <c r="R317" s="85">
        <f>C$158*0.6*('Product half-life and C flows'!N178/100)</f>
        <v>23.436369660568516</v>
      </c>
      <c r="S317" s="85">
        <f>C$158*0.6*('Product half-life and C flows'!P178/100)</f>
        <v>11.70647835193232</v>
      </c>
      <c r="T317" s="85">
        <f t="shared" si="115"/>
        <v>11.038827979547648</v>
      </c>
      <c r="U317" s="3"/>
      <c r="V317" s="90">
        <f>N$238*(0.4*V$40)*('Product half-life and C flows'!B97/100)</f>
        <v>1.967756161071037</v>
      </c>
      <c r="W317" s="90">
        <f t="shared" si="112"/>
        <v>96.883010176719537</v>
      </c>
      <c r="X317" s="89">
        <f t="shared" si="116"/>
        <v>6.8543306256286138</v>
      </c>
      <c r="Y317" s="89">
        <f t="shared" si="116"/>
        <v>14.100337287007433</v>
      </c>
      <c r="Z317" s="91">
        <f>N$238*(0.6*Z$41)*('Product half-life and C flows'!L97/100)</f>
        <v>13.252389666775102</v>
      </c>
      <c r="AA317" s="91">
        <f>N$238*0.6*('Product half-life and C flows'!N97/100)</f>
        <v>20.561317012985501</v>
      </c>
      <c r="AB317" s="91">
        <f>N$238*0.6*('Product half-life and C flows'!P97/100)</f>
        <v>10.270388118374377</v>
      </c>
      <c r="AC317" s="89">
        <f t="shared" si="117"/>
        <v>25.116225792481988</v>
      </c>
      <c r="AD317" s="17"/>
      <c r="AE317">
        <f t="shared" si="90"/>
        <v>159</v>
      </c>
      <c r="AF317" s="3">
        <f t="shared" si="105"/>
        <v>39.434699160747485</v>
      </c>
      <c r="AG317" s="113">
        <f t="shared" si="91"/>
        <v>163.83309614554503</v>
      </c>
      <c r="AH317" s="124">
        <f t="shared" si="111"/>
        <v>2.071388961313211</v>
      </c>
      <c r="AI317" s="124">
        <f t="shared" si="111"/>
        <v>96.883010176719537</v>
      </c>
      <c r="AJ317" s="124">
        <f t="shared" si="111"/>
        <v>12.833797773190351</v>
      </c>
      <c r="AK317" s="124">
        <f t="shared" si="111"/>
        <v>26.400955419134434</v>
      </c>
      <c r="AL317" s="124">
        <f t="shared" si="111"/>
        <v>16.572386273874997</v>
      </c>
      <c r="AM317" s="124">
        <f t="shared" si="110"/>
        <v>43.997686673554014</v>
      </c>
      <c r="AN317" s="124">
        <f t="shared" si="110"/>
        <v>21.976866470306696</v>
      </c>
      <c r="AO317" s="124">
        <f t="shared" si="110"/>
        <v>36.155053772029632</v>
      </c>
      <c r="AP317" s="3">
        <f t="shared" si="104"/>
        <v>218.66470278678005</v>
      </c>
    </row>
    <row r="318" spans="1:42" ht="14">
      <c r="A318">
        <f t="shared" si="113"/>
        <v>160</v>
      </c>
      <c r="B318" s="19">
        <f t="shared" si="113"/>
        <v>240</v>
      </c>
      <c r="C318" s="26">
        <f t="shared" si="103"/>
        <v>163.91551453053341</v>
      </c>
      <c r="D318" s="26"/>
      <c r="E318" s="26"/>
      <c r="F318" s="26"/>
      <c r="G318" s="26"/>
      <c r="H318" s="26"/>
      <c r="I318" s="126"/>
      <c r="J318" s="26"/>
      <c r="K318" s="26"/>
      <c r="L318" s="26"/>
      <c r="M318" s="83">
        <f>C$158*(0.4*D$14)*('Product half-life and C flows'!B179/100)</f>
        <v>0.10010268662212732</v>
      </c>
      <c r="N318" s="85"/>
      <c r="O318" s="85">
        <f t="shared" si="114"/>
        <v>5.9794671475617367</v>
      </c>
      <c r="P318" s="85">
        <f t="shared" si="114"/>
        <v>12.300618132127003</v>
      </c>
      <c r="Q318" s="83">
        <f>C$158*(0.6*C$15)*('Product half-life and C flows'!L179/100)</f>
        <v>3.2692496387035246</v>
      </c>
      <c r="R318" s="85">
        <f>C$158*0.6*('Product half-life and C flows'!N179/100)</f>
        <v>23.470234804145029</v>
      </c>
      <c r="S318" s="85">
        <f>C$158*0.6*('Product half-life and C flows'!P179/100)</f>
        <v>11.723394008064444</v>
      </c>
      <c r="T318" s="85">
        <f t="shared" si="115"/>
        <v>11.038827979547648</v>
      </c>
      <c r="U318" s="3"/>
      <c r="V318" s="90">
        <f>N$238*(0.4*V$40)*('Product half-life and C flows'!B98/100)</f>
        <v>1.9007271624442044</v>
      </c>
      <c r="W318" s="90">
        <f t="shared" si="112"/>
        <v>97.410450236139908</v>
      </c>
      <c r="X318" s="89">
        <f t="shared" si="116"/>
        <v>6.8543306256286138</v>
      </c>
      <c r="Y318" s="89">
        <f t="shared" si="116"/>
        <v>14.100337287007433</v>
      </c>
      <c r="Z318" s="91">
        <f>N$238*(0.6*Z$41)*('Product half-life and C flows'!L98/100)</f>
        <v>13.049823616509256</v>
      </c>
      <c r="AA318" s="91">
        <f>N$238*0.6*('Product half-life and C flows'!N98/100)</f>
        <v>20.696496090529575</v>
      </c>
      <c r="AB318" s="91">
        <f>N$238*0.6*('Product half-life and C flows'!P98/100)</f>
        <v>10.337910135129659</v>
      </c>
      <c r="AC318" s="89">
        <f t="shared" si="117"/>
        <v>25.116225792481988</v>
      </c>
      <c r="AD318" s="17"/>
      <c r="AE318">
        <f t="shared" si="90"/>
        <v>160</v>
      </c>
      <c r="AF318" s="3">
        <f t="shared" si="105"/>
        <v>39.442735738312535</v>
      </c>
      <c r="AG318" s="113">
        <f t="shared" si="91"/>
        <v>163.91551453053341</v>
      </c>
      <c r="AH318" s="124">
        <f t="shared" si="111"/>
        <v>2.0008298490663319</v>
      </c>
      <c r="AI318" s="124">
        <f t="shared" si="111"/>
        <v>97.410450236139908</v>
      </c>
      <c r="AJ318" s="124">
        <f t="shared" si="111"/>
        <v>12.833797773190351</v>
      </c>
      <c r="AK318" s="124">
        <f t="shared" si="111"/>
        <v>26.400955419134434</v>
      </c>
      <c r="AL318" s="124">
        <f t="shared" si="111"/>
        <v>16.319073255212782</v>
      </c>
      <c r="AM318" s="124">
        <f t="shared" si="110"/>
        <v>44.1667308946746</v>
      </c>
      <c r="AN318" s="124">
        <f t="shared" si="110"/>
        <v>22.061304143194103</v>
      </c>
      <c r="AO318" s="124">
        <f t="shared" si="110"/>
        <v>36.155053772029632</v>
      </c>
      <c r="AP318" s="3">
        <f t="shared" si="104"/>
        <v>219.19231172154616</v>
      </c>
    </row>
    <row r="319" spans="1:42">
      <c r="M319" s="17"/>
      <c r="N319" s="17"/>
      <c r="O319" s="17"/>
      <c r="P319" s="17"/>
      <c r="Q319" s="17"/>
      <c r="R319" s="17"/>
      <c r="S319" s="17"/>
      <c r="T319" s="17"/>
    </row>
    <row r="320" spans="1:42">
      <c r="A320" t="s">
        <v>141</v>
      </c>
      <c r="M320" s="3">
        <f>AVERAGE(M158:M238)</f>
        <v>8.7270131829600537</v>
      </c>
      <c r="N320" s="3">
        <f t="shared" ref="N320:T320" si="118">AVERAGE(N158:N238)</f>
        <v>51.5032495381109</v>
      </c>
      <c r="O320" s="3">
        <f t="shared" si="118"/>
        <v>5.9794671475617482</v>
      </c>
      <c r="P320" s="3">
        <f t="shared" si="118"/>
        <v>12.300618132127028</v>
      </c>
      <c r="Q320" s="3">
        <f t="shared" si="118"/>
        <v>22.131082106034587</v>
      </c>
      <c r="R320" s="3">
        <f t="shared" si="118"/>
        <v>10.88310527094611</v>
      </c>
      <c r="S320" s="3">
        <f t="shared" si="118"/>
        <v>5.4361165189541012</v>
      </c>
      <c r="T320" s="3">
        <f t="shared" si="118"/>
        <v>21.910476047851244</v>
      </c>
      <c r="AM320" s="115"/>
    </row>
    <row r="321" spans="1:35">
      <c r="A321" t="s">
        <v>142</v>
      </c>
      <c r="M321" s="3">
        <f>M320+O320+P320+Q320+R320+S320+T320</f>
        <v>87.367878406434883</v>
      </c>
    </row>
    <row r="322" spans="1:35">
      <c r="A322" t="s">
        <v>143</v>
      </c>
      <c r="M322" s="3">
        <f>AVERAGE(M239:M318)</f>
        <v>0.53223576565976538</v>
      </c>
      <c r="Q322" s="3">
        <f t="shared" ref="Q322:T322" si="119">AVERAGE(Q239:Q318)</f>
        <v>6.3946869780280595</v>
      </c>
      <c r="R322" s="3">
        <f t="shared" si="119"/>
        <v>21.384526286369137</v>
      </c>
      <c r="S322" s="3">
        <f t="shared" si="119"/>
        <v>10.681581561622938</v>
      </c>
      <c r="T322" s="3">
        <f t="shared" si="119"/>
        <v>11.038827979547671</v>
      </c>
    </row>
    <row r="323" spans="1:35">
      <c r="AG323">
        <f>(SUM(AG78:AG318))/240</f>
        <v>104.05267469983879</v>
      </c>
      <c r="AI323">
        <f>(SUM(AG78:AG157)+(SUM(AI158:AI318)))/240</f>
        <v>44.168168228820157</v>
      </c>
    </row>
  </sheetData>
  <mergeCells count="4">
    <mergeCell ref="G2:J2"/>
    <mergeCell ref="H3:J3"/>
    <mergeCell ref="H7:J7"/>
    <mergeCell ref="A17:B17"/>
  </mergeCells>
  <hyperlinks>
    <hyperlink ref="C4" r:id="rId1" display="COLE: Carbon On Line Estimator Version 2.0.&quot;   Retrieved February 26, 2014, from http://www.ncasi2.org/COLE/"/>
  </hyperlinks>
  <pageMargins left="0.75" right="0.75" top="1" bottom="1" header="0.5" footer="0.5"/>
  <pageSetup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 enableFormatConditionsCalculation="0"/>
  <dimension ref="A1:AT323"/>
  <sheetViews>
    <sheetView workbookViewId="0">
      <selection activeCell="B20" sqref="B20"/>
    </sheetView>
  </sheetViews>
  <sheetFormatPr baseColWidth="10" defaultColWidth="11.5" defaultRowHeight="12" x14ac:dyDescent="0"/>
  <cols>
    <col min="1" max="1" width="29.83203125" customWidth="1"/>
    <col min="2" max="2" width="12.5" style="19" customWidth="1"/>
    <col min="3" max="3" width="8.1640625" style="19" customWidth="1"/>
    <col min="4" max="5" width="8.1640625" customWidth="1"/>
    <col min="6" max="6" width="7.83203125" customWidth="1"/>
    <col min="7" max="7" width="10.83203125" customWidth="1"/>
    <col min="8" max="8" width="8.83203125" customWidth="1"/>
    <col min="12" max="12" width="11.5" hidden="1" customWidth="1"/>
    <col min="18" max="18" width="12.5" customWidth="1"/>
    <col min="22" max="22" width="4" customWidth="1"/>
    <col min="31" max="31" width="2.33203125" customWidth="1"/>
  </cols>
  <sheetData>
    <row r="1" spans="1:17">
      <c r="A1" t="s">
        <v>206</v>
      </c>
      <c r="C1"/>
    </row>
    <row r="2" spans="1:17">
      <c r="A2" s="65" t="s">
        <v>22</v>
      </c>
      <c r="B2" s="65"/>
      <c r="C2" s="65"/>
      <c r="D2" s="65"/>
      <c r="E2" s="65"/>
      <c r="G2" s="164" t="s">
        <v>72</v>
      </c>
      <c r="H2" s="165"/>
      <c r="I2" s="165"/>
      <c r="J2" s="166"/>
    </row>
    <row r="3" spans="1:17" ht="14">
      <c r="A3" s="65" t="s">
        <v>101</v>
      </c>
      <c r="B3" s="66"/>
      <c r="C3" s="65"/>
      <c r="D3" s="65"/>
      <c r="E3" s="65"/>
      <c r="G3" s="61" t="s">
        <v>68</v>
      </c>
      <c r="H3" s="303" t="s">
        <v>100</v>
      </c>
      <c r="I3" s="304"/>
      <c r="J3" s="305"/>
      <c r="Q3" s="4"/>
    </row>
    <row r="4" spans="1:17" ht="14">
      <c r="A4" t="s">
        <v>107</v>
      </c>
      <c r="C4" s="15" t="s">
        <v>106</v>
      </c>
      <c r="E4" s="65"/>
      <c r="G4" s="67" t="s">
        <v>69</v>
      </c>
      <c r="H4" s="131" t="s">
        <v>99</v>
      </c>
      <c r="I4" s="132"/>
      <c r="J4" s="133"/>
      <c r="Q4" s="4"/>
    </row>
    <row r="5" spans="1:17" ht="14">
      <c r="A5" s="19"/>
      <c r="B5" s="76" t="s">
        <v>23</v>
      </c>
      <c r="C5" t="s">
        <v>24</v>
      </c>
      <c r="D5" t="s">
        <v>211</v>
      </c>
      <c r="G5" s="68" t="s">
        <v>70</v>
      </c>
      <c r="H5" s="131" t="s">
        <v>98</v>
      </c>
      <c r="I5" s="132"/>
      <c r="J5" s="133"/>
      <c r="Q5" s="4"/>
    </row>
    <row r="6" spans="1:17" ht="14">
      <c r="A6" s="117" t="s">
        <v>138</v>
      </c>
      <c r="B6" s="118">
        <v>121.4</v>
      </c>
      <c r="C6" s="117">
        <v>84.4</v>
      </c>
      <c r="G6" s="69" t="s">
        <v>71</v>
      </c>
      <c r="H6" s="131" t="s">
        <v>97</v>
      </c>
      <c r="I6" s="132"/>
      <c r="J6" s="133"/>
      <c r="Q6" s="4"/>
    </row>
    <row r="7" spans="1:17" ht="14">
      <c r="A7" s="116" t="s">
        <v>140</v>
      </c>
      <c r="B7" s="76"/>
      <c r="C7"/>
      <c r="G7" s="70" t="s">
        <v>103</v>
      </c>
      <c r="H7" s="303" t="s">
        <v>96</v>
      </c>
      <c r="I7" s="304"/>
      <c r="J7" s="305"/>
      <c r="Q7" s="4"/>
    </row>
    <row r="8" spans="1:17" ht="14">
      <c r="A8" s="116" t="s">
        <v>6</v>
      </c>
      <c r="B8" s="27">
        <v>168.03</v>
      </c>
      <c r="C8" s="27">
        <v>110.94</v>
      </c>
      <c r="D8" s="160">
        <v>39.64</v>
      </c>
      <c r="Q8" s="4"/>
    </row>
    <row r="9" spans="1:17" ht="14">
      <c r="A9" s="116" t="s">
        <v>7</v>
      </c>
      <c r="B9" s="27">
        <v>0.02</v>
      </c>
      <c r="C9" s="27">
        <v>0.04</v>
      </c>
      <c r="D9" s="160">
        <v>0.04</v>
      </c>
      <c r="Q9" s="4"/>
    </row>
    <row r="10" spans="1:17" ht="14">
      <c r="A10" s="116" t="s">
        <v>8</v>
      </c>
      <c r="B10" s="27">
        <v>120.14</v>
      </c>
      <c r="C10" s="48">
        <v>77.91</v>
      </c>
      <c r="D10" s="160">
        <v>27.97</v>
      </c>
      <c r="Q10" s="4"/>
    </row>
    <row r="11" spans="1:17" s="40" customFormat="1" ht="14">
      <c r="A11" s="64" t="s">
        <v>132</v>
      </c>
      <c r="B11" s="27">
        <v>1374</v>
      </c>
      <c r="C11" s="48">
        <v>351</v>
      </c>
      <c r="D11" s="161">
        <v>241</v>
      </c>
      <c r="Q11" s="59"/>
    </row>
    <row r="12" spans="1:17" s="40" customFormat="1">
      <c r="A12" s="38" t="s">
        <v>234</v>
      </c>
      <c r="B12" s="74" t="s">
        <v>108</v>
      </c>
      <c r="C12" s="40" t="s">
        <v>109</v>
      </c>
      <c r="D12" s="36" t="s">
        <v>94</v>
      </c>
      <c r="E12" s="74" t="s">
        <v>134</v>
      </c>
      <c r="Q12" s="59"/>
    </row>
    <row r="13" spans="1:17" s="40" customFormat="1" ht="14">
      <c r="A13" s="24" t="s">
        <v>160</v>
      </c>
      <c r="B13" s="74">
        <v>0.72</v>
      </c>
      <c r="C13" s="77">
        <v>0.28000000000000003</v>
      </c>
      <c r="D13" s="36"/>
      <c r="E13" s="167" t="s">
        <v>161</v>
      </c>
      <c r="F13" s="168"/>
      <c r="G13" s="168"/>
      <c r="H13" s="168"/>
      <c r="I13" s="168"/>
      <c r="J13" s="168"/>
      <c r="K13" s="168"/>
      <c r="L13" s="168"/>
      <c r="Q13" s="59"/>
    </row>
    <row r="14" spans="1:17" s="40" customFormat="1" ht="14">
      <c r="A14" s="74" t="s">
        <v>202</v>
      </c>
      <c r="B14" s="50">
        <v>0.75</v>
      </c>
      <c r="C14" s="77">
        <v>0</v>
      </c>
      <c r="D14" s="50">
        <v>0.25</v>
      </c>
      <c r="E14" s="169" t="s">
        <v>110</v>
      </c>
      <c r="F14" s="168"/>
      <c r="G14" s="168"/>
      <c r="H14" s="168"/>
      <c r="I14" s="168"/>
      <c r="J14" s="168"/>
      <c r="K14" s="168"/>
      <c r="L14" s="168"/>
      <c r="Q14" s="59"/>
    </row>
    <row r="15" spans="1:17" s="40" customFormat="1" ht="14">
      <c r="A15" s="36" t="s">
        <v>93</v>
      </c>
      <c r="B15" s="50">
        <v>0.24</v>
      </c>
      <c r="C15" s="61">
        <v>0.75</v>
      </c>
      <c r="D15" s="40">
        <v>0.01</v>
      </c>
      <c r="E15" s="169" t="s">
        <v>235</v>
      </c>
      <c r="F15" s="168"/>
      <c r="G15" s="168"/>
      <c r="H15" s="168"/>
      <c r="I15" s="168"/>
      <c r="J15" s="168"/>
      <c r="K15" s="168"/>
      <c r="L15" s="168"/>
      <c r="Q15" s="59"/>
    </row>
    <row r="16" spans="1:17" s="40" customFormat="1" ht="14">
      <c r="A16" s="120" t="s">
        <v>201</v>
      </c>
      <c r="B16" s="60"/>
      <c r="C16" s="30">
        <v>0.56999999999999995</v>
      </c>
      <c r="D16" s="30">
        <v>0.43</v>
      </c>
      <c r="E16" s="170" t="s">
        <v>204</v>
      </c>
      <c r="F16" s="168"/>
      <c r="G16" s="168"/>
      <c r="H16" s="168"/>
      <c r="I16" s="168"/>
      <c r="J16" s="168"/>
      <c r="K16" s="168"/>
      <c r="L16" s="168"/>
      <c r="Q16" s="59"/>
    </row>
    <row r="17" spans="1:19" ht="14">
      <c r="A17" s="314" t="s">
        <v>90</v>
      </c>
      <c r="B17" s="316"/>
      <c r="C17" s="30"/>
      <c r="D17" s="30"/>
      <c r="E17" s="28"/>
      <c r="F17" s="28"/>
      <c r="G17" s="28"/>
      <c r="Q17" s="4"/>
    </row>
    <row r="18" spans="1:19" ht="25">
      <c r="A18" s="57" t="s">
        <v>113</v>
      </c>
      <c r="B18" s="57" t="s">
        <v>73</v>
      </c>
      <c r="C18" s="103" t="s">
        <v>239</v>
      </c>
      <c r="D18" s="30"/>
      <c r="Q18" s="4"/>
    </row>
    <row r="19" spans="1:19" ht="14">
      <c r="A19" s="173" t="s">
        <v>242</v>
      </c>
      <c r="B19" s="181">
        <f>SUM(C78:C198)</f>
        <v>6768.605372308004</v>
      </c>
      <c r="C19" s="176">
        <f>B19/120</f>
        <v>56.405044769233363</v>
      </c>
      <c r="D19" s="30"/>
      <c r="Q19" s="4"/>
    </row>
    <row r="20" spans="1:19" ht="14">
      <c r="A20" s="24" t="s">
        <v>58</v>
      </c>
      <c r="B20" s="75">
        <f>SUM(C78:C238)</f>
        <v>12322.529666674971</v>
      </c>
      <c r="C20" s="56">
        <f>B20/160</f>
        <v>77.015810416718566</v>
      </c>
      <c r="D20" s="30"/>
      <c r="Q20" s="4"/>
    </row>
    <row r="21" spans="1:19" ht="14">
      <c r="A21" s="24" t="s">
        <v>59</v>
      </c>
      <c r="B21" s="75">
        <f>SUM(C78:C318)</f>
        <v>24972.641927961311</v>
      </c>
      <c r="C21" s="56">
        <f>B21/240</f>
        <v>104.05267469983879</v>
      </c>
      <c r="D21" s="30"/>
      <c r="Q21" s="4"/>
    </row>
    <row r="22" spans="1:19">
      <c r="B22"/>
      <c r="C22"/>
      <c r="Q22" s="4"/>
    </row>
    <row r="23" spans="1:19" s="1" customFormat="1" ht="48">
      <c r="A23" s="103" t="s">
        <v>120</v>
      </c>
      <c r="B23" s="103" t="s">
        <v>73</v>
      </c>
      <c r="C23" s="103" t="s">
        <v>239</v>
      </c>
      <c r="D23" s="103" t="s">
        <v>91</v>
      </c>
      <c r="E23" s="1" t="s">
        <v>243</v>
      </c>
      <c r="Q23" s="104"/>
    </row>
    <row r="24" spans="1:19" s="1" customFormat="1">
      <c r="A24" s="174" t="s">
        <v>241</v>
      </c>
      <c r="B24" s="179">
        <f>SUM(C78:C158)+(SUM(AK78:AR198))</f>
        <v>8341.2800653280865</v>
      </c>
      <c r="C24" s="176">
        <f>B24/120</f>
        <v>69.510667211067386</v>
      </c>
      <c r="D24" s="177">
        <f>C24/C19</f>
        <v>1.2323484095341521</v>
      </c>
      <c r="E24" s="182">
        <f>(D24-D25)/D$25</f>
        <v>-4.4530845023130726E-2</v>
      </c>
      <c r="Q24" s="104"/>
    </row>
    <row r="25" spans="1:19" ht="14">
      <c r="A25" s="24" t="s">
        <v>111</v>
      </c>
      <c r="B25" s="75">
        <f>SUM(C78:C158)+SUM(AK78:AR238)</f>
        <v>15893.396199202194</v>
      </c>
      <c r="C25" s="56">
        <f>B25/160</f>
        <v>99.333726245013708</v>
      </c>
      <c r="D25" s="69">
        <f>B25/B20</f>
        <v>1.2897835614211803</v>
      </c>
      <c r="E25" s="22"/>
      <c r="Q25" s="4"/>
    </row>
    <row r="26" spans="1:19" ht="14">
      <c r="A26" s="24" t="s">
        <v>112</v>
      </c>
      <c r="B26" s="75">
        <f>SUM(AJ78:AJ158)+(SUM(AK78:AR318))</f>
        <v>35818.486598085183</v>
      </c>
      <c r="C26" s="56">
        <f>B26/240</f>
        <v>149.24369415868827</v>
      </c>
      <c r="D26" s="69">
        <f>B26/B21</f>
        <v>1.4343090611482328</v>
      </c>
      <c r="E26" s="22">
        <f>(D26-D25)/D$25</f>
        <v>0.11205407174503246</v>
      </c>
      <c r="F26" s="28"/>
      <c r="G26" s="28"/>
      <c r="H26" s="31"/>
      <c r="Q26" s="4"/>
    </row>
    <row r="27" spans="1:19" s="40" customFormat="1" ht="14">
      <c r="A27" s="28"/>
      <c r="B27" s="31"/>
      <c r="C27" s="31"/>
      <c r="D27" s="58"/>
      <c r="F27" s="28"/>
      <c r="G27" s="28"/>
      <c r="H27" s="31"/>
      <c r="Q27" s="59"/>
    </row>
    <row r="28" spans="1:19" s="40" customFormat="1" ht="14">
      <c r="A28" s="63" t="s">
        <v>223</v>
      </c>
      <c r="B28" s="31"/>
      <c r="C28" s="62"/>
      <c r="G28" s="28"/>
      <c r="Q28" s="59"/>
    </row>
    <row r="29" spans="1:19" ht="84">
      <c r="A29" s="39" t="s">
        <v>89</v>
      </c>
      <c r="B29" s="39" t="s">
        <v>221</v>
      </c>
      <c r="C29" s="39" t="s">
        <v>220</v>
      </c>
      <c r="D29" s="39" t="s">
        <v>176</v>
      </c>
      <c r="E29" s="39" t="s">
        <v>127</v>
      </c>
      <c r="F29" s="39" t="s">
        <v>115</v>
      </c>
      <c r="G29" s="103" t="s">
        <v>116</v>
      </c>
      <c r="I29" s="28"/>
      <c r="S29" s="4"/>
    </row>
    <row r="30" spans="1:19" ht="14">
      <c r="A30" s="106" t="s">
        <v>240</v>
      </c>
      <c r="B30" s="75">
        <f>((SUM(AK78:AK198))+(SUM(AJ78:AJ158))+(SUM(AL78:AL198)))/120</f>
        <v>29.876762557271128</v>
      </c>
      <c r="C30" s="75">
        <f>((SUM(AO78:AO198)))/120</f>
        <v>10.728401952208829</v>
      </c>
      <c r="D30" s="75">
        <f>((SUM(AM78:AM198))+(SUM(AN78:AN198))+(SUM(AQ78:AQ198)))/120</f>
        <v>17.958555491488653</v>
      </c>
      <c r="E30" s="75">
        <f>(SUM(AP78:AP198))/120</f>
        <v>2.5540471538451408</v>
      </c>
      <c r="F30" s="75">
        <f>(SUM(AR78:AR198))/120</f>
        <v>8.3929000562537137</v>
      </c>
      <c r="G30" s="102">
        <f>SUM(B30:F30)</f>
        <v>69.510667211067457</v>
      </c>
      <c r="I30" s="28"/>
      <c r="S30" s="4"/>
    </row>
    <row r="31" spans="1:19" ht="14">
      <c r="A31" s="74" t="s">
        <v>105</v>
      </c>
      <c r="B31" s="75">
        <f>((SUM(AK78:AK238))+(SUM(AJ78:AJ158))+(SUM(AL78:AL238)))/160</f>
        <v>43.1623637172721</v>
      </c>
      <c r="C31" s="75">
        <f>((SUM(AO78:AO238)))/160</f>
        <v>12.018122925868896</v>
      </c>
      <c r="D31" s="75">
        <f>((SUM(AM78:AM238))+(SUM(AN78:AN238))+(SUM(AQ78:AQ238)))/160</f>
        <v>26.05095498319438</v>
      </c>
      <c r="E31" s="75">
        <f>(SUM(AP78:AP238))/160</f>
        <v>5.9941310312273774</v>
      </c>
      <c r="F31" s="75">
        <f>(SUM(AR78:AR238))/160</f>
        <v>12.108153587451092</v>
      </c>
      <c r="G31" s="102">
        <f>SUM(B31:F31)</f>
        <v>99.33372624501385</v>
      </c>
      <c r="I31" s="28"/>
      <c r="J31" s="31"/>
      <c r="S31" s="4"/>
    </row>
    <row r="32" spans="1:19" ht="14">
      <c r="A32" s="74" t="s">
        <v>104</v>
      </c>
      <c r="B32" s="75">
        <f>((SUM(AK78:AK318))+(SUM(AJ78:AJ158))+(SUM(AL78:AL318)))/240</f>
        <v>46.931283110079121</v>
      </c>
      <c r="C32" s="75">
        <f>((SUM(AO78:AO318)))/240</f>
        <v>18.65217542474814</v>
      </c>
      <c r="D32" s="101">
        <f>(SUM(AM78:AM318)+(SUM(AN78:AN318))+(SUM(AQ78:AQ318)))/240</f>
        <v>48.288519516832018</v>
      </c>
      <c r="E32" s="101">
        <f>((SUM(AP78:AP318)))/240</f>
        <v>15.247929124718418</v>
      </c>
      <c r="F32" s="101">
        <f>(SUM(AR78:AR318))/240</f>
        <v>20.123786982310573</v>
      </c>
      <c r="G32" s="102">
        <f>SUM(B32:F32)</f>
        <v>149.24369415868827</v>
      </c>
      <c r="I32" s="28"/>
      <c r="J32" s="31"/>
      <c r="S32" s="4"/>
    </row>
    <row r="33" spans="1:44" ht="10" customHeight="1">
      <c r="A33" s="28"/>
      <c r="B33" s="29"/>
      <c r="C33" s="29"/>
      <c r="D33" s="30"/>
      <c r="E33" s="30"/>
      <c r="F33" s="30"/>
      <c r="G33" s="114"/>
      <c r="H33" s="28"/>
      <c r="I33" s="28"/>
      <c r="J33" s="31"/>
    </row>
    <row r="34" spans="1:44" ht="48" customHeight="1">
      <c r="A34" s="39" t="s">
        <v>89</v>
      </c>
      <c r="B34" s="39" t="s">
        <v>114</v>
      </c>
      <c r="C34" s="39" t="s">
        <v>220</v>
      </c>
      <c r="D34" s="39" t="s">
        <v>176</v>
      </c>
      <c r="E34" s="39" t="s">
        <v>127</v>
      </c>
      <c r="F34" s="39" t="s">
        <v>115</v>
      </c>
      <c r="G34" s="103" t="s">
        <v>116</v>
      </c>
      <c r="H34" s="28"/>
      <c r="I34" s="28"/>
      <c r="J34" s="31"/>
    </row>
    <row r="35" spans="1:44" ht="13" customHeight="1">
      <c r="A35" s="106" t="s">
        <v>240</v>
      </c>
      <c r="B35" s="105">
        <f t="shared" ref="B35:G37" si="0">B30/$G30</f>
        <v>0.42981550538928165</v>
      </c>
      <c r="C35" s="105">
        <f t="shared" si="0"/>
        <v>0.15434180655513341</v>
      </c>
      <c r="D35" s="105">
        <f t="shared" si="0"/>
        <v>0.25835682798091886</v>
      </c>
      <c r="E35" s="105">
        <f t="shared" si="0"/>
        <v>3.6743240373306139E-2</v>
      </c>
      <c r="F35" s="105">
        <f t="shared" si="0"/>
        <v>0.12074261970136002</v>
      </c>
      <c r="G35" s="105">
        <f t="shared" si="0"/>
        <v>1</v>
      </c>
      <c r="H35" s="28"/>
      <c r="I35" s="28"/>
      <c r="J35" s="31"/>
    </row>
    <row r="36" spans="1:44">
      <c r="A36" s="74" t="s">
        <v>105</v>
      </c>
      <c r="B36" s="105">
        <f t="shared" si="0"/>
        <v>0.43451872137373559</v>
      </c>
      <c r="C36" s="105">
        <f t="shared" si="0"/>
        <v>0.12098733612615441</v>
      </c>
      <c r="D36" s="105">
        <f t="shared" si="0"/>
        <v>0.26225689871874741</v>
      </c>
      <c r="E36" s="105">
        <f t="shared" si="0"/>
        <v>6.0343362298142508E-2</v>
      </c>
      <c r="F36" s="105">
        <f t="shared" si="0"/>
        <v>0.12189368148322002</v>
      </c>
      <c r="G36" s="105">
        <f t="shared" si="0"/>
        <v>1</v>
      </c>
      <c r="H36" s="28"/>
      <c r="I36" s="28"/>
      <c r="J36" s="28"/>
    </row>
    <row r="37" spans="1:44">
      <c r="A37" s="74" t="s">
        <v>104</v>
      </c>
      <c r="B37" s="105">
        <f t="shared" si="0"/>
        <v>0.31446074405112145</v>
      </c>
      <c r="C37" s="105">
        <f t="shared" si="0"/>
        <v>0.1249779800070856</v>
      </c>
      <c r="D37" s="105">
        <f t="shared" si="0"/>
        <v>0.32355483954643777</v>
      </c>
      <c r="E37" s="105">
        <f t="shared" si="0"/>
        <v>0.1021679958451414</v>
      </c>
      <c r="F37" s="105">
        <f t="shared" si="0"/>
        <v>0.13483844055021377</v>
      </c>
      <c r="G37" s="105">
        <f t="shared" si="0"/>
        <v>1</v>
      </c>
    </row>
    <row r="38" spans="1:44">
      <c r="A38" s="63" t="s">
        <v>237</v>
      </c>
      <c r="C38"/>
      <c r="W38" s="2"/>
    </row>
    <row r="39" spans="1:44">
      <c r="A39" t="s">
        <v>203</v>
      </c>
      <c r="C39" s="22">
        <v>0.4</v>
      </c>
      <c r="W39" s="22"/>
      <c r="X39" s="22"/>
    </row>
    <row r="40" spans="1:44" ht="14">
      <c r="A40" t="s">
        <v>129</v>
      </c>
      <c r="C40" s="3"/>
      <c r="D40" s="22">
        <f>D14</f>
        <v>0.25</v>
      </c>
      <c r="E40" s="3"/>
      <c r="F40" s="22">
        <f>B14</f>
        <v>0.75</v>
      </c>
      <c r="G40" s="3"/>
      <c r="H40" s="3"/>
      <c r="I40" s="3"/>
      <c r="J40" s="3"/>
      <c r="K40" s="3"/>
      <c r="L40" s="3"/>
      <c r="M40" s="107">
        <f>D14</f>
        <v>0.25</v>
      </c>
      <c r="O40" s="107">
        <f>B14</f>
        <v>0.75</v>
      </c>
      <c r="Q40" s="3"/>
      <c r="S40" s="2"/>
      <c r="V40" s="109">
        <f>D14</f>
        <v>0.25</v>
      </c>
      <c r="X40" s="109">
        <f>B14</f>
        <v>0.75</v>
      </c>
      <c r="AK40" s="109">
        <f>D14</f>
        <v>0.25</v>
      </c>
      <c r="AM40" s="109">
        <f>B14</f>
        <v>0.75</v>
      </c>
    </row>
    <row r="41" spans="1:44" ht="14">
      <c r="A41" t="s">
        <v>130</v>
      </c>
      <c r="C41" s="22">
        <f>C15</f>
        <v>0.75</v>
      </c>
      <c r="D41" s="3"/>
      <c r="E41" s="3"/>
      <c r="F41" s="3"/>
      <c r="G41" s="22">
        <f>B15</f>
        <v>0.24</v>
      </c>
      <c r="H41" s="22">
        <f>C15</f>
        <v>0.75</v>
      </c>
      <c r="I41" s="3"/>
      <c r="J41" s="3"/>
      <c r="K41" s="3"/>
      <c r="L41" s="3"/>
      <c r="P41" s="108">
        <f>B15</f>
        <v>0.24</v>
      </c>
      <c r="Q41" s="108">
        <f>C15</f>
        <v>0.75</v>
      </c>
      <c r="S41" s="2"/>
      <c r="T41" s="2"/>
      <c r="U41" s="4"/>
      <c r="X41" s="110"/>
      <c r="Y41" s="108">
        <f>B15</f>
        <v>0.24</v>
      </c>
      <c r="Z41" s="109">
        <f>C15</f>
        <v>0.75</v>
      </c>
      <c r="AM41" s="110"/>
      <c r="AN41" s="108">
        <f>B15</f>
        <v>0.24</v>
      </c>
      <c r="AO41" s="109">
        <f>C15</f>
        <v>0.75</v>
      </c>
    </row>
    <row r="42" spans="1:44" ht="14">
      <c r="A42" t="s">
        <v>238</v>
      </c>
      <c r="C42" s="22">
        <f>T42</f>
        <v>0.56999999999999995</v>
      </c>
      <c r="D42" s="3"/>
      <c r="E42" s="3"/>
      <c r="F42" s="3"/>
      <c r="G42" s="3"/>
      <c r="H42" s="3"/>
      <c r="I42" s="3"/>
      <c r="J42" s="3"/>
      <c r="K42" s="22">
        <f>C16</f>
        <v>0.56999999999999995</v>
      </c>
      <c r="L42" s="3"/>
      <c r="P42" s="108"/>
      <c r="Q42" s="108"/>
      <c r="S42" s="2"/>
      <c r="T42" s="119">
        <f>C16</f>
        <v>0.56999999999999995</v>
      </c>
      <c r="U42" s="4"/>
      <c r="X42" s="110"/>
      <c r="Y42" s="108"/>
      <c r="Z42" s="109"/>
      <c r="AC42" s="119">
        <f>C16</f>
        <v>0.56999999999999995</v>
      </c>
      <c r="AM42" s="110"/>
      <c r="AN42" s="108"/>
      <c r="AO42" s="109"/>
      <c r="AR42" s="119">
        <f>C16</f>
        <v>0.56999999999999995</v>
      </c>
    </row>
    <row r="43" spans="1:44" ht="14">
      <c r="C43" s="3"/>
      <c r="D43" s="3"/>
      <c r="E43" s="3"/>
      <c r="F43" s="3"/>
      <c r="G43" s="3"/>
      <c r="H43" s="3"/>
      <c r="I43" s="3"/>
      <c r="J43" s="3"/>
      <c r="K43" s="22"/>
      <c r="L43" s="3"/>
      <c r="P43" s="108"/>
      <c r="Q43" s="108"/>
      <c r="S43" s="2"/>
      <c r="T43" s="119"/>
      <c r="U43" s="4"/>
      <c r="X43" s="110"/>
      <c r="Y43" s="108"/>
      <c r="Z43" s="109"/>
      <c r="AC43" s="119"/>
      <c r="AM43" s="110"/>
      <c r="AN43" s="108"/>
      <c r="AO43" s="109"/>
      <c r="AR43" s="119"/>
    </row>
    <row r="44" spans="1:44" ht="14">
      <c r="C44" s="3"/>
      <c r="D44" s="3"/>
      <c r="E44" s="3"/>
      <c r="F44" s="3"/>
      <c r="G44" s="3"/>
      <c r="H44" s="3"/>
      <c r="I44" s="3"/>
      <c r="J44" s="3"/>
      <c r="K44" s="22"/>
      <c r="L44" s="3"/>
      <c r="P44" s="108"/>
      <c r="Q44" s="108"/>
      <c r="S44" s="2"/>
      <c r="T44" s="119"/>
      <c r="U44" s="4"/>
      <c r="X44" s="110"/>
      <c r="Y44" s="108"/>
      <c r="Z44" s="109"/>
      <c r="AC44" s="119"/>
      <c r="AM44" s="110"/>
      <c r="AN44" s="108"/>
      <c r="AO44" s="109"/>
      <c r="AR44" s="119"/>
    </row>
    <row r="45" spans="1:44" ht="14">
      <c r="C45" s="3"/>
      <c r="D45" s="3"/>
      <c r="E45" s="3"/>
      <c r="F45" s="3"/>
      <c r="G45" s="3"/>
      <c r="H45" s="3"/>
      <c r="I45" s="3"/>
      <c r="J45" s="3"/>
      <c r="K45" s="22"/>
      <c r="L45" s="3"/>
      <c r="P45" s="108"/>
      <c r="Q45" s="108"/>
      <c r="S45" s="2"/>
      <c r="T45" s="119"/>
      <c r="U45" s="4"/>
      <c r="X45" s="110"/>
      <c r="Y45" s="108"/>
      <c r="Z45" s="109"/>
      <c r="AC45" s="119"/>
      <c r="AM45" s="110"/>
      <c r="AN45" s="108"/>
      <c r="AO45" s="109"/>
      <c r="AR45" s="119"/>
    </row>
    <row r="46" spans="1:44" ht="14">
      <c r="C46" s="3"/>
      <c r="D46" s="3"/>
      <c r="E46" s="3"/>
      <c r="F46" s="3"/>
      <c r="G46" s="3"/>
      <c r="H46" s="3"/>
      <c r="I46" s="3"/>
      <c r="J46" s="3"/>
      <c r="K46" s="22"/>
      <c r="L46" s="3"/>
      <c r="P46" s="108"/>
      <c r="Q46" s="108"/>
      <c r="S46" s="2"/>
      <c r="T46" s="119"/>
      <c r="U46" s="4"/>
      <c r="X46" s="110"/>
      <c r="Y46" s="108"/>
      <c r="Z46" s="109"/>
      <c r="AC46" s="119"/>
      <c r="AM46" s="110"/>
      <c r="AN46" s="108"/>
      <c r="AO46" s="109"/>
      <c r="AR46" s="119"/>
    </row>
    <row r="47" spans="1:44" ht="14">
      <c r="C47" s="3"/>
      <c r="D47" s="3"/>
      <c r="E47" s="3"/>
      <c r="F47" s="3"/>
      <c r="G47" s="3"/>
      <c r="H47" s="3"/>
      <c r="I47" s="3"/>
      <c r="J47" s="3"/>
      <c r="K47" s="22"/>
      <c r="L47" s="3"/>
      <c r="P47" s="108"/>
      <c r="Q47" s="108"/>
      <c r="S47" s="2"/>
      <c r="T47" s="119"/>
      <c r="U47" s="4"/>
      <c r="X47" s="110"/>
      <c r="Y47" s="108"/>
      <c r="Z47" s="109"/>
      <c r="AC47" s="119"/>
      <c r="AM47" s="110"/>
      <c r="AN47" s="108"/>
      <c r="AO47" s="109"/>
      <c r="AR47" s="119"/>
    </row>
    <row r="48" spans="1:44" ht="14">
      <c r="B48"/>
      <c r="C48" s="3"/>
      <c r="D48" s="3"/>
      <c r="E48" s="3"/>
      <c r="F48" s="3"/>
      <c r="G48" s="3"/>
      <c r="H48" s="3"/>
      <c r="I48" s="3"/>
      <c r="J48" s="3"/>
      <c r="K48" s="22"/>
      <c r="L48" s="3"/>
      <c r="P48" s="108"/>
      <c r="Q48" s="108"/>
      <c r="S48" s="2"/>
      <c r="T48" s="119"/>
      <c r="U48" s="4"/>
      <c r="X48" s="110"/>
      <c r="Y48" s="108"/>
      <c r="Z48" s="109"/>
      <c r="AC48" s="119"/>
      <c r="AM48" s="110"/>
      <c r="AN48" s="108"/>
      <c r="AO48" s="109"/>
      <c r="AR48" s="119"/>
    </row>
    <row r="49" spans="2:44" ht="14">
      <c r="B49"/>
      <c r="C49" s="3"/>
      <c r="D49" s="3"/>
      <c r="E49" s="3"/>
      <c r="F49" s="3"/>
      <c r="G49" s="3"/>
      <c r="H49" s="3"/>
      <c r="I49" s="3"/>
      <c r="J49" s="3"/>
      <c r="K49" s="22"/>
      <c r="L49" s="3"/>
      <c r="P49" s="108"/>
      <c r="Q49" s="108"/>
      <c r="S49" s="2"/>
      <c r="T49" s="119"/>
      <c r="U49" s="4"/>
      <c r="X49" s="110"/>
      <c r="Y49" s="108"/>
      <c r="Z49" s="109"/>
      <c r="AC49" s="119"/>
      <c r="AM49" s="110"/>
      <c r="AN49" s="108"/>
      <c r="AO49" s="109"/>
      <c r="AR49" s="119"/>
    </row>
    <row r="50" spans="2:44" ht="14">
      <c r="B50"/>
      <c r="C50" s="3"/>
      <c r="D50" s="3"/>
      <c r="E50" s="3"/>
      <c r="F50" s="3"/>
      <c r="G50" s="3"/>
      <c r="H50" s="3"/>
      <c r="I50" s="3"/>
      <c r="J50" s="3"/>
      <c r="K50" s="22"/>
      <c r="L50" s="3"/>
      <c r="P50" s="108"/>
      <c r="Q50" s="108"/>
      <c r="S50" s="2"/>
      <c r="T50" s="119"/>
      <c r="U50" s="4"/>
      <c r="X50" s="110"/>
      <c r="Y50" s="108"/>
      <c r="Z50" s="109"/>
      <c r="AC50" s="119"/>
      <c r="AM50" s="110"/>
      <c r="AN50" s="108"/>
      <c r="AO50" s="109"/>
      <c r="AR50" s="119"/>
    </row>
    <row r="51" spans="2:44" ht="14">
      <c r="B51"/>
      <c r="C51" s="3"/>
      <c r="D51" s="3"/>
      <c r="E51" s="3"/>
      <c r="F51" s="3"/>
      <c r="G51" s="3"/>
      <c r="H51" s="3"/>
      <c r="I51" s="3"/>
      <c r="J51" s="3"/>
      <c r="K51" s="22"/>
      <c r="L51" s="3"/>
      <c r="P51" s="108"/>
      <c r="Q51" s="108"/>
      <c r="S51" s="2"/>
      <c r="T51" s="119"/>
      <c r="U51" s="4"/>
      <c r="X51" s="110"/>
      <c r="Y51" s="108"/>
      <c r="Z51" s="109"/>
      <c r="AC51" s="119"/>
      <c r="AM51" s="110"/>
      <c r="AN51" s="108"/>
      <c r="AO51" s="109"/>
      <c r="AR51" s="119"/>
    </row>
    <row r="52" spans="2:44" ht="14">
      <c r="B52"/>
      <c r="C52" s="3"/>
      <c r="D52" s="3"/>
      <c r="E52" s="3"/>
      <c r="F52" s="3"/>
      <c r="G52" s="3"/>
      <c r="H52" s="3"/>
      <c r="I52" s="3"/>
      <c r="J52" s="3"/>
      <c r="K52" s="22"/>
      <c r="L52" s="3"/>
      <c r="P52" s="108"/>
      <c r="Q52" s="108"/>
      <c r="S52" s="2"/>
      <c r="T52" s="119"/>
      <c r="U52" s="4"/>
      <c r="X52" s="110"/>
      <c r="Y52" s="108"/>
      <c r="Z52" s="109"/>
      <c r="AC52" s="119"/>
      <c r="AM52" s="110"/>
      <c r="AN52" s="108"/>
      <c r="AO52" s="109"/>
      <c r="AR52" s="119"/>
    </row>
    <row r="53" spans="2:44" ht="14">
      <c r="B53"/>
      <c r="C53" s="3"/>
      <c r="D53" s="3"/>
      <c r="E53" s="3"/>
      <c r="F53" s="3"/>
      <c r="G53" s="3"/>
      <c r="H53" s="3"/>
      <c r="I53" s="3"/>
      <c r="J53" s="3"/>
      <c r="K53" s="22"/>
      <c r="L53" s="3"/>
      <c r="P53" s="108"/>
      <c r="Q53" s="108"/>
      <c r="S53" s="2"/>
      <c r="T53" s="119"/>
      <c r="U53" s="4"/>
      <c r="X53" s="110"/>
      <c r="Y53" s="108"/>
      <c r="Z53" s="109"/>
      <c r="AC53" s="119"/>
      <c r="AM53" s="110"/>
      <c r="AN53" s="108"/>
      <c r="AO53" s="109"/>
      <c r="AR53" s="119"/>
    </row>
    <row r="54" spans="2:44" ht="14">
      <c r="B54"/>
      <c r="C54" s="3"/>
      <c r="D54" s="3"/>
      <c r="E54" s="3"/>
      <c r="F54" s="3"/>
      <c r="G54" s="3"/>
      <c r="H54" s="3"/>
      <c r="I54" s="3"/>
      <c r="J54" s="3"/>
      <c r="K54" s="22"/>
      <c r="L54" s="3"/>
      <c r="P54" s="108"/>
      <c r="Q54" s="108"/>
      <c r="S54" s="2"/>
      <c r="T54" s="119"/>
      <c r="U54" s="4"/>
      <c r="X54" s="110"/>
      <c r="Y54" s="108"/>
      <c r="Z54" s="109"/>
      <c r="AC54" s="119"/>
      <c r="AM54" s="110"/>
      <c r="AN54" s="108"/>
      <c r="AO54" s="109"/>
      <c r="AR54" s="119"/>
    </row>
    <row r="55" spans="2:44" ht="14">
      <c r="B55"/>
      <c r="C55" s="3"/>
      <c r="D55" s="3"/>
      <c r="E55" s="3"/>
      <c r="F55" s="3"/>
      <c r="G55" s="3"/>
      <c r="H55" s="3"/>
      <c r="I55" s="3"/>
      <c r="J55" s="3"/>
      <c r="K55" s="22"/>
      <c r="L55" s="3"/>
      <c r="P55" s="108"/>
      <c r="Q55" s="108"/>
      <c r="S55" s="2"/>
      <c r="T55" s="119"/>
      <c r="U55" s="4"/>
      <c r="X55" s="110"/>
      <c r="Y55" s="108"/>
      <c r="Z55" s="109"/>
      <c r="AC55" s="119"/>
      <c r="AM55" s="110"/>
      <c r="AN55" s="108"/>
      <c r="AO55" s="109"/>
      <c r="AR55" s="119"/>
    </row>
    <row r="56" spans="2:44" ht="14">
      <c r="B56"/>
      <c r="C56" s="3"/>
      <c r="D56" s="3"/>
      <c r="E56" s="3"/>
      <c r="F56" s="3"/>
      <c r="G56" s="3"/>
      <c r="H56" s="3"/>
      <c r="I56" s="3"/>
      <c r="J56" s="3"/>
      <c r="K56" s="22"/>
      <c r="L56" s="3"/>
      <c r="P56" s="108"/>
      <c r="Q56" s="108"/>
      <c r="S56" s="2"/>
      <c r="T56" s="119"/>
      <c r="U56" s="4"/>
      <c r="X56" s="110"/>
      <c r="Y56" s="108"/>
      <c r="Z56" s="109"/>
      <c r="AC56" s="119"/>
      <c r="AM56" s="110"/>
      <c r="AN56" s="108"/>
      <c r="AO56" s="109"/>
      <c r="AR56" s="119"/>
    </row>
    <row r="57" spans="2:44" ht="14">
      <c r="B57"/>
      <c r="C57" s="3"/>
      <c r="D57" s="3"/>
      <c r="E57" s="3"/>
      <c r="F57" s="3"/>
      <c r="G57" s="3"/>
      <c r="H57" s="3"/>
      <c r="I57" s="3"/>
      <c r="J57" s="3"/>
      <c r="K57" s="22"/>
      <c r="L57" s="3"/>
      <c r="P57" s="108"/>
      <c r="Q57" s="108"/>
      <c r="S57" s="2"/>
      <c r="T57" s="119"/>
      <c r="U57" s="4"/>
      <c r="X57" s="110"/>
      <c r="Y57" s="108"/>
      <c r="Z57" s="109"/>
      <c r="AC57" s="119"/>
      <c r="AM57" s="110"/>
      <c r="AN57" s="108"/>
      <c r="AO57" s="109"/>
      <c r="AR57" s="119"/>
    </row>
    <row r="58" spans="2:44" ht="14">
      <c r="B58"/>
      <c r="C58" s="3"/>
      <c r="D58" s="3"/>
      <c r="E58" s="3"/>
      <c r="F58" s="3"/>
      <c r="G58" s="3"/>
      <c r="H58" s="3"/>
      <c r="I58" s="3"/>
      <c r="J58" s="3"/>
      <c r="K58" s="22"/>
      <c r="L58" s="3"/>
      <c r="P58" s="108"/>
      <c r="Q58" s="108"/>
      <c r="S58" s="2"/>
      <c r="T58" s="119"/>
      <c r="U58" s="4"/>
      <c r="X58" s="110"/>
      <c r="Y58" s="108"/>
      <c r="Z58" s="109"/>
      <c r="AC58" s="119"/>
      <c r="AM58" s="110"/>
      <c r="AN58" s="108"/>
      <c r="AO58" s="109"/>
      <c r="AR58" s="119"/>
    </row>
    <row r="59" spans="2:44" ht="14">
      <c r="B59"/>
      <c r="C59" s="3"/>
      <c r="D59" s="3"/>
      <c r="E59" s="3"/>
      <c r="F59" s="3"/>
      <c r="G59" s="3"/>
      <c r="H59" s="3"/>
      <c r="I59" s="3"/>
      <c r="J59" s="3"/>
      <c r="K59" s="22"/>
      <c r="L59" s="3"/>
      <c r="P59" s="108"/>
      <c r="Q59" s="108"/>
      <c r="S59" s="2"/>
      <c r="T59" s="119"/>
      <c r="U59" s="4"/>
      <c r="X59" s="110"/>
      <c r="Y59" s="108"/>
      <c r="Z59" s="109"/>
      <c r="AC59" s="119"/>
      <c r="AM59" s="110"/>
      <c r="AN59" s="108"/>
      <c r="AO59" s="109"/>
      <c r="AR59" s="119"/>
    </row>
    <row r="60" spans="2:44" ht="14">
      <c r="B60"/>
      <c r="C60" s="3"/>
      <c r="D60" s="3"/>
      <c r="E60" s="3"/>
      <c r="F60" s="3"/>
      <c r="G60" s="3"/>
      <c r="H60" s="3"/>
      <c r="I60" s="3"/>
      <c r="J60" s="3"/>
      <c r="K60" s="22"/>
      <c r="L60" s="3"/>
      <c r="P60" s="108"/>
      <c r="Q60" s="108"/>
      <c r="S60" s="2"/>
      <c r="T60" s="119"/>
      <c r="U60" s="4"/>
      <c r="X60" s="110"/>
      <c r="Y60" s="108"/>
      <c r="Z60" s="109"/>
      <c r="AC60" s="119"/>
      <c r="AM60" s="110"/>
      <c r="AN60" s="108"/>
      <c r="AO60" s="109"/>
      <c r="AR60" s="119"/>
    </row>
    <row r="61" spans="2:44" ht="14">
      <c r="B61"/>
      <c r="C61" s="3"/>
      <c r="D61" s="3"/>
      <c r="E61" s="3"/>
      <c r="F61" s="3"/>
      <c r="G61" s="3"/>
      <c r="H61" s="3"/>
      <c r="I61" s="3"/>
      <c r="J61" s="3"/>
      <c r="K61" s="22"/>
      <c r="L61" s="3"/>
      <c r="P61" s="108"/>
      <c r="Q61" s="108"/>
      <c r="S61" s="2"/>
      <c r="T61" s="119"/>
      <c r="U61" s="4"/>
      <c r="X61" s="110"/>
      <c r="Y61" s="108"/>
      <c r="Z61" s="109"/>
      <c r="AC61" s="119"/>
      <c r="AM61" s="110"/>
      <c r="AN61" s="108"/>
      <c r="AO61" s="109"/>
      <c r="AR61" s="119"/>
    </row>
    <row r="62" spans="2:44" ht="14">
      <c r="B62"/>
      <c r="C62" s="3"/>
      <c r="D62" s="3"/>
      <c r="E62" s="3"/>
      <c r="F62" s="3"/>
      <c r="G62" s="3"/>
      <c r="H62" s="3"/>
      <c r="I62" s="3"/>
      <c r="J62" s="3"/>
      <c r="K62" s="22"/>
      <c r="L62" s="3"/>
      <c r="P62" s="108"/>
      <c r="Q62" s="108"/>
      <c r="S62" s="2"/>
      <c r="T62" s="119"/>
      <c r="U62" s="4"/>
      <c r="X62" s="110"/>
      <c r="Y62" s="108"/>
      <c r="Z62" s="109"/>
      <c r="AC62" s="119"/>
      <c r="AM62" s="110"/>
      <c r="AN62" s="108"/>
      <c r="AO62" s="109"/>
      <c r="AR62" s="119"/>
    </row>
    <row r="63" spans="2:44" ht="14">
      <c r="B63"/>
      <c r="C63" s="3"/>
      <c r="D63" s="3"/>
      <c r="E63" s="3"/>
      <c r="F63" s="3"/>
      <c r="G63" s="3"/>
      <c r="H63" s="3"/>
      <c r="I63" s="3"/>
      <c r="J63" s="3"/>
      <c r="K63" s="22"/>
      <c r="L63" s="3"/>
      <c r="P63" s="108" t="s">
        <v>159</v>
      </c>
      <c r="Q63" s="108"/>
      <c r="S63" s="2"/>
      <c r="T63" s="119"/>
      <c r="U63" s="4"/>
      <c r="X63" s="110"/>
      <c r="Y63" s="108"/>
      <c r="Z63" s="109"/>
      <c r="AC63" s="119"/>
      <c r="AM63" s="110"/>
      <c r="AN63" s="108"/>
      <c r="AO63" s="109"/>
      <c r="AR63" s="119"/>
    </row>
    <row r="64" spans="2:44" ht="14">
      <c r="C64" s="3"/>
      <c r="D64" s="3"/>
      <c r="E64" s="3"/>
      <c r="F64" s="3"/>
      <c r="G64" s="3"/>
      <c r="H64" s="3"/>
      <c r="I64" s="3"/>
      <c r="J64" s="3"/>
      <c r="K64" s="22"/>
      <c r="L64" s="3"/>
      <c r="P64" s="108"/>
      <c r="Q64" s="108"/>
      <c r="S64" s="2"/>
      <c r="T64" s="119"/>
      <c r="U64" s="4"/>
      <c r="X64" s="110"/>
      <c r="Y64" s="108"/>
      <c r="Z64" s="109"/>
      <c r="AC64" s="119"/>
      <c r="AM64" s="110"/>
      <c r="AN64" s="108"/>
      <c r="AO64" s="109"/>
      <c r="AR64" s="119"/>
    </row>
    <row r="65" spans="1:45" ht="14">
      <c r="C65" s="3"/>
      <c r="D65" s="3"/>
      <c r="E65" s="3"/>
      <c r="F65" s="3"/>
      <c r="G65" s="3"/>
      <c r="H65" s="3"/>
      <c r="I65" s="3"/>
      <c r="J65" s="3"/>
      <c r="K65" s="22"/>
      <c r="L65" s="3"/>
      <c r="P65" s="108"/>
      <c r="Q65" s="108"/>
      <c r="S65" s="2"/>
      <c r="T65" s="119"/>
      <c r="U65" s="4"/>
      <c r="X65" s="110"/>
      <c r="Y65" s="108"/>
      <c r="Z65" s="109"/>
      <c r="AC65" s="119"/>
      <c r="AM65" s="110"/>
      <c r="AN65" s="108"/>
      <c r="AO65" s="109"/>
      <c r="AR65" s="119"/>
    </row>
    <row r="66" spans="1:45" ht="14">
      <c r="C66" s="3"/>
      <c r="D66" s="3"/>
      <c r="E66" s="3"/>
      <c r="F66" s="3"/>
      <c r="G66" s="3"/>
      <c r="H66" s="3"/>
      <c r="I66" s="3"/>
      <c r="J66" s="3"/>
      <c r="K66" s="22"/>
      <c r="L66" s="3"/>
      <c r="P66" s="108"/>
      <c r="Q66" s="108"/>
      <c r="S66" s="2"/>
      <c r="T66" s="119"/>
      <c r="U66" s="4"/>
      <c r="X66" s="110"/>
      <c r="Y66" s="108"/>
      <c r="Z66" s="109"/>
      <c r="AC66" s="119"/>
      <c r="AM66" s="110"/>
      <c r="AN66" s="108"/>
      <c r="AO66" s="109"/>
      <c r="AR66" s="119"/>
    </row>
    <row r="67" spans="1:45" ht="14">
      <c r="C67" s="3"/>
      <c r="D67" s="3"/>
      <c r="E67" s="3"/>
      <c r="F67" s="3"/>
      <c r="G67" s="3"/>
      <c r="H67" s="3"/>
      <c r="I67" s="3"/>
      <c r="J67" s="3"/>
      <c r="K67" s="22"/>
      <c r="L67" s="3"/>
      <c r="P67" s="108"/>
      <c r="Q67" s="108"/>
      <c r="S67" s="2"/>
      <c r="T67" s="119"/>
      <c r="U67" s="4"/>
      <c r="X67" s="110"/>
      <c r="Y67" s="108"/>
      <c r="Z67" s="109"/>
      <c r="AC67" s="119"/>
      <c r="AM67" s="110"/>
      <c r="AN67" s="108"/>
      <c r="AO67" s="109"/>
      <c r="AR67" s="119"/>
    </row>
    <row r="68" spans="1:45" ht="14">
      <c r="C68" s="3"/>
      <c r="D68" s="3"/>
      <c r="E68" s="3"/>
      <c r="F68" s="3"/>
      <c r="G68" s="3"/>
      <c r="H68" s="3"/>
      <c r="I68" s="3"/>
      <c r="J68" s="3"/>
      <c r="K68" s="22"/>
      <c r="L68" s="3"/>
      <c r="P68" s="108"/>
      <c r="Q68" s="108"/>
      <c r="S68" s="2"/>
      <c r="T68" s="119"/>
      <c r="U68" s="4"/>
      <c r="X68" s="110"/>
      <c r="Y68" s="108"/>
      <c r="Z68" s="109"/>
      <c r="AC68" s="119"/>
      <c r="AM68" s="110"/>
      <c r="AN68" s="108"/>
      <c r="AO68" s="109"/>
      <c r="AR68" s="119"/>
    </row>
    <row r="69" spans="1:45" ht="14">
      <c r="C69" s="3"/>
      <c r="D69" s="3"/>
      <c r="E69" s="3"/>
      <c r="F69" s="3"/>
      <c r="G69" s="3"/>
      <c r="H69" s="3"/>
      <c r="I69" s="3"/>
      <c r="J69" s="3"/>
      <c r="K69" s="22"/>
      <c r="L69" s="3"/>
      <c r="P69" s="108"/>
      <c r="Q69" s="108"/>
      <c r="S69" s="2"/>
      <c r="T69" s="119"/>
      <c r="U69" s="4"/>
      <c r="X69" s="110"/>
      <c r="Y69" s="108"/>
      <c r="Z69" s="109"/>
      <c r="AC69" s="119"/>
      <c r="AM69" s="110"/>
      <c r="AN69" s="108"/>
      <c r="AO69" s="109"/>
      <c r="AR69" s="119"/>
    </row>
    <row r="70" spans="1:45" ht="14">
      <c r="C70" s="3"/>
      <c r="D70" s="3"/>
      <c r="E70" s="3"/>
      <c r="F70" s="3"/>
      <c r="G70" s="3"/>
      <c r="H70" s="3"/>
      <c r="I70" s="3"/>
      <c r="J70" s="3"/>
      <c r="K70" s="22"/>
      <c r="L70" s="3"/>
      <c r="P70" s="108"/>
      <c r="Q70" s="108"/>
      <c r="S70" s="2"/>
      <c r="T70" s="119"/>
      <c r="U70" s="4"/>
      <c r="X70" s="110"/>
      <c r="Y70" s="108"/>
      <c r="Z70" s="109"/>
      <c r="AC70" s="119"/>
      <c r="AM70" s="110"/>
      <c r="AN70" s="108"/>
      <c r="AO70" s="109"/>
      <c r="AR70" s="119"/>
    </row>
    <row r="71" spans="1:45" ht="14">
      <c r="C71" s="3"/>
      <c r="D71" s="3"/>
      <c r="E71" s="3"/>
      <c r="F71" s="3"/>
      <c r="G71" s="3"/>
      <c r="H71" s="3"/>
      <c r="I71" s="3"/>
      <c r="J71" s="3"/>
      <c r="K71" s="22"/>
      <c r="L71" s="3"/>
      <c r="P71" s="108"/>
      <c r="Q71" s="108"/>
      <c r="S71" s="2"/>
      <c r="T71" s="119"/>
      <c r="U71" s="4"/>
      <c r="X71" s="110"/>
      <c r="Y71" s="108"/>
      <c r="Z71" s="109"/>
      <c r="AC71" s="119"/>
      <c r="AM71" s="110"/>
      <c r="AN71" s="108"/>
      <c r="AO71" s="109"/>
      <c r="AR71" s="119"/>
    </row>
    <row r="72" spans="1:45" ht="14">
      <c r="C72" s="3"/>
      <c r="D72" s="3"/>
      <c r="E72" s="3"/>
      <c r="F72" s="3"/>
      <c r="G72" s="3"/>
      <c r="H72" s="3"/>
      <c r="I72" s="3"/>
      <c r="J72" s="3"/>
      <c r="K72" s="22"/>
      <c r="L72" s="3"/>
      <c r="P72" s="108"/>
      <c r="Q72" s="108"/>
      <c r="S72" s="2"/>
      <c r="T72" s="119"/>
      <c r="U72" s="4"/>
      <c r="X72" s="110"/>
      <c r="Y72" s="108"/>
      <c r="Z72" s="109"/>
      <c r="AC72" s="119"/>
      <c r="AM72" s="110"/>
      <c r="AN72" s="108"/>
      <c r="AO72" s="109"/>
      <c r="AR72" s="119"/>
    </row>
    <row r="73" spans="1:45" ht="14">
      <c r="C73" s="3"/>
      <c r="D73" s="3"/>
      <c r="E73" s="3"/>
      <c r="F73" s="3"/>
      <c r="G73" s="3"/>
      <c r="H73" s="3"/>
      <c r="I73" s="3"/>
      <c r="J73" s="3"/>
      <c r="K73" s="22"/>
      <c r="L73" s="3"/>
      <c r="P73" s="108"/>
      <c r="Q73" s="108"/>
      <c r="S73" s="2"/>
      <c r="T73" s="119"/>
      <c r="U73" s="4"/>
      <c r="X73" s="110"/>
      <c r="Y73" s="108"/>
      <c r="Z73" s="109"/>
      <c r="AC73" s="119"/>
      <c r="AM73" s="110"/>
      <c r="AN73" s="108"/>
      <c r="AO73" s="109"/>
      <c r="AR73" s="119"/>
    </row>
    <row r="74" spans="1:45" ht="14">
      <c r="C74" s="3"/>
      <c r="D74" s="3"/>
      <c r="E74" s="3"/>
      <c r="F74" s="3"/>
      <c r="G74" s="3"/>
      <c r="H74" s="3"/>
      <c r="I74" s="3"/>
      <c r="J74" s="3"/>
      <c r="K74" s="22"/>
      <c r="L74" s="3"/>
      <c r="P74" s="108"/>
      <c r="Q74" s="108"/>
      <c r="S74" s="2"/>
      <c r="T74" s="119"/>
      <c r="U74" s="4"/>
      <c r="X74" s="110"/>
      <c r="Y74" s="108"/>
      <c r="Z74" s="109"/>
      <c r="AC74" s="119"/>
      <c r="AM74" s="110"/>
      <c r="AN74" s="108"/>
      <c r="AO74" s="109"/>
      <c r="AR74" s="119"/>
    </row>
    <row r="75" spans="1:45" ht="14">
      <c r="C75" s="3"/>
      <c r="D75" s="3"/>
      <c r="E75" s="3"/>
      <c r="F75" s="3"/>
      <c r="G75" s="3"/>
      <c r="H75" s="3"/>
      <c r="I75" s="3"/>
      <c r="J75" s="3"/>
      <c r="K75" s="22"/>
      <c r="L75" s="3"/>
      <c r="P75" s="108"/>
      <c r="Q75" s="108"/>
      <c r="S75" s="2"/>
      <c r="T75" s="119"/>
      <c r="U75" s="4"/>
      <c r="X75" s="110"/>
      <c r="Y75" s="108"/>
      <c r="Z75" s="109"/>
      <c r="AC75" s="119"/>
      <c r="AF75" t="s">
        <v>226</v>
      </c>
      <c r="AM75" s="110"/>
      <c r="AN75" s="108"/>
      <c r="AO75" s="109"/>
      <c r="AR75" s="119"/>
    </row>
    <row r="76" spans="1:45" ht="14">
      <c r="C76" s="3"/>
      <c r="D76" s="111" t="s">
        <v>157</v>
      </c>
      <c r="E76" s="3"/>
      <c r="F76" s="3"/>
      <c r="G76" s="3"/>
      <c r="H76" s="3"/>
      <c r="I76" s="3"/>
      <c r="J76" s="3"/>
      <c r="K76" s="3"/>
      <c r="L76" s="3"/>
      <c r="M76" s="111" t="s">
        <v>117</v>
      </c>
      <c r="S76" s="2"/>
      <c r="T76" s="2"/>
      <c r="U76" s="4"/>
      <c r="V76" s="111" t="s">
        <v>118</v>
      </c>
      <c r="X76" s="99"/>
      <c r="Z76" s="100"/>
      <c r="AF76">
        <v>0.75</v>
      </c>
      <c r="AK76" s="111" t="s">
        <v>158</v>
      </c>
    </row>
    <row r="77" spans="1:45" s="1" customFormat="1" ht="47" customHeight="1">
      <c r="A77" s="1" t="s">
        <v>62</v>
      </c>
      <c r="B77" s="20" t="s">
        <v>19</v>
      </c>
      <c r="C77" s="1" t="s">
        <v>229</v>
      </c>
      <c r="D77" s="78" t="s">
        <v>61</v>
      </c>
      <c r="E77" s="78" t="s">
        <v>236</v>
      </c>
      <c r="F77" s="78" t="s">
        <v>232</v>
      </c>
      <c r="G77" s="79" t="s">
        <v>45</v>
      </c>
      <c r="H77" s="92" t="s">
        <v>46</v>
      </c>
      <c r="I77" s="79" t="s">
        <v>48</v>
      </c>
      <c r="J77" s="78" t="s">
        <v>49</v>
      </c>
      <c r="K77" s="92" t="s">
        <v>47</v>
      </c>
      <c r="M77" s="78" t="s">
        <v>61</v>
      </c>
      <c r="N77" s="78" t="s">
        <v>43</v>
      </c>
      <c r="O77" s="78" t="s">
        <v>44</v>
      </c>
      <c r="P77" s="79" t="s">
        <v>45</v>
      </c>
      <c r="Q77" s="92" t="s">
        <v>46</v>
      </c>
      <c r="R77" s="79" t="s">
        <v>48</v>
      </c>
      <c r="S77" s="78" t="s">
        <v>49</v>
      </c>
      <c r="T77" s="92" t="s">
        <v>47</v>
      </c>
      <c r="U77" s="16"/>
      <c r="V77" s="86" t="s">
        <v>61</v>
      </c>
      <c r="W77" s="86" t="s">
        <v>50</v>
      </c>
      <c r="X77" s="86" t="s">
        <v>233</v>
      </c>
      <c r="Y77" s="87" t="s">
        <v>52</v>
      </c>
      <c r="Z77" s="93" t="s">
        <v>53</v>
      </c>
      <c r="AA77" s="87" t="s">
        <v>55</v>
      </c>
      <c r="AB77" s="86" t="s">
        <v>56</v>
      </c>
      <c r="AC77" s="93" t="s">
        <v>54</v>
      </c>
      <c r="AE77" s="1" t="s">
        <v>42</v>
      </c>
      <c r="AF77" s="1" t="s">
        <v>225</v>
      </c>
      <c r="AG77" s="1" t="s">
        <v>210</v>
      </c>
      <c r="AH77" s="1" t="s">
        <v>228</v>
      </c>
      <c r="AI77" s="1" t="s">
        <v>230</v>
      </c>
      <c r="AJ77" s="112" t="s">
        <v>65</v>
      </c>
      <c r="AK77" s="94" t="s">
        <v>123</v>
      </c>
      <c r="AL77" s="94" t="s">
        <v>122</v>
      </c>
      <c r="AM77" s="94" t="s">
        <v>231</v>
      </c>
      <c r="AN77" s="95" t="s">
        <v>125</v>
      </c>
      <c r="AO77" s="96" t="s">
        <v>126</v>
      </c>
      <c r="AP77" s="95" t="s">
        <v>127</v>
      </c>
      <c r="AQ77" s="94" t="s">
        <v>128</v>
      </c>
      <c r="AR77" s="96" t="s">
        <v>155</v>
      </c>
      <c r="AS77" s="1" t="s">
        <v>57</v>
      </c>
    </row>
    <row r="78" spans="1:45" ht="14">
      <c r="A78">
        <f t="shared" ref="A78:A141" si="1">A79-1</f>
        <v>-80</v>
      </c>
      <c r="B78" s="21">
        <v>0</v>
      </c>
      <c r="C78" s="26">
        <f t="shared" ref="C78:C118" si="2">B$8*(1-EXP(-B$9*$B78))^3</f>
        <v>0</v>
      </c>
      <c r="D78" s="26"/>
      <c r="E78" s="26"/>
      <c r="F78" s="26"/>
      <c r="G78" s="26"/>
      <c r="H78" s="26"/>
      <c r="I78" s="26"/>
      <c r="J78" s="26"/>
      <c r="K78" s="26"/>
      <c r="L78" s="26"/>
      <c r="M78" s="80"/>
      <c r="N78" s="80"/>
      <c r="O78" s="80"/>
      <c r="P78" s="81"/>
      <c r="Q78" s="81"/>
      <c r="R78" s="81"/>
      <c r="S78" s="81"/>
      <c r="T78" s="81"/>
      <c r="U78" s="3"/>
      <c r="V78" s="88"/>
      <c r="W78" s="88"/>
      <c r="X78" s="88"/>
      <c r="Y78" s="88"/>
      <c r="Z78" s="88"/>
      <c r="AA78" s="88"/>
      <c r="AB78" s="88"/>
      <c r="AC78" s="88"/>
      <c r="AE78">
        <f t="shared" ref="AE78:AE141" si="3">A78</f>
        <v>-80</v>
      </c>
      <c r="AI78" s="3">
        <f>AJ78+AF78+AG78+AH78</f>
        <v>0</v>
      </c>
      <c r="AJ78" s="113">
        <f t="shared" ref="AJ78:AJ141" si="4">C78</f>
        <v>0</v>
      </c>
      <c r="AK78" s="97"/>
      <c r="AL78" s="97"/>
      <c r="AM78" s="97"/>
      <c r="AN78" s="97"/>
      <c r="AO78" s="97"/>
      <c r="AP78" s="97"/>
      <c r="AQ78" s="97"/>
      <c r="AR78" s="97"/>
      <c r="AS78" s="124">
        <f t="shared" ref="AS78:AS117" si="5">AJ78</f>
        <v>0</v>
      </c>
    </row>
    <row r="79" spans="1:45" ht="14">
      <c r="A79">
        <f t="shared" si="1"/>
        <v>-79</v>
      </c>
      <c r="B79" s="21">
        <v>1</v>
      </c>
      <c r="C79" s="26">
        <f t="shared" si="2"/>
        <v>1.304576931015696E-3</v>
      </c>
      <c r="D79" s="26"/>
      <c r="E79" s="26"/>
      <c r="F79" s="26"/>
      <c r="G79" s="26"/>
      <c r="H79" s="26"/>
      <c r="I79" s="26"/>
      <c r="J79" s="26"/>
      <c r="K79" s="26"/>
      <c r="L79" s="26"/>
      <c r="M79" s="80"/>
      <c r="N79" s="80"/>
      <c r="O79" s="80"/>
      <c r="P79" s="81"/>
      <c r="Q79" s="81"/>
      <c r="R79" s="81"/>
      <c r="S79" s="81"/>
      <c r="T79" s="81"/>
      <c r="U79" s="3"/>
      <c r="V79" s="88"/>
      <c r="W79" s="88"/>
      <c r="X79" s="88"/>
      <c r="Y79" s="88"/>
      <c r="Z79" s="88"/>
      <c r="AA79" s="88"/>
      <c r="AB79" s="88"/>
      <c r="AC79" s="88"/>
      <c r="AE79">
        <f t="shared" si="3"/>
        <v>-79</v>
      </c>
      <c r="AI79" s="3">
        <f t="shared" ref="AI79:AI142" si="6">AJ79+AF79+AG79+AH79</f>
        <v>1.304576931015696E-3</v>
      </c>
      <c r="AJ79" s="113">
        <f t="shared" si="4"/>
        <v>1.304576931015696E-3</v>
      </c>
      <c r="AK79" s="97"/>
      <c r="AL79" s="97"/>
      <c r="AM79" s="97"/>
      <c r="AN79" s="97"/>
      <c r="AO79" s="97"/>
      <c r="AP79" s="97"/>
      <c r="AQ79" s="97"/>
      <c r="AR79" s="97"/>
      <c r="AS79" s="124">
        <f t="shared" si="5"/>
        <v>1.304576931015696E-3</v>
      </c>
    </row>
    <row r="80" spans="1:45" ht="14">
      <c r="A80">
        <f t="shared" si="1"/>
        <v>-78</v>
      </c>
      <c r="B80" s="21">
        <v>2</v>
      </c>
      <c r="C80" s="26">
        <f t="shared" si="2"/>
        <v>1.0129686160647853E-2</v>
      </c>
      <c r="D80" s="26"/>
      <c r="E80" s="26"/>
      <c r="F80" s="26"/>
      <c r="G80" s="26"/>
      <c r="H80" s="26"/>
      <c r="I80" s="26"/>
      <c r="J80" s="26"/>
      <c r="K80" s="26"/>
      <c r="L80" s="26"/>
      <c r="M80" s="80"/>
      <c r="N80" s="80"/>
      <c r="O80" s="80"/>
      <c r="P80" s="81"/>
      <c r="Q80" s="81"/>
      <c r="R80" s="81"/>
      <c r="S80" s="81"/>
      <c r="T80" s="81"/>
      <c r="U80" s="3"/>
      <c r="V80" s="88"/>
      <c r="W80" s="88"/>
      <c r="X80" s="88"/>
      <c r="Y80" s="88"/>
      <c r="Z80" s="88"/>
      <c r="AA80" s="88"/>
      <c r="AB80" s="88"/>
      <c r="AC80" s="88"/>
      <c r="AE80">
        <f t="shared" si="3"/>
        <v>-78</v>
      </c>
      <c r="AI80" s="3">
        <f t="shared" si="6"/>
        <v>1.0129686160647853E-2</v>
      </c>
      <c r="AJ80" s="113">
        <f t="shared" si="4"/>
        <v>1.0129686160647853E-2</v>
      </c>
      <c r="AK80" s="97"/>
      <c r="AL80" s="97"/>
      <c r="AM80" s="97"/>
      <c r="AN80" s="97"/>
      <c r="AO80" s="97"/>
      <c r="AP80" s="97"/>
      <c r="AQ80" s="97"/>
      <c r="AR80" s="97"/>
      <c r="AS80" s="124">
        <f t="shared" si="5"/>
        <v>1.0129686160647853E-2</v>
      </c>
    </row>
    <row r="81" spans="1:45" ht="14">
      <c r="A81">
        <f t="shared" si="1"/>
        <v>-77</v>
      </c>
      <c r="B81" s="21">
        <v>3</v>
      </c>
      <c r="C81" s="26">
        <f t="shared" si="2"/>
        <v>3.3185586831962252E-2</v>
      </c>
      <c r="D81" s="26"/>
      <c r="E81" s="26"/>
      <c r="F81" s="26"/>
      <c r="G81" s="26"/>
      <c r="H81" s="26"/>
      <c r="I81" s="26"/>
      <c r="J81" s="26"/>
      <c r="K81" s="26"/>
      <c r="L81" s="26"/>
      <c r="M81" s="80"/>
      <c r="N81" s="80"/>
      <c r="O81" s="80"/>
      <c r="P81" s="81"/>
      <c r="Q81" s="81"/>
      <c r="R81" s="81"/>
      <c r="S81" s="81"/>
      <c r="T81" s="81"/>
      <c r="U81" s="3"/>
      <c r="V81" s="88"/>
      <c r="W81" s="88"/>
      <c r="X81" s="88"/>
      <c r="Y81" s="88"/>
      <c r="Z81" s="88"/>
      <c r="AA81" s="88"/>
      <c r="AB81" s="88"/>
      <c r="AC81" s="88"/>
      <c r="AE81">
        <f t="shared" si="3"/>
        <v>-77</v>
      </c>
      <c r="AI81" s="3">
        <f t="shared" si="6"/>
        <v>3.3185586831962252E-2</v>
      </c>
      <c r="AJ81" s="113">
        <f t="shared" si="4"/>
        <v>3.3185586831962252E-2</v>
      </c>
      <c r="AK81" s="97"/>
      <c r="AL81" s="97"/>
      <c r="AM81" s="97"/>
      <c r="AN81" s="97"/>
      <c r="AO81" s="97"/>
      <c r="AP81" s="97"/>
      <c r="AQ81" s="97"/>
      <c r="AR81" s="97"/>
      <c r="AS81" s="124">
        <f t="shared" si="5"/>
        <v>3.3185586831962252E-2</v>
      </c>
    </row>
    <row r="82" spans="1:45" ht="14">
      <c r="A82">
        <f t="shared" si="1"/>
        <v>-76</v>
      </c>
      <c r="B82" s="21">
        <v>4</v>
      </c>
      <c r="C82" s="26">
        <f t="shared" si="2"/>
        <v>7.6364034925272523E-2</v>
      </c>
      <c r="D82" s="26"/>
      <c r="E82" s="26"/>
      <c r="F82" s="26"/>
      <c r="G82" s="26"/>
      <c r="H82" s="26"/>
      <c r="I82" s="26"/>
      <c r="J82" s="26"/>
      <c r="K82" s="26"/>
      <c r="L82" s="26"/>
      <c r="M82" s="80"/>
      <c r="N82" s="80"/>
      <c r="O82" s="80"/>
      <c r="P82" s="81"/>
      <c r="Q82" s="81"/>
      <c r="R82" s="81"/>
      <c r="S82" s="81"/>
      <c r="T82" s="81"/>
      <c r="U82" s="3"/>
      <c r="V82" s="88"/>
      <c r="W82" s="88"/>
      <c r="X82" s="88"/>
      <c r="Y82" s="88"/>
      <c r="Z82" s="88"/>
      <c r="AA82" s="88"/>
      <c r="AB82" s="88"/>
      <c r="AC82" s="88"/>
      <c r="AE82">
        <f t="shared" si="3"/>
        <v>-76</v>
      </c>
      <c r="AI82" s="3">
        <f t="shared" si="6"/>
        <v>7.6364034925272523E-2</v>
      </c>
      <c r="AJ82" s="113">
        <f t="shared" si="4"/>
        <v>7.6364034925272523E-2</v>
      </c>
      <c r="AK82" s="97"/>
      <c r="AL82" s="97"/>
      <c r="AM82" s="97"/>
      <c r="AN82" s="97"/>
      <c r="AO82" s="97"/>
      <c r="AP82" s="97"/>
      <c r="AQ82" s="97"/>
      <c r="AR82" s="97"/>
      <c r="AS82" s="124">
        <f t="shared" si="5"/>
        <v>7.6364034925272523E-2</v>
      </c>
    </row>
    <row r="83" spans="1:45" ht="14">
      <c r="A83">
        <f t="shared" si="1"/>
        <v>-75</v>
      </c>
      <c r="B83" s="21">
        <v>5</v>
      </c>
      <c r="C83" s="26">
        <f t="shared" si="2"/>
        <v>0.14480564018396114</v>
      </c>
      <c r="D83" s="26"/>
      <c r="E83" s="26"/>
      <c r="F83" s="26"/>
      <c r="G83" s="26"/>
      <c r="H83" s="26"/>
      <c r="I83" s="26"/>
      <c r="J83" s="26"/>
      <c r="K83" s="26"/>
      <c r="L83" s="26"/>
      <c r="M83" s="80"/>
      <c r="N83" s="80"/>
      <c r="O83" s="80"/>
      <c r="P83" s="81"/>
      <c r="Q83" s="81"/>
      <c r="R83" s="81"/>
      <c r="S83" s="81"/>
      <c r="T83" s="81"/>
      <c r="U83" s="3"/>
      <c r="V83" s="88"/>
      <c r="W83" s="88"/>
      <c r="X83" s="88"/>
      <c r="Y83" s="88"/>
      <c r="Z83" s="88"/>
      <c r="AA83" s="88"/>
      <c r="AB83" s="88"/>
      <c r="AC83" s="88"/>
      <c r="AE83">
        <f t="shared" si="3"/>
        <v>-75</v>
      </c>
      <c r="AI83" s="3">
        <f t="shared" si="6"/>
        <v>0.14480564018396114</v>
      </c>
      <c r="AJ83" s="113">
        <f t="shared" si="4"/>
        <v>0.14480564018396114</v>
      </c>
      <c r="AK83" s="97"/>
      <c r="AL83" s="97"/>
      <c r="AM83" s="97"/>
      <c r="AN83" s="97"/>
      <c r="AO83" s="97"/>
      <c r="AP83" s="97"/>
      <c r="AQ83" s="97"/>
      <c r="AR83" s="97"/>
      <c r="AS83" s="124">
        <f t="shared" si="5"/>
        <v>0.14480564018396114</v>
      </c>
    </row>
    <row r="84" spans="1:45" ht="14">
      <c r="A84">
        <f t="shared" si="1"/>
        <v>-74</v>
      </c>
      <c r="B84" s="21">
        <v>6</v>
      </c>
      <c r="C84" s="26">
        <f t="shared" si="2"/>
        <v>0.24296247057162773</v>
      </c>
      <c r="D84" s="26"/>
      <c r="E84" s="26"/>
      <c r="F84" s="26"/>
      <c r="G84" s="26"/>
      <c r="H84" s="26"/>
      <c r="I84" s="26"/>
      <c r="J84" s="26"/>
      <c r="K84" s="26"/>
      <c r="L84" s="26"/>
      <c r="M84" s="80"/>
      <c r="N84" s="80"/>
      <c r="O84" s="80"/>
      <c r="P84" s="81"/>
      <c r="Q84" s="81"/>
      <c r="R84" s="81"/>
      <c r="S84" s="81"/>
      <c r="T84" s="81"/>
      <c r="U84" s="3"/>
      <c r="V84" s="88"/>
      <c r="W84" s="88"/>
      <c r="X84" s="88"/>
      <c r="Y84" s="88"/>
      <c r="Z84" s="88"/>
      <c r="AA84" s="88"/>
      <c r="AB84" s="88"/>
      <c r="AC84" s="88"/>
      <c r="AE84">
        <f t="shared" si="3"/>
        <v>-74</v>
      </c>
      <c r="AI84" s="3">
        <f t="shared" si="6"/>
        <v>0.24296247057162773</v>
      </c>
      <c r="AJ84" s="113">
        <f t="shared" si="4"/>
        <v>0.24296247057162773</v>
      </c>
      <c r="AK84" s="97"/>
      <c r="AL84" s="97"/>
      <c r="AM84" s="97"/>
      <c r="AN84" s="97"/>
      <c r="AO84" s="97"/>
      <c r="AP84" s="97"/>
      <c r="AQ84" s="97"/>
      <c r="AR84" s="97"/>
      <c r="AS84" s="124">
        <f t="shared" si="5"/>
        <v>0.24296247057162773</v>
      </c>
    </row>
    <row r="85" spans="1:45" ht="14">
      <c r="A85">
        <f t="shared" si="1"/>
        <v>-73</v>
      </c>
      <c r="B85" s="21">
        <v>7</v>
      </c>
      <c r="C85" s="26">
        <f t="shared" si="2"/>
        <v>0.3746562147086363</v>
      </c>
      <c r="D85" s="26"/>
      <c r="E85" s="26"/>
      <c r="F85" s="26"/>
      <c r="G85" s="26"/>
      <c r="H85" s="26"/>
      <c r="I85" s="26"/>
      <c r="J85" s="26"/>
      <c r="K85" s="26"/>
      <c r="L85" s="26"/>
      <c r="M85" s="80"/>
      <c r="N85" s="80"/>
      <c r="O85" s="80"/>
      <c r="P85" s="81"/>
      <c r="Q85" s="81"/>
      <c r="R85" s="81"/>
      <c r="S85" s="81"/>
      <c r="T85" s="81"/>
      <c r="U85" s="3"/>
      <c r="V85" s="88"/>
      <c r="W85" s="88"/>
      <c r="X85" s="88"/>
      <c r="Y85" s="88"/>
      <c r="Z85" s="88"/>
      <c r="AA85" s="88"/>
      <c r="AB85" s="88"/>
      <c r="AC85" s="88"/>
      <c r="AE85">
        <f t="shared" si="3"/>
        <v>-73</v>
      </c>
      <c r="AI85" s="3">
        <f t="shared" si="6"/>
        <v>0.3746562147086363</v>
      </c>
      <c r="AJ85" s="113">
        <f t="shared" si="4"/>
        <v>0.3746562147086363</v>
      </c>
      <c r="AK85" s="97"/>
      <c r="AL85" s="97"/>
      <c r="AM85" s="97"/>
      <c r="AN85" s="97"/>
      <c r="AO85" s="97"/>
      <c r="AP85" s="97"/>
      <c r="AQ85" s="97"/>
      <c r="AR85" s="97"/>
      <c r="AS85" s="124">
        <f t="shared" si="5"/>
        <v>0.3746562147086363</v>
      </c>
    </row>
    <row r="86" spans="1:45" ht="14">
      <c r="A86">
        <f t="shared" si="1"/>
        <v>-72</v>
      </c>
      <c r="B86" s="21">
        <v>8</v>
      </c>
      <c r="C86" s="26">
        <f t="shared" si="2"/>
        <v>0.54313219331353713</v>
      </c>
      <c r="D86" s="26"/>
      <c r="E86" s="26"/>
      <c r="F86" s="26"/>
      <c r="G86" s="26"/>
      <c r="H86" s="26"/>
      <c r="I86" s="26"/>
      <c r="J86" s="26"/>
      <c r="K86" s="26"/>
      <c r="L86" s="26"/>
      <c r="M86" s="80"/>
      <c r="N86" s="80"/>
      <c r="O86" s="80"/>
      <c r="P86" s="81"/>
      <c r="Q86" s="81"/>
      <c r="R86" s="81"/>
      <c r="S86" s="81"/>
      <c r="T86" s="81"/>
      <c r="U86" s="3"/>
      <c r="V86" s="88"/>
      <c r="W86" s="88"/>
      <c r="X86" s="88"/>
      <c r="Y86" s="88"/>
      <c r="Z86" s="88"/>
      <c r="AA86" s="88"/>
      <c r="AB86" s="88"/>
      <c r="AC86" s="88"/>
      <c r="AE86">
        <f t="shared" si="3"/>
        <v>-72</v>
      </c>
      <c r="AI86" s="3">
        <f t="shared" si="6"/>
        <v>0.54313219331353713</v>
      </c>
      <c r="AJ86" s="113">
        <f t="shared" si="4"/>
        <v>0.54313219331353713</v>
      </c>
      <c r="AK86" s="97"/>
      <c r="AL86" s="97"/>
      <c r="AM86" s="97"/>
      <c r="AN86" s="97"/>
      <c r="AO86" s="97"/>
      <c r="AP86" s="97"/>
      <c r="AQ86" s="97"/>
      <c r="AR86" s="97"/>
      <c r="AS86" s="124">
        <f t="shared" si="5"/>
        <v>0.54313219331353713</v>
      </c>
    </row>
    <row r="87" spans="1:45" ht="14">
      <c r="A87">
        <f t="shared" si="1"/>
        <v>-71</v>
      </c>
      <c r="B87" s="21">
        <v>9</v>
      </c>
      <c r="C87" s="26">
        <f t="shared" si="2"/>
        <v>0.7511094924364492</v>
      </c>
      <c r="D87" s="26"/>
      <c r="E87" s="26"/>
      <c r="F87" s="26"/>
      <c r="G87" s="26"/>
      <c r="H87" s="26"/>
      <c r="I87" s="26"/>
      <c r="J87" s="26"/>
      <c r="K87" s="26"/>
      <c r="L87" s="26"/>
      <c r="M87" s="80"/>
      <c r="N87" s="80"/>
      <c r="O87" s="80"/>
      <c r="P87" s="81"/>
      <c r="Q87" s="81"/>
      <c r="R87" s="81"/>
      <c r="S87" s="81"/>
      <c r="T87" s="81"/>
      <c r="U87" s="3"/>
      <c r="V87" s="88"/>
      <c r="W87" s="88"/>
      <c r="X87" s="88"/>
      <c r="Y87" s="88"/>
      <c r="Z87" s="88"/>
      <c r="AA87" s="88"/>
      <c r="AB87" s="88"/>
      <c r="AC87" s="88"/>
      <c r="AE87">
        <f t="shared" si="3"/>
        <v>-71</v>
      </c>
      <c r="AI87" s="3">
        <f t="shared" si="6"/>
        <v>0.7511094924364492</v>
      </c>
      <c r="AJ87" s="113">
        <f t="shared" si="4"/>
        <v>0.7511094924364492</v>
      </c>
      <c r="AK87" s="97"/>
      <c r="AL87" s="97"/>
      <c r="AM87" s="97"/>
      <c r="AN87" s="97"/>
      <c r="AO87" s="97"/>
      <c r="AP87" s="97"/>
      <c r="AQ87" s="97"/>
      <c r="AR87" s="97"/>
      <c r="AS87" s="124">
        <f t="shared" si="5"/>
        <v>0.7511094924364492</v>
      </c>
    </row>
    <row r="88" spans="1:45" ht="14">
      <c r="A88">
        <f t="shared" si="1"/>
        <v>-70</v>
      </c>
      <c r="B88" s="21">
        <v>10</v>
      </c>
      <c r="C88" s="26">
        <f t="shared" si="2"/>
        <v>1.000827474146279</v>
      </c>
      <c r="D88" s="26"/>
      <c r="E88" s="26"/>
      <c r="F88" s="26"/>
      <c r="G88" s="26"/>
      <c r="H88" s="26"/>
      <c r="I88" s="26"/>
      <c r="J88" s="26"/>
      <c r="K88" s="26"/>
      <c r="L88" s="26"/>
      <c r="M88" s="80"/>
      <c r="N88" s="80"/>
      <c r="O88" s="80"/>
      <c r="P88" s="81"/>
      <c r="Q88" s="81"/>
      <c r="R88" s="81"/>
      <c r="S88" s="81"/>
      <c r="T88" s="81"/>
      <c r="U88" s="3"/>
      <c r="V88" s="88"/>
      <c r="W88" s="88"/>
      <c r="X88" s="88"/>
      <c r="Y88" s="88"/>
      <c r="Z88" s="88"/>
      <c r="AA88" s="88"/>
      <c r="AB88" s="88"/>
      <c r="AC88" s="88"/>
      <c r="AE88">
        <f t="shared" si="3"/>
        <v>-70</v>
      </c>
      <c r="AI88" s="3">
        <f t="shared" si="6"/>
        <v>1.000827474146279</v>
      </c>
      <c r="AJ88" s="113">
        <f t="shared" si="4"/>
        <v>1.000827474146279</v>
      </c>
      <c r="AK88" s="97"/>
      <c r="AL88" s="97"/>
      <c r="AM88" s="97"/>
      <c r="AN88" s="97"/>
      <c r="AO88" s="97"/>
      <c r="AP88" s="97"/>
      <c r="AQ88" s="97"/>
      <c r="AR88" s="97"/>
      <c r="AS88" s="124">
        <f t="shared" si="5"/>
        <v>1.000827474146279</v>
      </c>
    </row>
    <row r="89" spans="1:45" ht="14">
      <c r="A89">
        <f t="shared" si="1"/>
        <v>-69</v>
      </c>
      <c r="B89" s="21">
        <v>11</v>
      </c>
      <c r="C89" s="26">
        <f t="shared" si="2"/>
        <v>1.2940889042547259</v>
      </c>
      <c r="D89" s="26"/>
      <c r="E89" s="26"/>
      <c r="F89" s="26"/>
      <c r="G89" s="26"/>
      <c r="H89" s="26"/>
      <c r="I89" s="26"/>
      <c r="J89" s="26"/>
      <c r="K89" s="26"/>
      <c r="L89" s="26"/>
      <c r="M89" s="80"/>
      <c r="N89" s="80"/>
      <c r="O89" s="80"/>
      <c r="P89" s="81"/>
      <c r="Q89" s="81"/>
      <c r="R89" s="81"/>
      <c r="S89" s="81"/>
      <c r="T89" s="81"/>
      <c r="U89" s="3"/>
      <c r="V89" s="88"/>
      <c r="W89" s="88"/>
      <c r="X89" s="88"/>
      <c r="Y89" s="88"/>
      <c r="Z89" s="88"/>
      <c r="AA89" s="88"/>
      <c r="AB89" s="88"/>
      <c r="AC89" s="88"/>
      <c r="AE89">
        <f t="shared" si="3"/>
        <v>-69</v>
      </c>
      <c r="AI89" s="3">
        <f t="shared" si="6"/>
        <v>1.2940889042547259</v>
      </c>
      <c r="AJ89" s="113">
        <f t="shared" si="4"/>
        <v>1.2940889042547259</v>
      </c>
      <c r="AK89" s="97"/>
      <c r="AL89" s="97"/>
      <c r="AM89" s="97"/>
      <c r="AN89" s="97"/>
      <c r="AO89" s="97"/>
      <c r="AP89" s="97"/>
      <c r="AQ89" s="97"/>
      <c r="AR89" s="97"/>
      <c r="AS89" s="124">
        <f t="shared" si="5"/>
        <v>1.2940889042547259</v>
      </c>
    </row>
    <row r="90" spans="1:45" ht="14">
      <c r="A90">
        <f t="shared" si="1"/>
        <v>-68</v>
      </c>
      <c r="B90" s="21">
        <v>12</v>
      </c>
      <c r="C90" s="26">
        <f t="shared" si="2"/>
        <v>1.6322999215645968</v>
      </c>
      <c r="D90" s="26"/>
      <c r="E90" s="26"/>
      <c r="F90" s="26"/>
      <c r="G90" s="26"/>
      <c r="H90" s="26"/>
      <c r="I90" s="26"/>
      <c r="J90" s="26"/>
      <c r="K90" s="26"/>
      <c r="L90" s="26"/>
      <c r="M90" s="80"/>
      <c r="N90" s="80"/>
      <c r="O90" s="80"/>
      <c r="P90" s="81"/>
      <c r="Q90" s="81"/>
      <c r="R90" s="81"/>
      <c r="S90" s="81"/>
      <c r="T90" s="81"/>
      <c r="U90" s="3"/>
      <c r="V90" s="88"/>
      <c r="W90" s="88"/>
      <c r="X90" s="88"/>
      <c r="Y90" s="88"/>
      <c r="Z90" s="88"/>
      <c r="AA90" s="88"/>
      <c r="AB90" s="88"/>
      <c r="AC90" s="88"/>
      <c r="AE90">
        <f t="shared" si="3"/>
        <v>-68</v>
      </c>
      <c r="AI90" s="3">
        <f t="shared" si="6"/>
        <v>1.6322999215645968</v>
      </c>
      <c r="AJ90" s="113">
        <f t="shared" si="4"/>
        <v>1.6322999215645968</v>
      </c>
      <c r="AK90" s="97"/>
      <c r="AL90" s="97"/>
      <c r="AM90" s="97"/>
      <c r="AN90" s="97"/>
      <c r="AO90" s="97"/>
      <c r="AP90" s="97"/>
      <c r="AQ90" s="97"/>
      <c r="AR90" s="97"/>
      <c r="AS90" s="124">
        <f t="shared" si="5"/>
        <v>1.6322999215645968</v>
      </c>
    </row>
    <row r="91" spans="1:45" ht="14">
      <c r="A91">
        <f t="shared" si="1"/>
        <v>-67</v>
      </c>
      <c r="B91" s="21">
        <v>13</v>
      </c>
      <c r="C91" s="26">
        <f t="shared" si="2"/>
        <v>2.0165070589588248</v>
      </c>
      <c r="D91" s="26"/>
      <c r="E91" s="26"/>
      <c r="F91" s="26"/>
      <c r="G91" s="26"/>
      <c r="H91" s="26"/>
      <c r="I91" s="26"/>
      <c r="J91" s="26"/>
      <c r="K91" s="26"/>
      <c r="L91" s="26"/>
      <c r="M91" s="80"/>
      <c r="N91" s="80"/>
      <c r="O91" s="80"/>
      <c r="P91" s="81"/>
      <c r="Q91" s="81"/>
      <c r="R91" s="81"/>
      <c r="S91" s="81"/>
      <c r="T91" s="81"/>
      <c r="U91" s="3"/>
      <c r="V91" s="88"/>
      <c r="W91" s="88"/>
      <c r="X91" s="88"/>
      <c r="Y91" s="88"/>
      <c r="Z91" s="88"/>
      <c r="AA91" s="88"/>
      <c r="AB91" s="88"/>
      <c r="AC91" s="88"/>
      <c r="AE91">
        <f t="shared" si="3"/>
        <v>-67</v>
      </c>
      <c r="AI91" s="3">
        <f t="shared" si="6"/>
        <v>2.0165070589588248</v>
      </c>
      <c r="AJ91" s="113">
        <f t="shared" si="4"/>
        <v>2.0165070589588248</v>
      </c>
      <c r="AK91" s="97"/>
      <c r="AL91" s="97"/>
      <c r="AM91" s="97"/>
      <c r="AN91" s="97"/>
      <c r="AO91" s="97"/>
      <c r="AP91" s="97"/>
      <c r="AQ91" s="97"/>
      <c r="AR91" s="97"/>
      <c r="AS91" s="124">
        <f t="shared" si="5"/>
        <v>2.0165070589588248</v>
      </c>
    </row>
    <row r="92" spans="1:45" ht="14">
      <c r="A92">
        <f t="shared" si="1"/>
        <v>-66</v>
      </c>
      <c r="B92" s="21">
        <v>14</v>
      </c>
      <c r="C92" s="26">
        <f t="shared" si="2"/>
        <v>2.4474315133441817</v>
      </c>
      <c r="D92" s="26"/>
      <c r="E92" s="26"/>
      <c r="F92" s="26"/>
      <c r="G92" s="26"/>
      <c r="H92" s="26"/>
      <c r="I92" s="26"/>
      <c r="J92" s="26"/>
      <c r="K92" s="26"/>
      <c r="L92" s="26"/>
      <c r="M92" s="80"/>
      <c r="N92" s="80"/>
      <c r="O92" s="80"/>
      <c r="P92" s="81"/>
      <c r="Q92" s="81"/>
      <c r="R92" s="81"/>
      <c r="S92" s="81"/>
      <c r="T92" s="81"/>
      <c r="U92" s="3"/>
      <c r="V92" s="88"/>
      <c r="W92" s="88"/>
      <c r="X92" s="88"/>
      <c r="Y92" s="88"/>
      <c r="Z92" s="88"/>
      <c r="AA92" s="88"/>
      <c r="AB92" s="88"/>
      <c r="AC92" s="88"/>
      <c r="AE92">
        <f t="shared" si="3"/>
        <v>-66</v>
      </c>
      <c r="AI92" s="3">
        <f t="shared" si="6"/>
        <v>2.4474315133441817</v>
      </c>
      <c r="AJ92" s="113">
        <f t="shared" si="4"/>
        <v>2.4474315133441817</v>
      </c>
      <c r="AK92" s="97"/>
      <c r="AL92" s="97"/>
      <c r="AM92" s="97"/>
      <c r="AN92" s="97"/>
      <c r="AO92" s="97"/>
      <c r="AP92" s="97"/>
      <c r="AQ92" s="97"/>
      <c r="AR92" s="97"/>
      <c r="AS92" s="124">
        <f t="shared" si="5"/>
        <v>2.4474315133441817</v>
      </c>
    </row>
    <row r="93" spans="1:45" ht="14">
      <c r="A93">
        <f t="shared" si="1"/>
        <v>-65</v>
      </c>
      <c r="B93" s="21">
        <v>15</v>
      </c>
      <c r="C93" s="26">
        <f t="shared" si="2"/>
        <v>2.9255008489777561</v>
      </c>
      <c r="D93" s="26"/>
      <c r="E93" s="26"/>
      <c r="F93" s="26"/>
      <c r="G93" s="26"/>
      <c r="H93" s="26"/>
      <c r="I93" s="26"/>
      <c r="J93" s="26"/>
      <c r="K93" s="26"/>
      <c r="L93" s="26"/>
      <c r="M93" s="80"/>
      <c r="N93" s="80"/>
      <c r="O93" s="80"/>
      <c r="P93" s="81"/>
      <c r="Q93" s="81"/>
      <c r="R93" s="81"/>
      <c r="S93" s="81"/>
      <c r="T93" s="81"/>
      <c r="U93" s="3"/>
      <c r="V93" s="88"/>
      <c r="W93" s="88"/>
      <c r="X93" s="88"/>
      <c r="Y93" s="88"/>
      <c r="Z93" s="88"/>
      <c r="AA93" s="88"/>
      <c r="AB93" s="88"/>
      <c r="AC93" s="88"/>
      <c r="AE93">
        <f t="shared" si="3"/>
        <v>-65</v>
      </c>
      <c r="AI93" s="3">
        <f t="shared" si="6"/>
        <v>2.9255008489777561</v>
      </c>
      <c r="AJ93" s="113">
        <f t="shared" si="4"/>
        <v>2.9255008489777561</v>
      </c>
      <c r="AK93" s="97"/>
      <c r="AL93" s="97"/>
      <c r="AM93" s="97"/>
      <c r="AN93" s="97"/>
      <c r="AO93" s="97"/>
      <c r="AP93" s="97"/>
      <c r="AQ93" s="97"/>
      <c r="AR93" s="97"/>
      <c r="AS93" s="124">
        <f t="shared" si="5"/>
        <v>2.9255008489777561</v>
      </c>
    </row>
    <row r="94" spans="1:45" ht="14">
      <c r="A94">
        <f t="shared" si="1"/>
        <v>-64</v>
      </c>
      <c r="B94" s="21">
        <v>16</v>
      </c>
      <c r="C94" s="26">
        <f t="shared" si="2"/>
        <v>3.4508783069854148</v>
      </c>
      <c r="D94" s="26"/>
      <c r="E94" s="26"/>
      <c r="F94" s="26"/>
      <c r="G94" s="26"/>
      <c r="H94" s="26"/>
      <c r="I94" s="26"/>
      <c r="J94" s="26"/>
      <c r="K94" s="26"/>
      <c r="L94" s="26"/>
      <c r="M94" s="80"/>
      <c r="N94" s="80"/>
      <c r="O94" s="80"/>
      <c r="P94" s="81"/>
      <c r="Q94" s="81"/>
      <c r="R94" s="81"/>
      <c r="S94" s="81"/>
      <c r="T94" s="81"/>
      <c r="U94" s="3"/>
      <c r="V94" s="88"/>
      <c r="W94" s="88"/>
      <c r="X94" s="88"/>
      <c r="Y94" s="88"/>
      <c r="Z94" s="88"/>
      <c r="AA94" s="88"/>
      <c r="AB94" s="88"/>
      <c r="AC94" s="88"/>
      <c r="AE94">
        <f t="shared" si="3"/>
        <v>-64</v>
      </c>
      <c r="AI94" s="3">
        <f t="shared" si="6"/>
        <v>3.4508783069854148</v>
      </c>
      <c r="AJ94" s="113">
        <f t="shared" si="4"/>
        <v>3.4508783069854148</v>
      </c>
      <c r="AK94" s="97"/>
      <c r="AL94" s="97"/>
      <c r="AM94" s="97"/>
      <c r="AN94" s="97"/>
      <c r="AO94" s="97"/>
      <c r="AP94" s="97"/>
      <c r="AQ94" s="97"/>
      <c r="AR94" s="97"/>
      <c r="AS94" s="124">
        <f t="shared" si="5"/>
        <v>3.4508783069854148</v>
      </c>
    </row>
    <row r="95" spans="1:45" ht="14">
      <c r="A95">
        <f t="shared" si="1"/>
        <v>-63</v>
      </c>
      <c r="B95" s="21">
        <v>17</v>
      </c>
      <c r="C95" s="26">
        <f t="shared" si="2"/>
        <v>4.0234898828837915</v>
      </c>
      <c r="D95" s="26"/>
      <c r="E95" s="26"/>
      <c r="F95" s="26"/>
      <c r="G95" s="26"/>
      <c r="H95" s="26"/>
      <c r="I95" s="26"/>
      <c r="J95" s="26"/>
      <c r="K95" s="26"/>
      <c r="L95" s="26"/>
      <c r="M95" s="80"/>
      <c r="N95" s="80"/>
      <c r="O95" s="80"/>
      <c r="P95" s="81"/>
      <c r="Q95" s="81"/>
      <c r="R95" s="81"/>
      <c r="S95" s="81"/>
      <c r="T95" s="81"/>
      <c r="U95" s="3"/>
      <c r="V95" s="88"/>
      <c r="W95" s="88"/>
      <c r="X95" s="88"/>
      <c r="Y95" s="88"/>
      <c r="Z95" s="88"/>
      <c r="AA95" s="88"/>
      <c r="AB95" s="88"/>
      <c r="AC95" s="88"/>
      <c r="AE95">
        <f t="shared" si="3"/>
        <v>-63</v>
      </c>
      <c r="AI95" s="3">
        <f t="shared" si="6"/>
        <v>4.0234898828837915</v>
      </c>
      <c r="AJ95" s="113">
        <f t="shared" si="4"/>
        <v>4.0234898828837915</v>
      </c>
      <c r="AK95" s="97"/>
      <c r="AL95" s="97"/>
      <c r="AM95" s="97"/>
      <c r="AN95" s="97"/>
      <c r="AO95" s="97"/>
      <c r="AP95" s="97"/>
      <c r="AQ95" s="97"/>
      <c r="AR95" s="97"/>
      <c r="AS95" s="124">
        <f t="shared" si="5"/>
        <v>4.0234898828837915</v>
      </c>
    </row>
    <row r="96" spans="1:45" ht="14">
      <c r="A96">
        <f t="shared" si="1"/>
        <v>-62</v>
      </c>
      <c r="B96" s="21">
        <v>18</v>
      </c>
      <c r="C96" s="26">
        <f t="shared" si="2"/>
        <v>4.643049323596939</v>
      </c>
      <c r="D96" s="26"/>
      <c r="E96" s="26"/>
      <c r="F96" s="26"/>
      <c r="G96" s="26"/>
      <c r="H96" s="26"/>
      <c r="I96" s="26"/>
      <c r="J96" s="26"/>
      <c r="K96" s="26"/>
      <c r="L96" s="26"/>
      <c r="M96" s="80"/>
      <c r="N96" s="80"/>
      <c r="O96" s="80"/>
      <c r="P96" s="81"/>
      <c r="Q96" s="81"/>
      <c r="R96" s="81"/>
      <c r="S96" s="81"/>
      <c r="T96" s="81"/>
      <c r="U96" s="3"/>
      <c r="V96" s="88"/>
      <c r="W96" s="88"/>
      <c r="X96" s="88"/>
      <c r="Y96" s="88"/>
      <c r="Z96" s="88"/>
      <c r="AA96" s="88"/>
      <c r="AB96" s="88"/>
      <c r="AC96" s="88"/>
      <c r="AE96">
        <f t="shared" si="3"/>
        <v>-62</v>
      </c>
      <c r="AI96" s="3">
        <f t="shared" si="6"/>
        <v>4.643049323596939</v>
      </c>
      <c r="AJ96" s="113">
        <f t="shared" si="4"/>
        <v>4.643049323596939</v>
      </c>
      <c r="AK96" s="97"/>
      <c r="AL96" s="97"/>
      <c r="AM96" s="97"/>
      <c r="AN96" s="97"/>
      <c r="AO96" s="97"/>
      <c r="AP96" s="97"/>
      <c r="AQ96" s="97"/>
      <c r="AR96" s="97"/>
      <c r="AS96" s="124">
        <f t="shared" si="5"/>
        <v>4.643049323596939</v>
      </c>
    </row>
    <row r="97" spans="1:45" ht="14">
      <c r="A97">
        <f t="shared" si="1"/>
        <v>-61</v>
      </c>
      <c r="B97" s="21">
        <v>19</v>
      </c>
      <c r="C97" s="26">
        <f t="shared" si="2"/>
        <v>5.3090811857751401</v>
      </c>
      <c r="D97" s="26"/>
      <c r="E97" s="26"/>
      <c r="F97" s="26"/>
      <c r="G97" s="26"/>
      <c r="H97" s="26"/>
      <c r="I97" s="26"/>
      <c r="J97" s="26"/>
      <c r="K97" s="26"/>
      <c r="L97" s="26"/>
      <c r="M97" s="80"/>
      <c r="N97" s="80"/>
      <c r="O97" s="80"/>
      <c r="P97" s="81"/>
      <c r="Q97" s="81"/>
      <c r="R97" s="81"/>
      <c r="S97" s="81"/>
      <c r="T97" s="81"/>
      <c r="U97" s="3"/>
      <c r="V97" s="88"/>
      <c r="W97" s="88"/>
      <c r="X97" s="88"/>
      <c r="Y97" s="88"/>
      <c r="Z97" s="88"/>
      <c r="AA97" s="88"/>
      <c r="AB97" s="88"/>
      <c r="AC97" s="88"/>
      <c r="AE97">
        <f t="shared" si="3"/>
        <v>-61</v>
      </c>
      <c r="AI97" s="3">
        <f t="shared" si="6"/>
        <v>5.3090811857751401</v>
      </c>
      <c r="AJ97" s="113">
        <f t="shared" si="4"/>
        <v>5.3090811857751401</v>
      </c>
      <c r="AK97" s="97"/>
      <c r="AL97" s="97"/>
      <c r="AM97" s="97"/>
      <c r="AN97" s="97"/>
      <c r="AO97" s="97"/>
      <c r="AP97" s="97"/>
      <c r="AQ97" s="97"/>
      <c r="AR97" s="97"/>
      <c r="AS97" s="124">
        <f t="shared" si="5"/>
        <v>5.3090811857751401</v>
      </c>
    </row>
    <row r="98" spans="1:45" ht="14">
      <c r="A98">
        <f t="shared" si="1"/>
        <v>-60</v>
      </c>
      <c r="B98" s="21">
        <v>20</v>
      </c>
      <c r="C98" s="26">
        <f t="shared" si="2"/>
        <v>6.020942088137498</v>
      </c>
      <c r="D98" s="26"/>
      <c r="E98" s="26"/>
      <c r="F98" s="26"/>
      <c r="G98" s="26"/>
      <c r="H98" s="26"/>
      <c r="I98" s="26"/>
      <c r="J98" s="26"/>
      <c r="K98" s="26"/>
      <c r="L98" s="26"/>
      <c r="M98" s="80"/>
      <c r="N98" s="80"/>
      <c r="O98" s="80"/>
      <c r="P98" s="81"/>
      <c r="Q98" s="81"/>
      <c r="R98" s="81"/>
      <c r="S98" s="81"/>
      <c r="T98" s="81"/>
      <c r="U98" s="3"/>
      <c r="V98" s="88"/>
      <c r="W98" s="88"/>
      <c r="X98" s="88"/>
      <c r="Y98" s="88"/>
      <c r="Z98" s="88"/>
      <c r="AA98" s="88"/>
      <c r="AB98" s="88"/>
      <c r="AC98" s="88"/>
      <c r="AE98">
        <f t="shared" si="3"/>
        <v>-60</v>
      </c>
      <c r="AI98" s="3">
        <f t="shared" si="6"/>
        <v>6.020942088137498</v>
      </c>
      <c r="AJ98" s="113">
        <f t="shared" si="4"/>
        <v>6.020942088137498</v>
      </c>
      <c r="AK98" s="97"/>
      <c r="AL98" s="97"/>
      <c r="AM98" s="97"/>
      <c r="AN98" s="97"/>
      <c r="AO98" s="97"/>
      <c r="AP98" s="97"/>
      <c r="AQ98" s="97"/>
      <c r="AR98" s="97"/>
      <c r="AS98" s="124">
        <f t="shared" si="5"/>
        <v>6.020942088137498</v>
      </c>
    </row>
    <row r="99" spans="1:45" ht="14">
      <c r="A99">
        <f t="shared" si="1"/>
        <v>-59</v>
      </c>
      <c r="B99" s="21">
        <v>21</v>
      </c>
      <c r="C99" s="26">
        <f t="shared" si="2"/>
        <v>6.7778402820363954</v>
      </c>
      <c r="D99" s="26"/>
      <c r="E99" s="26"/>
      <c r="F99" s="26"/>
      <c r="G99" s="26"/>
      <c r="H99" s="26"/>
      <c r="I99" s="26"/>
      <c r="J99" s="26"/>
      <c r="K99" s="26"/>
      <c r="L99" s="26"/>
      <c r="M99" s="80"/>
      <c r="N99" s="80"/>
      <c r="O99" s="80"/>
      <c r="P99" s="81"/>
      <c r="Q99" s="81"/>
      <c r="R99" s="81"/>
      <c r="S99" s="81"/>
      <c r="T99" s="81"/>
      <c r="U99" s="3"/>
      <c r="V99" s="88"/>
      <c r="W99" s="88"/>
      <c r="X99" s="88"/>
      <c r="Y99" s="88"/>
      <c r="Z99" s="88"/>
      <c r="AA99" s="88"/>
      <c r="AB99" s="88"/>
      <c r="AC99" s="88"/>
      <c r="AE99">
        <f t="shared" si="3"/>
        <v>-59</v>
      </c>
      <c r="AI99" s="3">
        <f t="shared" si="6"/>
        <v>6.7778402820363954</v>
      </c>
      <c r="AJ99" s="113">
        <f t="shared" si="4"/>
        <v>6.7778402820363954</v>
      </c>
      <c r="AK99" s="97"/>
      <c r="AL99" s="97"/>
      <c r="AM99" s="97"/>
      <c r="AN99" s="97"/>
      <c r="AO99" s="97"/>
      <c r="AP99" s="97"/>
      <c r="AQ99" s="97"/>
      <c r="AR99" s="97"/>
      <c r="AS99" s="124">
        <f t="shared" si="5"/>
        <v>6.7778402820363954</v>
      </c>
    </row>
    <row r="100" spans="1:45" ht="14">
      <c r="A100">
        <f t="shared" si="1"/>
        <v>-58</v>
      </c>
      <c r="B100" s="21">
        <v>22</v>
      </c>
      <c r="C100" s="26">
        <f t="shared" si="2"/>
        <v>7.5788536564457836</v>
      </c>
      <c r="D100" s="26"/>
      <c r="E100" s="26"/>
      <c r="F100" s="26"/>
      <c r="G100" s="26"/>
      <c r="H100" s="26"/>
      <c r="I100" s="26"/>
      <c r="J100" s="26"/>
      <c r="K100" s="26"/>
      <c r="L100" s="26"/>
      <c r="M100" s="80"/>
      <c r="N100" s="80"/>
      <c r="O100" s="80"/>
      <c r="P100" s="81"/>
      <c r="Q100" s="81"/>
      <c r="R100" s="81"/>
      <c r="S100" s="81"/>
      <c r="T100" s="81"/>
      <c r="U100" s="3"/>
      <c r="V100" s="88"/>
      <c r="W100" s="88"/>
      <c r="X100" s="88"/>
      <c r="Y100" s="88"/>
      <c r="Z100" s="88"/>
      <c r="AA100" s="88"/>
      <c r="AB100" s="88"/>
      <c r="AC100" s="88"/>
      <c r="AE100">
        <f t="shared" si="3"/>
        <v>-58</v>
      </c>
      <c r="AI100" s="3">
        <f t="shared" si="6"/>
        <v>7.5788536564457836</v>
      </c>
      <c r="AJ100" s="113">
        <f t="shared" si="4"/>
        <v>7.5788536564457836</v>
      </c>
      <c r="AK100" s="97"/>
      <c r="AL100" s="97"/>
      <c r="AM100" s="97"/>
      <c r="AN100" s="97"/>
      <c r="AO100" s="97"/>
      <c r="AP100" s="97"/>
      <c r="AQ100" s="97"/>
      <c r="AR100" s="97"/>
      <c r="AS100" s="124">
        <f t="shared" si="5"/>
        <v>7.5788536564457836</v>
      </c>
    </row>
    <row r="101" spans="1:45" ht="14">
      <c r="A101">
        <f t="shared" si="1"/>
        <v>-57</v>
      </c>
      <c r="B101" s="21">
        <v>23</v>
      </c>
      <c r="C101" s="26">
        <f t="shared" si="2"/>
        <v>8.4229462860755522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80"/>
      <c r="N101" s="80"/>
      <c r="O101" s="80"/>
      <c r="P101" s="81"/>
      <c r="Q101" s="81"/>
      <c r="R101" s="81"/>
      <c r="S101" s="81"/>
      <c r="T101" s="81"/>
      <c r="U101" s="3"/>
      <c r="V101" s="88"/>
      <c r="W101" s="88"/>
      <c r="X101" s="88"/>
      <c r="Y101" s="88"/>
      <c r="Z101" s="88"/>
      <c r="AA101" s="88"/>
      <c r="AB101" s="88"/>
      <c r="AC101" s="88"/>
      <c r="AE101">
        <f t="shared" si="3"/>
        <v>-57</v>
      </c>
      <c r="AI101" s="3">
        <f t="shared" si="6"/>
        <v>8.4229462860755522</v>
      </c>
      <c r="AJ101" s="113">
        <f t="shared" si="4"/>
        <v>8.4229462860755522</v>
      </c>
      <c r="AK101" s="97"/>
      <c r="AL101" s="97"/>
      <c r="AM101" s="97"/>
      <c r="AN101" s="97"/>
      <c r="AO101" s="97"/>
      <c r="AP101" s="97"/>
      <c r="AQ101" s="97"/>
      <c r="AR101" s="97"/>
      <c r="AS101" s="124">
        <f t="shared" si="5"/>
        <v>8.4229462860755522</v>
      </c>
    </row>
    <row r="102" spans="1:45" ht="14">
      <c r="A102">
        <f t="shared" si="1"/>
        <v>-56</v>
      </c>
      <c r="B102" s="21">
        <v>24</v>
      </c>
      <c r="C102" s="26">
        <f t="shared" si="2"/>
        <v>9.3089836242797599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80"/>
      <c r="N102" s="80"/>
      <c r="O102" s="80"/>
      <c r="P102" s="81"/>
      <c r="Q102" s="81"/>
      <c r="R102" s="81"/>
      <c r="S102" s="81"/>
      <c r="T102" s="81"/>
      <c r="U102" s="3"/>
      <c r="V102" s="88"/>
      <c r="W102" s="88"/>
      <c r="X102" s="88"/>
      <c r="Y102" s="88"/>
      <c r="Z102" s="88"/>
      <c r="AA102" s="88"/>
      <c r="AB102" s="88"/>
      <c r="AC102" s="88"/>
      <c r="AE102">
        <f t="shared" si="3"/>
        <v>-56</v>
      </c>
      <c r="AI102" s="3">
        <f t="shared" si="6"/>
        <v>9.3089836242797599</v>
      </c>
      <c r="AJ102" s="113">
        <f t="shared" si="4"/>
        <v>9.3089836242797599</v>
      </c>
      <c r="AK102" s="97"/>
      <c r="AL102" s="97"/>
      <c r="AM102" s="97"/>
      <c r="AN102" s="97"/>
      <c r="AO102" s="97"/>
      <c r="AP102" s="97"/>
      <c r="AQ102" s="97"/>
      <c r="AR102" s="97"/>
      <c r="AS102" s="124">
        <f t="shared" si="5"/>
        <v>9.3089836242797599</v>
      </c>
    </row>
    <row r="103" spans="1:45" ht="14">
      <c r="A103">
        <f t="shared" si="1"/>
        <v>-55</v>
      </c>
      <c r="B103" s="21">
        <v>25</v>
      </c>
      <c r="C103" s="26">
        <f t="shared" si="2"/>
        <v>10.235746435830315</v>
      </c>
      <c r="D103" s="26"/>
      <c r="E103" s="26"/>
      <c r="F103" s="26"/>
      <c r="G103" s="26"/>
      <c r="H103" s="26" t="s">
        <v>159</v>
      </c>
      <c r="I103" s="26"/>
      <c r="J103" s="26"/>
      <c r="K103" s="26"/>
      <c r="L103" s="26"/>
      <c r="M103" s="80"/>
      <c r="N103" s="80"/>
      <c r="O103" s="80"/>
      <c r="P103" s="81"/>
      <c r="Q103" s="81"/>
      <c r="R103" s="81"/>
      <c r="S103" s="81"/>
      <c r="T103" s="81"/>
      <c r="U103" s="3"/>
      <c r="V103" s="88"/>
      <c r="W103" s="88"/>
      <c r="X103" s="88"/>
      <c r="Y103" s="88"/>
      <c r="Z103" s="88"/>
      <c r="AA103" s="88"/>
      <c r="AB103" s="88"/>
      <c r="AC103" s="88"/>
      <c r="AE103">
        <f t="shared" si="3"/>
        <v>-55</v>
      </c>
      <c r="AI103" s="3">
        <f t="shared" si="6"/>
        <v>10.235746435830315</v>
      </c>
      <c r="AJ103" s="113">
        <f t="shared" si="4"/>
        <v>10.235746435830315</v>
      </c>
      <c r="AK103" s="97"/>
      <c r="AL103" s="97"/>
      <c r="AM103" s="97"/>
      <c r="AN103" s="97"/>
      <c r="AO103" s="97"/>
      <c r="AP103" s="97"/>
      <c r="AQ103" s="97"/>
      <c r="AR103" s="97"/>
      <c r="AS103" s="124">
        <f t="shared" si="5"/>
        <v>10.235746435830315</v>
      </c>
    </row>
    <row r="104" spans="1:45" ht="14">
      <c r="A104">
        <f t="shared" si="1"/>
        <v>-54</v>
      </c>
      <c r="B104" s="21">
        <v>26</v>
      </c>
      <c r="C104" s="26">
        <f t="shared" si="2"/>
        <v>11.201943558441718</v>
      </c>
      <c r="D104" s="26"/>
      <c r="E104" s="26"/>
      <c r="F104" s="26"/>
      <c r="G104" s="26"/>
      <c r="H104" s="26"/>
      <c r="I104" s="26"/>
      <c r="J104" s="26"/>
      <c r="K104" s="26"/>
      <c r="L104" s="26"/>
      <c r="M104" s="80"/>
      <c r="N104" s="80"/>
      <c r="O104" s="80"/>
      <c r="P104" s="81"/>
      <c r="Q104" s="81"/>
      <c r="R104" s="81"/>
      <c r="S104" s="81"/>
      <c r="T104" s="81"/>
      <c r="U104" s="3"/>
      <c r="V104" s="88"/>
      <c r="W104" s="88"/>
      <c r="X104" s="88"/>
      <c r="Y104" s="88"/>
      <c r="Z104" s="88"/>
      <c r="AA104" s="88"/>
      <c r="AB104" s="88"/>
      <c r="AC104" s="88"/>
      <c r="AE104">
        <f t="shared" si="3"/>
        <v>-54</v>
      </c>
      <c r="AI104" s="3">
        <f t="shared" si="6"/>
        <v>11.201943558441718</v>
      </c>
      <c r="AJ104" s="113">
        <f t="shared" si="4"/>
        <v>11.201943558441718</v>
      </c>
      <c r="AK104" s="97"/>
      <c r="AL104" s="97"/>
      <c r="AM104" s="97"/>
      <c r="AN104" s="97"/>
      <c r="AO104" s="97"/>
      <c r="AP104" s="97"/>
      <c r="AQ104" s="97"/>
      <c r="AR104" s="97"/>
      <c r="AS104" s="124">
        <f t="shared" si="5"/>
        <v>11.201943558441718</v>
      </c>
    </row>
    <row r="105" spans="1:45" ht="14">
      <c r="A105">
        <f t="shared" si="1"/>
        <v>-53</v>
      </c>
      <c r="B105" s="21">
        <v>27</v>
      </c>
      <c r="C105" s="26">
        <f t="shared" si="2"/>
        <v>12.206223576133153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80"/>
      <c r="N105" s="80"/>
      <c r="O105" s="80"/>
      <c r="P105" s="81"/>
      <c r="Q105" s="81"/>
      <c r="R105" s="81"/>
      <c r="S105" s="81"/>
      <c r="T105" s="81"/>
      <c r="U105" s="3"/>
      <c r="V105" s="88"/>
      <c r="W105" s="88"/>
      <c r="X105" s="88"/>
      <c r="Y105" s="88"/>
      <c r="Z105" s="88"/>
      <c r="AA105" s="88"/>
      <c r="AB105" s="88"/>
      <c r="AC105" s="88"/>
      <c r="AE105">
        <f t="shared" si="3"/>
        <v>-53</v>
      </c>
      <c r="AI105" s="3">
        <f t="shared" si="6"/>
        <v>12.206223576133153</v>
      </c>
      <c r="AJ105" s="113">
        <f t="shared" si="4"/>
        <v>12.206223576133153</v>
      </c>
      <c r="AK105" s="97"/>
      <c r="AL105" s="97"/>
      <c r="AM105" s="97"/>
      <c r="AN105" s="97"/>
      <c r="AO105" s="97"/>
      <c r="AP105" s="97"/>
      <c r="AQ105" s="97"/>
      <c r="AR105" s="97"/>
      <c r="AS105" s="124">
        <f t="shared" si="5"/>
        <v>12.206223576133153</v>
      </c>
    </row>
    <row r="106" spans="1:45" ht="14">
      <c r="A106">
        <f t="shared" si="1"/>
        <v>-52</v>
      </c>
      <c r="B106" s="21">
        <v>28</v>
      </c>
      <c r="C106" s="26">
        <f t="shared" si="2"/>
        <v>13.247185482076821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80"/>
      <c r="N106" s="80"/>
      <c r="O106" s="80"/>
      <c r="P106" s="81"/>
      <c r="Q106" s="81"/>
      <c r="R106" s="81"/>
      <c r="S106" s="81"/>
      <c r="T106" s="81"/>
      <c r="U106" s="3"/>
      <c r="V106" s="88"/>
      <c r="W106" s="88"/>
      <c r="X106" s="88"/>
      <c r="Y106" s="88"/>
      <c r="Z106" s="88"/>
      <c r="AA106" s="88"/>
      <c r="AB106" s="88"/>
      <c r="AC106" s="88"/>
      <c r="AE106">
        <f t="shared" si="3"/>
        <v>-52</v>
      </c>
      <c r="AI106" s="3">
        <f t="shared" si="6"/>
        <v>13.247185482076821</v>
      </c>
      <c r="AJ106" s="113">
        <f t="shared" si="4"/>
        <v>13.247185482076821</v>
      </c>
      <c r="AK106" s="97"/>
      <c r="AL106" s="97"/>
      <c r="AM106" s="97"/>
      <c r="AN106" s="97"/>
      <c r="AO106" s="97"/>
      <c r="AP106" s="97"/>
      <c r="AQ106" s="97"/>
      <c r="AR106" s="97"/>
      <c r="AS106" s="124">
        <f t="shared" si="5"/>
        <v>13.247185482076821</v>
      </c>
    </row>
    <row r="107" spans="1:45" ht="14">
      <c r="A107">
        <f t="shared" si="1"/>
        <v>-51</v>
      </c>
      <c r="B107" s="21">
        <v>29</v>
      </c>
      <c r="C107" s="26">
        <f t="shared" si="2"/>
        <v>14.323388403485012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80"/>
      <c r="N107" s="80"/>
      <c r="O107" s="80"/>
      <c r="P107" s="81"/>
      <c r="Q107" s="81"/>
      <c r="R107" s="81"/>
      <c r="S107" s="81"/>
      <c r="T107" s="81"/>
      <c r="U107" s="3"/>
      <c r="V107" s="88"/>
      <c r="W107" s="88"/>
      <c r="X107" s="88"/>
      <c r="Y107" s="88"/>
      <c r="Z107" s="88"/>
      <c r="AA107" s="88"/>
      <c r="AB107" s="88"/>
      <c r="AC107" s="88"/>
      <c r="AE107">
        <f t="shared" si="3"/>
        <v>-51</v>
      </c>
      <c r="AI107" s="3">
        <f t="shared" si="6"/>
        <v>14.323388403485012</v>
      </c>
      <c r="AJ107" s="113">
        <f t="shared" si="4"/>
        <v>14.323388403485012</v>
      </c>
      <c r="AK107" s="97"/>
      <c r="AL107" s="97"/>
      <c r="AM107" s="97"/>
      <c r="AN107" s="97"/>
      <c r="AO107" s="97"/>
      <c r="AP107" s="97"/>
      <c r="AQ107" s="97"/>
      <c r="AR107" s="97"/>
      <c r="AS107" s="124">
        <f t="shared" si="5"/>
        <v>14.323388403485012</v>
      </c>
    </row>
    <row r="108" spans="1:45" ht="14">
      <c r="A108">
        <f t="shared" si="1"/>
        <v>-50</v>
      </c>
      <c r="B108" s="21">
        <v>30</v>
      </c>
      <c r="C108" s="26">
        <f t="shared" si="2"/>
        <v>15.433360456310989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80"/>
      <c r="N108" s="80"/>
      <c r="O108" s="80"/>
      <c r="P108" s="81"/>
      <c r="Q108" s="81"/>
      <c r="R108" s="81"/>
      <c r="S108" s="81"/>
      <c r="T108" s="81"/>
      <c r="U108" s="3"/>
      <c r="V108" s="88"/>
      <c r="W108" s="88"/>
      <c r="X108" s="88"/>
      <c r="Y108" s="88"/>
      <c r="Z108" s="88"/>
      <c r="AA108" s="88"/>
      <c r="AB108" s="88"/>
      <c r="AC108" s="88"/>
      <c r="AE108">
        <f t="shared" si="3"/>
        <v>-50</v>
      </c>
      <c r="AI108" s="3">
        <f t="shared" si="6"/>
        <v>15.433360456310989</v>
      </c>
      <c r="AJ108" s="113">
        <f t="shared" si="4"/>
        <v>15.433360456310989</v>
      </c>
      <c r="AK108" s="97"/>
      <c r="AL108" s="97"/>
      <c r="AM108" s="97"/>
      <c r="AN108" s="97"/>
      <c r="AO108" s="97"/>
      <c r="AP108" s="97"/>
      <c r="AQ108" s="97"/>
      <c r="AR108" s="97"/>
      <c r="AS108" s="124">
        <f t="shared" si="5"/>
        <v>15.433360456310989</v>
      </c>
    </row>
    <row r="109" spans="1:45" ht="14">
      <c r="A109">
        <f t="shared" si="1"/>
        <v>-49</v>
      </c>
      <c r="B109" s="21">
        <v>31</v>
      </c>
      <c r="C109" s="26">
        <f t="shared" si="2"/>
        <v>16.575606793061986</v>
      </c>
      <c r="D109" s="26"/>
      <c r="E109" s="26"/>
      <c r="F109" s="26"/>
      <c r="G109" s="26"/>
      <c r="H109" s="26"/>
      <c r="I109" s="26"/>
      <c r="J109" s="26"/>
      <c r="K109" s="26"/>
      <c r="L109" s="26"/>
      <c r="M109" s="80"/>
      <c r="N109" s="80"/>
      <c r="O109" s="80"/>
      <c r="P109" s="81"/>
      <c r="Q109" s="81"/>
      <c r="R109" s="81"/>
      <c r="S109" s="81"/>
      <c r="T109" s="81"/>
      <c r="U109" s="3"/>
      <c r="V109" s="88"/>
      <c r="W109" s="88"/>
      <c r="X109" s="88"/>
      <c r="Y109" s="88"/>
      <c r="Z109" s="88"/>
      <c r="AA109" s="88"/>
      <c r="AB109" s="88"/>
      <c r="AC109" s="88"/>
      <c r="AE109">
        <f t="shared" si="3"/>
        <v>-49</v>
      </c>
      <c r="AI109" s="3">
        <f t="shared" si="6"/>
        <v>16.575606793061986</v>
      </c>
      <c r="AJ109" s="113">
        <f t="shared" si="4"/>
        <v>16.575606793061986</v>
      </c>
      <c r="AK109" s="97"/>
      <c r="AL109" s="97"/>
      <c r="AM109" s="97"/>
      <c r="AN109" s="97"/>
      <c r="AO109" s="97"/>
      <c r="AP109" s="97"/>
      <c r="AQ109" s="97"/>
      <c r="AR109" s="97"/>
      <c r="AS109" s="124">
        <f t="shared" si="5"/>
        <v>16.575606793061986</v>
      </c>
    </row>
    <row r="110" spans="1:45" ht="14">
      <c r="A110">
        <f t="shared" si="1"/>
        <v>-48</v>
      </c>
      <c r="B110" s="21">
        <v>32</v>
      </c>
      <c r="C110" s="26">
        <f t="shared" si="2"/>
        <v>17.74861690282755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80"/>
      <c r="N110" s="80"/>
      <c r="O110" s="80"/>
      <c r="P110" s="81"/>
      <c r="Q110" s="81"/>
      <c r="R110" s="81"/>
      <c r="S110" s="81"/>
      <c r="T110" s="81"/>
      <c r="U110" s="3"/>
      <c r="V110" s="88"/>
      <c r="W110" s="88"/>
      <c r="X110" s="88"/>
      <c r="Y110" s="88"/>
      <c r="Z110" s="88"/>
      <c r="AA110" s="88"/>
      <c r="AB110" s="88"/>
      <c r="AC110" s="88"/>
      <c r="AE110">
        <f t="shared" si="3"/>
        <v>-48</v>
      </c>
      <c r="AI110" s="3">
        <f t="shared" si="6"/>
        <v>17.74861690282755</v>
      </c>
      <c r="AJ110" s="113">
        <f t="shared" si="4"/>
        <v>17.74861690282755</v>
      </c>
      <c r="AK110" s="97"/>
      <c r="AL110" s="97"/>
      <c r="AM110" s="97"/>
      <c r="AN110" s="97"/>
      <c r="AO110" s="97"/>
      <c r="AP110" s="97"/>
      <c r="AQ110" s="97"/>
      <c r="AR110" s="97"/>
      <c r="AS110" s="124">
        <f t="shared" si="5"/>
        <v>17.74861690282755</v>
      </c>
    </row>
    <row r="111" spans="1:45" ht="14">
      <c r="A111">
        <f t="shared" si="1"/>
        <v>-47</v>
      </c>
      <c r="B111" s="21">
        <v>33</v>
      </c>
      <c r="C111" s="26">
        <f t="shared" si="2"/>
        <v>18.950871218695532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80"/>
      <c r="N111" s="80"/>
      <c r="O111" s="80"/>
      <c r="P111" s="81"/>
      <c r="Q111" s="81"/>
      <c r="R111" s="81"/>
      <c r="S111" s="81"/>
      <c r="T111" s="81"/>
      <c r="U111" s="3"/>
      <c r="V111" s="88"/>
      <c r="W111" s="88"/>
      <c r="X111" s="88"/>
      <c r="Y111" s="88"/>
      <c r="Z111" s="88"/>
      <c r="AA111" s="88"/>
      <c r="AB111" s="88"/>
      <c r="AC111" s="88"/>
      <c r="AE111">
        <f t="shared" si="3"/>
        <v>-47</v>
      </c>
      <c r="AI111" s="3">
        <f t="shared" si="6"/>
        <v>18.950871218695532</v>
      </c>
      <c r="AJ111" s="113">
        <f t="shared" si="4"/>
        <v>18.950871218695532</v>
      </c>
      <c r="AK111" s="97"/>
      <c r="AL111" s="97"/>
      <c r="AM111" s="97"/>
      <c r="AN111" s="97"/>
      <c r="AO111" s="97"/>
      <c r="AP111" s="97"/>
      <c r="AQ111" s="97"/>
      <c r="AR111" s="97"/>
      <c r="AS111" s="124">
        <f t="shared" si="5"/>
        <v>18.950871218695532</v>
      </c>
    </row>
    <row r="112" spans="1:45" ht="14">
      <c r="A112">
        <f t="shared" si="1"/>
        <v>-46</v>
      </c>
      <c r="B112" s="21">
        <v>34</v>
      </c>
      <c r="C112" s="26">
        <f t="shared" si="2"/>
        <v>20.180847084046018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80"/>
      <c r="N112" s="80"/>
      <c r="O112" s="80"/>
      <c r="P112" s="81"/>
      <c r="Q112" s="81"/>
      <c r="R112" s="81"/>
      <c r="S112" s="81"/>
      <c r="T112" s="81"/>
      <c r="U112" s="3"/>
      <c r="V112" s="88"/>
      <c r="W112" s="88"/>
      <c r="X112" s="88"/>
      <c r="Y112" s="88"/>
      <c r="Z112" s="88"/>
      <c r="AA112" s="88"/>
      <c r="AB112" s="88"/>
      <c r="AC112" s="88"/>
      <c r="AE112">
        <f t="shared" si="3"/>
        <v>-46</v>
      </c>
      <c r="AI112" s="3">
        <f t="shared" si="6"/>
        <v>20.180847084046018</v>
      </c>
      <c r="AJ112" s="113">
        <f t="shared" si="4"/>
        <v>20.180847084046018</v>
      </c>
      <c r="AK112" s="97"/>
      <c r="AL112" s="97"/>
      <c r="AM112" s="97"/>
      <c r="AN112" s="97"/>
      <c r="AO112" s="97"/>
      <c r="AP112" s="97"/>
      <c r="AQ112" s="97"/>
      <c r="AR112" s="97"/>
      <c r="AS112" s="124">
        <f t="shared" si="5"/>
        <v>20.180847084046018</v>
      </c>
    </row>
    <row r="113" spans="1:45" ht="14">
      <c r="A113">
        <f t="shared" si="1"/>
        <v>-45</v>
      </c>
      <c r="B113" s="21">
        <v>35</v>
      </c>
      <c r="C113" s="26">
        <f t="shared" si="2"/>
        <v>21.43702412576425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80"/>
      <c r="N113" s="80"/>
      <c r="O113" s="80"/>
      <c r="P113" s="81"/>
      <c r="Q113" s="81"/>
      <c r="R113" s="81"/>
      <c r="S113" s="81"/>
      <c r="T113" s="81"/>
      <c r="U113" s="3"/>
      <c r="V113" s="88"/>
      <c r="W113" s="88"/>
      <c r="X113" s="88"/>
      <c r="Y113" s="88"/>
      <c r="Z113" s="88"/>
      <c r="AA113" s="88"/>
      <c r="AB113" s="88"/>
      <c r="AC113" s="88"/>
      <c r="AE113">
        <f t="shared" si="3"/>
        <v>-45</v>
      </c>
      <c r="AI113" s="3">
        <f t="shared" si="6"/>
        <v>21.43702412576425</v>
      </c>
      <c r="AJ113" s="113">
        <f t="shared" si="4"/>
        <v>21.43702412576425</v>
      </c>
      <c r="AK113" s="97"/>
      <c r="AL113" s="97"/>
      <c r="AM113" s="97"/>
      <c r="AN113" s="97"/>
      <c r="AO113" s="97"/>
      <c r="AP113" s="97"/>
      <c r="AQ113" s="97"/>
      <c r="AR113" s="97"/>
      <c r="AS113" s="124">
        <f t="shared" si="5"/>
        <v>21.43702412576425</v>
      </c>
    </row>
    <row r="114" spans="1:45" ht="14">
      <c r="A114">
        <f t="shared" si="1"/>
        <v>-44</v>
      </c>
      <c r="B114" s="21">
        <v>36</v>
      </c>
      <c r="C114" s="26">
        <f t="shared" si="2"/>
        <v>22.717889079182989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80"/>
      <c r="N114" s="80"/>
      <c r="O114" s="80"/>
      <c r="P114" s="81"/>
      <c r="Q114" s="81"/>
      <c r="R114" s="81"/>
      <c r="S114" s="81"/>
      <c r="T114" s="81"/>
      <c r="U114" s="3"/>
      <c r="V114" s="88"/>
      <c r="W114" s="88"/>
      <c r="X114" s="88"/>
      <c r="Y114" s="88"/>
      <c r="Z114" s="88"/>
      <c r="AA114" s="88"/>
      <c r="AB114" s="88"/>
      <c r="AC114" s="88"/>
      <c r="AE114">
        <f t="shared" si="3"/>
        <v>-44</v>
      </c>
      <c r="AI114" s="3">
        <f t="shared" si="6"/>
        <v>22.717889079182989</v>
      </c>
      <c r="AJ114" s="113">
        <f t="shared" si="4"/>
        <v>22.717889079182989</v>
      </c>
      <c r="AK114" s="97"/>
      <c r="AL114" s="97"/>
      <c r="AM114" s="97"/>
      <c r="AN114" s="97"/>
      <c r="AO114" s="97"/>
      <c r="AP114" s="97"/>
      <c r="AQ114" s="97"/>
      <c r="AR114" s="97"/>
      <c r="AS114" s="124">
        <f t="shared" si="5"/>
        <v>22.717889079182989</v>
      </c>
    </row>
    <row r="115" spans="1:45" ht="14">
      <c r="A115">
        <f t="shared" si="1"/>
        <v>-43</v>
      </c>
      <c r="B115" s="21">
        <v>37</v>
      </c>
      <c r="C115" s="26">
        <f t="shared" si="2"/>
        <v>24.021940106540239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80"/>
      <c r="N115" s="80"/>
      <c r="O115" s="80"/>
      <c r="P115" s="81"/>
      <c r="Q115" s="81"/>
      <c r="R115" s="81"/>
      <c r="S115" s="81"/>
      <c r="T115" s="81"/>
      <c r="U115" s="3"/>
      <c r="V115" s="88"/>
      <c r="W115" s="88"/>
      <c r="X115" s="88"/>
      <c r="Y115" s="88"/>
      <c r="Z115" s="88"/>
      <c r="AA115" s="88"/>
      <c r="AB115" s="88"/>
      <c r="AC115" s="88"/>
      <c r="AE115">
        <f t="shared" si="3"/>
        <v>-43</v>
      </c>
      <c r="AI115" s="3">
        <f t="shared" si="6"/>
        <v>24.021940106540239</v>
      </c>
      <c r="AJ115" s="113">
        <f t="shared" si="4"/>
        <v>24.021940106540239</v>
      </c>
      <c r="AK115" s="97"/>
      <c r="AL115" s="97"/>
      <c r="AM115" s="97"/>
      <c r="AN115" s="97"/>
      <c r="AO115" s="97"/>
      <c r="AP115" s="97"/>
      <c r="AQ115" s="97"/>
      <c r="AR115" s="97"/>
      <c r="AS115" s="124">
        <f t="shared" si="5"/>
        <v>24.021940106540239</v>
      </c>
    </row>
    <row r="116" spans="1:45" ht="14">
      <c r="A116">
        <f t="shared" si="1"/>
        <v>-42</v>
      </c>
      <c r="B116" s="21">
        <v>38</v>
      </c>
      <c r="C116" s="26">
        <f t="shared" si="2"/>
        <v>25.347690647905036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80"/>
      <c r="N116" s="80"/>
      <c r="O116" s="80"/>
      <c r="P116" s="81"/>
      <c r="Q116" s="81"/>
      <c r="R116" s="81"/>
      <c r="S116" s="81"/>
      <c r="T116" s="81"/>
      <c r="U116" s="3"/>
      <c r="V116" s="88"/>
      <c r="W116" s="88"/>
      <c r="X116" s="88"/>
      <c r="Y116" s="88"/>
      <c r="Z116" s="88"/>
      <c r="AA116" s="88"/>
      <c r="AB116" s="88"/>
      <c r="AC116" s="88"/>
      <c r="AE116">
        <f t="shared" si="3"/>
        <v>-42</v>
      </c>
      <c r="AI116" s="3">
        <f t="shared" si="6"/>
        <v>25.347690647905036</v>
      </c>
      <c r="AJ116" s="113">
        <f t="shared" si="4"/>
        <v>25.347690647905036</v>
      </c>
      <c r="AK116" s="97"/>
      <c r="AL116" s="97"/>
      <c r="AM116" s="97"/>
      <c r="AN116" s="97"/>
      <c r="AO116" s="97"/>
      <c r="AP116" s="97"/>
      <c r="AQ116" s="97"/>
      <c r="AR116" s="97"/>
      <c r="AS116" s="124">
        <f t="shared" si="5"/>
        <v>25.347690647905036</v>
      </c>
    </row>
    <row r="117" spans="1:45" ht="14">
      <c r="A117">
        <f t="shared" si="1"/>
        <v>-41</v>
      </c>
      <c r="B117" s="21">
        <v>39</v>
      </c>
      <c r="C117" s="26">
        <f t="shared" si="2"/>
        <v>26.693672840873621</v>
      </c>
      <c r="D117" s="26"/>
      <c r="E117" s="26"/>
      <c r="F117" s="26"/>
      <c r="G117" s="26"/>
      <c r="H117" s="26"/>
      <c r="I117" s="26"/>
      <c r="J117" s="26"/>
      <c r="K117" s="26"/>
      <c r="L117" s="26"/>
      <c r="M117" s="80"/>
      <c r="N117" s="80"/>
      <c r="O117" s="80"/>
      <c r="P117" s="81"/>
      <c r="Q117" s="81"/>
      <c r="R117" s="81"/>
      <c r="S117" s="81"/>
      <c r="T117" s="81"/>
      <c r="U117" s="3"/>
      <c r="V117" s="88"/>
      <c r="W117" s="88"/>
      <c r="X117" s="88"/>
      <c r="Y117" s="88"/>
      <c r="Z117" s="88"/>
      <c r="AA117" s="88"/>
      <c r="AB117" s="88"/>
      <c r="AC117" s="88"/>
      <c r="AE117">
        <f t="shared" si="3"/>
        <v>-41</v>
      </c>
      <c r="AI117" s="3">
        <f t="shared" si="6"/>
        <v>26.693672840873621</v>
      </c>
      <c r="AJ117" s="113">
        <f t="shared" si="4"/>
        <v>26.693672840873621</v>
      </c>
      <c r="AK117" s="97"/>
      <c r="AL117" s="97"/>
      <c r="AM117" s="97"/>
      <c r="AN117" s="97"/>
      <c r="AO117" s="97"/>
      <c r="AP117" s="97"/>
      <c r="AQ117" s="97"/>
      <c r="AR117" s="97"/>
      <c r="AS117" s="124">
        <f t="shared" si="5"/>
        <v>26.693672840873621</v>
      </c>
    </row>
    <row r="118" spans="1:45" s="121" customFormat="1" ht="14">
      <c r="A118" s="121">
        <f t="shared" si="1"/>
        <v>-40</v>
      </c>
      <c r="B118" s="122">
        <v>40</v>
      </c>
      <c r="C118" s="123">
        <f t="shared" si="2"/>
        <v>28.058440542855632</v>
      </c>
      <c r="D118" s="125">
        <f>(($C$39*$C$118*0.72)*D$40)*('Product half-life and C flows'!B19/100)</f>
        <v>2.0202077190856054</v>
      </c>
      <c r="E118" s="123"/>
      <c r="F118" s="125">
        <f>($C$39*$C118*0.72)*F$40</f>
        <v>6.0606231572568161</v>
      </c>
      <c r="G118" s="125">
        <f>($C$39*$C118*0.28)*G$41</f>
        <v>0.7542108817919595</v>
      </c>
      <c r="H118" s="125">
        <f>(($C$39*$C118*0.28)*H$41)*(E145+'Product half-life and C flows'!L19/100)</f>
        <v>2.3569090055998734</v>
      </c>
      <c r="I118" s="125">
        <f>(($C$39*$C$118*0.28)*H$41)*('Product half-life and C flows'!N19/100)</f>
        <v>0</v>
      </c>
      <c r="J118" s="125">
        <f>(($C$39*$C$118*0.28)*H$41)*(+'Product half-life and C flows'!P19/100)</f>
        <v>0</v>
      </c>
      <c r="K118" s="125">
        <f>H118*K42</f>
        <v>1.3434381331919276</v>
      </c>
      <c r="L118" s="123"/>
      <c r="M118" s="124"/>
      <c r="N118" s="124"/>
      <c r="O118" s="124"/>
      <c r="U118" s="124"/>
      <c r="AE118" s="121">
        <f t="shared" si="3"/>
        <v>-40</v>
      </c>
      <c r="AG118"/>
      <c r="AH118"/>
      <c r="AI118" s="3">
        <f t="shared" si="6"/>
        <v>28.058440542855632</v>
      </c>
      <c r="AJ118" s="124">
        <f t="shared" si="4"/>
        <v>28.058440542855632</v>
      </c>
      <c r="AK118" s="124">
        <f t="shared" ref="AK118:AK149" si="7">D118+M118+V118</f>
        <v>2.0202077190856054</v>
      </c>
      <c r="AL118" s="124">
        <f t="shared" ref="AL118:AL149" si="8">E118+N118+W118</f>
        <v>0</v>
      </c>
      <c r="AM118" s="124">
        <f t="shared" ref="AM118:AM149" si="9">F118+O118+X118</f>
        <v>6.0606231572568161</v>
      </c>
      <c r="AN118" s="124">
        <f t="shared" ref="AN118:AN149" si="10">G118+P118+Y118</f>
        <v>0.7542108817919595</v>
      </c>
      <c r="AO118" s="124">
        <f t="shared" ref="AO118:AO149" si="11">H118+Q118+Z118</f>
        <v>2.3569090055998734</v>
      </c>
      <c r="AP118" s="124">
        <f t="shared" ref="AP118:AP149" si="12">I118+R118+AA118</f>
        <v>0</v>
      </c>
      <c r="AQ118" s="124">
        <f t="shared" ref="AQ118:AQ149" si="13">J118+S118+AB118</f>
        <v>0</v>
      </c>
      <c r="AR118" s="124">
        <f t="shared" ref="AR118:AR149" si="14">K118+T118+AC118</f>
        <v>1.3434381331919276</v>
      </c>
      <c r="AS118" s="124">
        <f>(AJ118-10)+SUM(AK118:AR118)</f>
        <v>30.593829439781814</v>
      </c>
    </row>
    <row r="119" spans="1:45" ht="14">
      <c r="A119">
        <f t="shared" si="1"/>
        <v>-39</v>
      </c>
      <c r="B119" s="21">
        <v>41</v>
      </c>
      <c r="C119" s="26">
        <f>(B$8*(1-EXP(-B$9*$B119))^3)-(C$39*C$118)</f>
        <v>18.217195770305299</v>
      </c>
      <c r="D119" s="125">
        <f>(($C$39*$C$118*0.72)*D$40)*('Product half-life and C flows'!B20/100)</f>
        <v>1.9513920278391854</v>
      </c>
      <c r="E119" s="26"/>
      <c r="F119" s="54">
        <f>F118</f>
        <v>6.0606231572568161</v>
      </c>
      <c r="G119" s="54">
        <f>G118</f>
        <v>0.7542108817919595</v>
      </c>
      <c r="H119" s="125">
        <f>(H$118)*('Product half-life and C flows'!L20/100)</f>
        <v>2.3208830691382154</v>
      </c>
      <c r="I119" s="125">
        <f>(($C$39*$C$118*0.28)*H$41)*('Product half-life and C flows'!N20/100)</f>
        <v>1.8030981199059895E-2</v>
      </c>
      <c r="J119" s="125">
        <f>(($C$39*$C$118*0.28)*H$41)*(+'Product half-life and C flows'!P20/100)</f>
        <v>9.0064841154145342E-3</v>
      </c>
      <c r="K119" s="54">
        <f>K118</f>
        <v>1.3434381331919276</v>
      </c>
      <c r="L119" s="26"/>
      <c r="M119" s="80"/>
      <c r="N119" s="80"/>
      <c r="O119" s="80"/>
      <c r="P119" s="81"/>
      <c r="Q119" s="81"/>
      <c r="R119" s="81"/>
      <c r="S119" s="81"/>
      <c r="T119" s="81"/>
      <c r="U119" s="3"/>
      <c r="V119" s="88"/>
      <c r="W119" s="88"/>
      <c r="X119" s="88"/>
      <c r="Y119" s="88"/>
      <c r="Z119" s="88"/>
      <c r="AA119" s="88"/>
      <c r="AB119" s="88"/>
      <c r="AC119" s="88"/>
      <c r="AE119">
        <f t="shared" si="3"/>
        <v>-39</v>
      </c>
      <c r="AI119" s="3">
        <f t="shared" si="6"/>
        <v>18.217195770305299</v>
      </c>
      <c r="AJ119" s="113">
        <f t="shared" si="4"/>
        <v>18.217195770305299</v>
      </c>
      <c r="AK119" s="124">
        <f t="shared" si="7"/>
        <v>1.9513920278391854</v>
      </c>
      <c r="AL119" s="124">
        <f t="shared" si="8"/>
        <v>0</v>
      </c>
      <c r="AM119" s="124">
        <f t="shared" si="9"/>
        <v>6.0606231572568161</v>
      </c>
      <c r="AN119" s="124">
        <f t="shared" si="10"/>
        <v>0.7542108817919595</v>
      </c>
      <c r="AO119" s="124">
        <f t="shared" si="11"/>
        <v>2.3208830691382154</v>
      </c>
      <c r="AP119" s="124">
        <f t="shared" si="12"/>
        <v>1.8030981199059895E-2</v>
      </c>
      <c r="AQ119" s="124">
        <f t="shared" si="13"/>
        <v>9.0064841154145342E-3</v>
      </c>
      <c r="AR119" s="124">
        <f t="shared" si="14"/>
        <v>1.3434381331919276</v>
      </c>
      <c r="AS119" s="124">
        <f>SUM(AJ119:AR119)</f>
        <v>30.67478050483788</v>
      </c>
    </row>
    <row r="120" spans="1:45" ht="14">
      <c r="A120">
        <f t="shared" si="1"/>
        <v>-38</v>
      </c>
      <c r="B120" s="21">
        <v>42</v>
      </c>
      <c r="C120" s="127">
        <f>C119+(C$158-C$119)/39</f>
        <v>19.940369192884187</v>
      </c>
      <c r="D120" s="125">
        <f>(($C$39*$C$118*0.72)*D$40)*('Product half-life and C flows'!B21/100)</f>
        <v>1.8849204516641926</v>
      </c>
      <c r="E120" s="26"/>
      <c r="F120" s="54">
        <f t="shared" ref="F120:G135" si="15">F119</f>
        <v>6.0606231572568161</v>
      </c>
      <c r="G120" s="54">
        <f t="shared" si="15"/>
        <v>0.7542108817919595</v>
      </c>
      <c r="H120" s="125">
        <f>(H$118)*('Product half-life and C flows'!L21/100)</f>
        <v>2.2854077980161422</v>
      </c>
      <c r="I120" s="125">
        <f>(($C$39*$C$118*0.28)*H$41)*('Product half-life and C flows'!N21/100)</f>
        <v>3.5786354395657444E-2</v>
      </c>
      <c r="J120" s="125">
        <f>(($C$39*$C$118*0.28)*H$41)*(+'Product half-life and C flows'!P21/100)</f>
        <v>1.7875301895932786E-2</v>
      </c>
      <c r="K120" s="54">
        <f t="shared" ref="K120:K183" si="16">K119</f>
        <v>1.3434381331919276</v>
      </c>
      <c r="L120" s="26"/>
      <c r="M120" s="80"/>
      <c r="N120" s="80"/>
      <c r="O120" s="80"/>
      <c r="P120" s="81"/>
      <c r="Q120" s="81"/>
      <c r="R120" s="81"/>
      <c r="S120" s="81"/>
      <c r="T120" s="81"/>
      <c r="U120" s="3"/>
      <c r="V120" s="88"/>
      <c r="W120" s="88"/>
      <c r="X120" s="88"/>
      <c r="Y120" s="88"/>
      <c r="Z120" s="88"/>
      <c r="AA120" s="88"/>
      <c r="AB120" s="88"/>
      <c r="AC120" s="88"/>
      <c r="AE120">
        <f t="shared" si="3"/>
        <v>-38</v>
      </c>
      <c r="AI120" s="3">
        <f t="shared" si="6"/>
        <v>19.940369192884187</v>
      </c>
      <c r="AJ120" s="113">
        <f t="shared" si="4"/>
        <v>19.940369192884187</v>
      </c>
      <c r="AK120" s="124">
        <f t="shared" si="7"/>
        <v>1.8849204516641926</v>
      </c>
      <c r="AL120" s="124">
        <f t="shared" si="8"/>
        <v>0</v>
      </c>
      <c r="AM120" s="124">
        <f t="shared" si="9"/>
        <v>6.0606231572568161</v>
      </c>
      <c r="AN120" s="124">
        <f t="shared" si="10"/>
        <v>0.7542108817919595</v>
      </c>
      <c r="AO120" s="124">
        <f t="shared" si="11"/>
        <v>2.2854077980161422</v>
      </c>
      <c r="AP120" s="124">
        <f t="shared" si="12"/>
        <v>3.5786354395657444E-2</v>
      </c>
      <c r="AQ120" s="124">
        <f t="shared" si="13"/>
        <v>1.7875301895932786E-2</v>
      </c>
      <c r="AR120" s="124">
        <f t="shared" si="14"/>
        <v>1.3434381331919276</v>
      </c>
      <c r="AS120" s="124">
        <f t="shared" ref="AS120:AS157" si="17">SUM(AJ120:AR120)</f>
        <v>32.322631271096817</v>
      </c>
    </row>
    <row r="121" spans="1:45" ht="14">
      <c r="A121">
        <f t="shared" si="1"/>
        <v>-37</v>
      </c>
      <c r="B121" s="21">
        <v>43</v>
      </c>
      <c r="C121" s="127">
        <f t="shared" ref="C121:C157" si="18">C120+(C$158-C$119)/39</f>
        <v>21.663542615463076</v>
      </c>
      <c r="D121" s="125">
        <f>(($C$39*$C$118*0.72)*D$40)*('Product half-life and C flows'!B22/100)</f>
        <v>1.8207131413958719</v>
      </c>
      <c r="E121" s="26"/>
      <c r="F121" s="54">
        <f t="shared" si="15"/>
        <v>6.0606231572568161</v>
      </c>
      <c r="G121" s="54">
        <f t="shared" si="15"/>
        <v>0.7542108817919595</v>
      </c>
      <c r="H121" s="125">
        <f>(H$118)*('Product half-life and C flows'!L22/100)</f>
        <v>2.2504747751778877</v>
      </c>
      <c r="I121" s="125">
        <f>(($C$39*$C$118*0.28)*H$41)*('Product half-life and C flows'!N22/100)</f>
        <v>5.3270332326203665E-2</v>
      </c>
      <c r="J121" s="125">
        <f>(($C$39*$C$118*0.28)*H$41)*(+'Product half-life and C flows'!P22/100)</f>
        <v>2.6608557605496335E-2</v>
      </c>
      <c r="K121" s="54">
        <f t="shared" si="16"/>
        <v>1.3434381331919276</v>
      </c>
      <c r="L121" s="26"/>
      <c r="M121" s="80"/>
      <c r="N121" s="80"/>
      <c r="O121" s="80"/>
      <c r="P121" s="81"/>
      <c r="Q121" s="81"/>
      <c r="R121" s="81"/>
      <c r="S121" s="81"/>
      <c r="T121" s="81"/>
      <c r="U121" s="3"/>
      <c r="V121" s="88"/>
      <c r="W121" s="88"/>
      <c r="X121" s="88"/>
      <c r="Y121" s="88"/>
      <c r="Z121" s="88"/>
      <c r="AA121" s="88"/>
      <c r="AB121" s="88"/>
      <c r="AC121" s="88"/>
      <c r="AE121">
        <f t="shared" si="3"/>
        <v>-37</v>
      </c>
      <c r="AI121" s="3">
        <f t="shared" si="6"/>
        <v>21.663542615463076</v>
      </c>
      <c r="AJ121" s="113">
        <f t="shared" si="4"/>
        <v>21.663542615463076</v>
      </c>
      <c r="AK121" s="124">
        <f t="shared" si="7"/>
        <v>1.8207131413958719</v>
      </c>
      <c r="AL121" s="124">
        <f t="shared" si="8"/>
        <v>0</v>
      </c>
      <c r="AM121" s="124">
        <f t="shared" si="9"/>
        <v>6.0606231572568161</v>
      </c>
      <c r="AN121" s="124">
        <f t="shared" si="10"/>
        <v>0.7542108817919595</v>
      </c>
      <c r="AO121" s="124">
        <f t="shared" si="11"/>
        <v>2.2504747751778877</v>
      </c>
      <c r="AP121" s="124">
        <f t="shared" si="12"/>
        <v>5.3270332326203665E-2</v>
      </c>
      <c r="AQ121" s="124">
        <f t="shared" si="13"/>
        <v>2.6608557605496335E-2</v>
      </c>
      <c r="AR121" s="124">
        <f t="shared" si="14"/>
        <v>1.3434381331919276</v>
      </c>
      <c r="AS121" s="124">
        <f t="shared" si="17"/>
        <v>33.972881594209241</v>
      </c>
    </row>
    <row r="122" spans="1:45" ht="14">
      <c r="A122">
        <f t="shared" si="1"/>
        <v>-36</v>
      </c>
      <c r="B122" s="21">
        <v>44</v>
      </c>
      <c r="C122" s="127">
        <f t="shared" si="18"/>
        <v>23.386716038041964</v>
      </c>
      <c r="D122" s="125">
        <f>(($C$39*$C$118*0.72)*D$40)*('Product half-life and C flows'!B23/100)</f>
        <v>1.7586929678251519</v>
      </c>
      <c r="E122" s="26"/>
      <c r="F122" s="54">
        <f t="shared" si="15"/>
        <v>6.0606231572568161</v>
      </c>
      <c r="G122" s="54">
        <f t="shared" si="15"/>
        <v>0.7542108817919595</v>
      </c>
      <c r="H122" s="125">
        <f>(H$118)*('Product half-life and C flows'!L23/100)</f>
        <v>2.2160757122244639</v>
      </c>
      <c r="I122" s="125">
        <f>(($C$39*$C$118*0.28)*H$41)*('Product half-life and C flows'!N23/100)</f>
        <v>7.0487063334392447E-2</v>
      </c>
      <c r="J122" s="125">
        <f>(($C$39*$C$118*0.28)*H$41)*(+'Product half-life and C flows'!P23/100)</f>
        <v>3.520832334385237E-2</v>
      </c>
      <c r="K122" s="54">
        <f t="shared" si="16"/>
        <v>1.3434381331919276</v>
      </c>
      <c r="L122" s="26"/>
      <c r="M122" s="80"/>
      <c r="N122" s="80"/>
      <c r="O122" s="80"/>
      <c r="P122" s="81"/>
      <c r="Q122" s="81"/>
      <c r="R122" s="81"/>
      <c r="S122" s="81"/>
      <c r="T122" s="81"/>
      <c r="U122" s="3"/>
      <c r="V122" s="88"/>
      <c r="W122" s="88"/>
      <c r="X122" s="88"/>
      <c r="Y122" s="88"/>
      <c r="Z122" s="88"/>
      <c r="AA122" s="88"/>
      <c r="AB122" s="88"/>
      <c r="AC122" s="88"/>
      <c r="AE122">
        <f t="shared" si="3"/>
        <v>-36</v>
      </c>
      <c r="AI122" s="3">
        <f t="shared" si="6"/>
        <v>23.386716038041964</v>
      </c>
      <c r="AJ122" s="113">
        <f t="shared" si="4"/>
        <v>23.386716038041964</v>
      </c>
      <c r="AK122" s="124">
        <f t="shared" si="7"/>
        <v>1.7586929678251519</v>
      </c>
      <c r="AL122" s="124">
        <f t="shared" si="8"/>
        <v>0</v>
      </c>
      <c r="AM122" s="124">
        <f t="shared" si="9"/>
        <v>6.0606231572568161</v>
      </c>
      <c r="AN122" s="124">
        <f t="shared" si="10"/>
        <v>0.7542108817919595</v>
      </c>
      <c r="AO122" s="124">
        <f t="shared" si="11"/>
        <v>2.2160757122244639</v>
      </c>
      <c r="AP122" s="124">
        <f t="shared" si="12"/>
        <v>7.0487063334392447E-2</v>
      </c>
      <c r="AQ122" s="124">
        <f t="shared" si="13"/>
        <v>3.520832334385237E-2</v>
      </c>
      <c r="AR122" s="124">
        <f t="shared" si="14"/>
        <v>1.3434381331919276</v>
      </c>
      <c r="AS122" s="124">
        <f t="shared" si="17"/>
        <v>35.625452277010524</v>
      </c>
    </row>
    <row r="123" spans="1:45" ht="14">
      <c r="A123">
        <f t="shared" si="1"/>
        <v>-35</v>
      </c>
      <c r="B123" s="21">
        <v>45</v>
      </c>
      <c r="C123" s="127">
        <f t="shared" si="18"/>
        <v>25.109889460620852</v>
      </c>
      <c r="D123" s="125">
        <f>(($C$39*$C$118*0.72)*D$40)*('Product half-life and C flows'!B24/100)</f>
        <v>1.6987854290469686</v>
      </c>
      <c r="E123" s="26"/>
      <c r="F123" s="54">
        <f t="shared" si="15"/>
        <v>6.0606231572568161</v>
      </c>
      <c r="G123" s="54">
        <f t="shared" si="15"/>
        <v>0.7542108817919595</v>
      </c>
      <c r="H123" s="125">
        <f>(H$118)*('Product half-life and C flows'!L24/100)</f>
        <v>2.1822024474471067</v>
      </c>
      <c r="I123" s="125">
        <f>(($C$39*$C$118*0.28)*H$41)*('Product half-life and C flows'!N24/100)</f>
        <v>8.7440632355459791E-2</v>
      </c>
      <c r="J123" s="125">
        <f>(($C$39*$C$118*0.28)*H$41)*(+'Product half-life and C flows'!P24/100)</f>
        <v>4.3676639538191703E-2</v>
      </c>
      <c r="K123" s="54">
        <f t="shared" si="16"/>
        <v>1.3434381331919276</v>
      </c>
      <c r="L123" s="26"/>
      <c r="M123" s="80"/>
      <c r="N123" s="80"/>
      <c r="O123" s="80"/>
      <c r="P123" s="81"/>
      <c r="Q123" s="81"/>
      <c r="R123" s="81"/>
      <c r="S123" s="81"/>
      <c r="T123" s="81"/>
      <c r="U123" s="3"/>
      <c r="V123" s="88"/>
      <c r="W123" s="88"/>
      <c r="X123" s="88"/>
      <c r="Y123" s="88"/>
      <c r="Z123" s="88"/>
      <c r="AA123" s="88"/>
      <c r="AB123" s="88"/>
      <c r="AC123" s="88"/>
      <c r="AE123">
        <f t="shared" si="3"/>
        <v>-35</v>
      </c>
      <c r="AI123" s="3">
        <f t="shared" si="6"/>
        <v>25.109889460620852</v>
      </c>
      <c r="AJ123" s="113">
        <f t="shared" si="4"/>
        <v>25.109889460620852</v>
      </c>
      <c r="AK123" s="124">
        <f t="shared" si="7"/>
        <v>1.6987854290469686</v>
      </c>
      <c r="AL123" s="124">
        <f t="shared" si="8"/>
        <v>0</v>
      </c>
      <c r="AM123" s="124">
        <f t="shared" si="9"/>
        <v>6.0606231572568161</v>
      </c>
      <c r="AN123" s="124">
        <f t="shared" si="10"/>
        <v>0.7542108817919595</v>
      </c>
      <c r="AO123" s="124">
        <f t="shared" si="11"/>
        <v>2.1822024474471067</v>
      </c>
      <c r="AP123" s="124">
        <f t="shared" si="12"/>
        <v>8.7440632355459791E-2</v>
      </c>
      <c r="AQ123" s="124">
        <f t="shared" si="13"/>
        <v>4.3676639538191703E-2</v>
      </c>
      <c r="AR123" s="124">
        <f t="shared" si="14"/>
        <v>1.3434381331919276</v>
      </c>
      <c r="AS123" s="124">
        <f t="shared" si="17"/>
        <v>37.280266781249281</v>
      </c>
    </row>
    <row r="124" spans="1:45" ht="14">
      <c r="A124">
        <f t="shared" si="1"/>
        <v>-34</v>
      </c>
      <c r="B124" s="21">
        <v>46</v>
      </c>
      <c r="C124" s="127">
        <f t="shared" si="18"/>
        <v>26.833062883199741</v>
      </c>
      <c r="D124" s="125">
        <f>(($C$39*$C$118*0.72)*D$40)*('Product half-life and C flows'!B25/100)</f>
        <v>1.6409185609646475</v>
      </c>
      <c r="E124" s="26"/>
      <c r="F124" s="54">
        <f t="shared" si="15"/>
        <v>6.0606231572568161</v>
      </c>
      <c r="G124" s="54">
        <f t="shared" si="15"/>
        <v>0.7542108817919595</v>
      </c>
      <c r="H124" s="125">
        <f>(H$118)*('Product half-life and C flows'!L25/100)</f>
        <v>2.1488469438907889</v>
      </c>
      <c r="I124" s="125">
        <f>(($C$39*$C$118*0.28)*H$41)*('Product half-life and C flows'!N25/100)</f>
        <v>0.10413506188539691</v>
      </c>
      <c r="J124" s="125">
        <f>(($C$39*$C$118*0.28)*H$41)*(+'Product half-life and C flows'!P25/100)</f>
        <v>5.2015515427271189E-2</v>
      </c>
      <c r="K124" s="54">
        <f t="shared" si="16"/>
        <v>1.3434381331919276</v>
      </c>
      <c r="L124" s="26"/>
      <c r="M124" s="80"/>
      <c r="N124" s="80"/>
      <c r="O124" s="80"/>
      <c r="P124" s="81"/>
      <c r="Q124" s="81"/>
      <c r="R124" s="81"/>
      <c r="S124" s="81"/>
      <c r="T124" s="81"/>
      <c r="U124" s="3"/>
      <c r="V124" s="88"/>
      <c r="W124" s="88"/>
      <c r="X124" s="88"/>
      <c r="Y124" s="88"/>
      <c r="Z124" s="88"/>
      <c r="AA124" s="88"/>
      <c r="AB124" s="88"/>
      <c r="AC124" s="88"/>
      <c r="AE124">
        <f t="shared" si="3"/>
        <v>-34</v>
      </c>
      <c r="AI124" s="3">
        <f t="shared" si="6"/>
        <v>26.833062883199741</v>
      </c>
      <c r="AJ124" s="113">
        <f t="shared" si="4"/>
        <v>26.833062883199741</v>
      </c>
      <c r="AK124" s="124">
        <f t="shared" si="7"/>
        <v>1.6409185609646475</v>
      </c>
      <c r="AL124" s="124">
        <f t="shared" si="8"/>
        <v>0</v>
      </c>
      <c r="AM124" s="124">
        <f t="shared" si="9"/>
        <v>6.0606231572568161</v>
      </c>
      <c r="AN124" s="124">
        <f t="shared" si="10"/>
        <v>0.7542108817919595</v>
      </c>
      <c r="AO124" s="124">
        <f t="shared" si="11"/>
        <v>2.1488469438907889</v>
      </c>
      <c r="AP124" s="124">
        <f t="shared" si="12"/>
        <v>0.10413506188539691</v>
      </c>
      <c r="AQ124" s="124">
        <f t="shared" si="13"/>
        <v>5.2015515427271189E-2</v>
      </c>
      <c r="AR124" s="124">
        <f t="shared" si="14"/>
        <v>1.3434381331919276</v>
      </c>
      <c r="AS124" s="124">
        <f t="shared" si="17"/>
        <v>38.937251137608541</v>
      </c>
    </row>
    <row r="125" spans="1:45" ht="14">
      <c r="A125">
        <f t="shared" si="1"/>
        <v>-33</v>
      </c>
      <c r="B125" s="21">
        <v>47</v>
      </c>
      <c r="C125" s="127">
        <f t="shared" si="18"/>
        <v>28.556236305778629</v>
      </c>
      <c r="D125" s="125">
        <f>(($C$39*$C$118*0.72)*D$40)*('Product half-life and C flows'!B26/100)</f>
        <v>1.5850228508428321</v>
      </c>
      <c r="E125" s="26"/>
      <c r="F125" s="54">
        <f t="shared" si="15"/>
        <v>6.0606231572568161</v>
      </c>
      <c r="G125" s="54">
        <f t="shared" si="15"/>
        <v>0.7542108817919595</v>
      </c>
      <c r="H125" s="125">
        <f>(H$118)*('Product half-life and C flows'!L26/100)</f>
        <v>2.1160012874473257</v>
      </c>
      <c r="I125" s="125">
        <f>(($C$39*$C$118*0.28)*H$41)*('Product half-life and C flows'!N26/100)</f>
        <v>0.12057431293535013</v>
      </c>
      <c r="J125" s="125">
        <f>(($C$39*$C$118*0.28)*H$41)*(+'Product half-life and C flows'!P26/100)</f>
        <v>6.0226929538136936E-2</v>
      </c>
      <c r="K125" s="54">
        <f t="shared" si="16"/>
        <v>1.3434381331919276</v>
      </c>
      <c r="L125" s="26"/>
      <c r="M125" s="80"/>
      <c r="N125" s="80"/>
      <c r="O125" s="80"/>
      <c r="P125" s="81"/>
      <c r="Q125" s="81"/>
      <c r="R125" s="81"/>
      <c r="S125" s="81"/>
      <c r="T125" s="81"/>
      <c r="U125" s="3"/>
      <c r="V125" s="88"/>
      <c r="W125" s="88"/>
      <c r="X125" s="88"/>
      <c r="Y125" s="88"/>
      <c r="Z125" s="88"/>
      <c r="AA125" s="88"/>
      <c r="AB125" s="88"/>
      <c r="AC125" s="88"/>
      <c r="AE125">
        <f t="shared" si="3"/>
        <v>-33</v>
      </c>
      <c r="AI125" s="3">
        <f t="shared" si="6"/>
        <v>28.556236305778629</v>
      </c>
      <c r="AJ125" s="113">
        <f t="shared" si="4"/>
        <v>28.556236305778629</v>
      </c>
      <c r="AK125" s="124">
        <f t="shared" si="7"/>
        <v>1.5850228508428321</v>
      </c>
      <c r="AL125" s="124">
        <f t="shared" si="8"/>
        <v>0</v>
      </c>
      <c r="AM125" s="124">
        <f t="shared" si="9"/>
        <v>6.0606231572568161</v>
      </c>
      <c r="AN125" s="124">
        <f t="shared" si="10"/>
        <v>0.7542108817919595</v>
      </c>
      <c r="AO125" s="124">
        <f t="shared" si="11"/>
        <v>2.1160012874473257</v>
      </c>
      <c r="AP125" s="124">
        <f t="shared" si="12"/>
        <v>0.12057431293535013</v>
      </c>
      <c r="AQ125" s="124">
        <f t="shared" si="13"/>
        <v>6.0226929538136936E-2</v>
      </c>
      <c r="AR125" s="124">
        <f t="shared" si="14"/>
        <v>1.3434381331919276</v>
      </c>
      <c r="AS125" s="124">
        <f t="shared" si="17"/>
        <v>40.596333858782984</v>
      </c>
    </row>
    <row r="126" spans="1:45" ht="14">
      <c r="A126">
        <f t="shared" si="1"/>
        <v>-32</v>
      </c>
      <c r="B126" s="21">
        <v>48</v>
      </c>
      <c r="C126" s="127">
        <f t="shared" si="18"/>
        <v>30.279409728357518</v>
      </c>
      <c r="D126" s="125">
        <f>(($C$39*$C$118*0.72)*D$40)*('Product half-life and C flows'!B27/100)</f>
        <v>1.5310311538051184</v>
      </c>
      <c r="E126" s="26"/>
      <c r="F126" s="54">
        <f t="shared" si="15"/>
        <v>6.0606231572568161</v>
      </c>
      <c r="G126" s="54">
        <f t="shared" si="15"/>
        <v>0.7542108817919595</v>
      </c>
      <c r="H126" s="125">
        <f>(H$118)*('Product half-life and C flows'!L27/100)</f>
        <v>2.0836576849776316</v>
      </c>
      <c r="I126" s="125">
        <f>(($C$39*$C$118*0.28)*H$41)*('Product half-life and C flows'!N27/100)</f>
        <v>0.13676228597143189</v>
      </c>
      <c r="J126" s="125">
        <f>(($C$39*$C$118*0.28)*H$41)*(+'Product half-life and C flows'!P27/100)</f>
        <v>6.8312830155560389E-2</v>
      </c>
      <c r="K126" s="54">
        <f t="shared" si="16"/>
        <v>1.3434381331919276</v>
      </c>
      <c r="L126" s="26"/>
      <c r="M126" s="80"/>
      <c r="N126" s="80"/>
      <c r="O126" s="80"/>
      <c r="P126" s="81"/>
      <c r="Q126" s="81"/>
      <c r="R126" s="81"/>
      <c r="S126" s="81"/>
      <c r="T126" s="81"/>
      <c r="U126" s="3"/>
      <c r="V126" s="88"/>
      <c r="W126" s="88"/>
      <c r="X126" s="88"/>
      <c r="Y126" s="88"/>
      <c r="Z126" s="88"/>
      <c r="AA126" s="88"/>
      <c r="AB126" s="88"/>
      <c r="AC126" s="88"/>
      <c r="AE126">
        <f t="shared" si="3"/>
        <v>-32</v>
      </c>
      <c r="AI126" s="3">
        <f t="shared" si="6"/>
        <v>30.279409728357518</v>
      </c>
      <c r="AJ126" s="113">
        <f t="shared" si="4"/>
        <v>30.279409728357518</v>
      </c>
      <c r="AK126" s="124">
        <f t="shared" si="7"/>
        <v>1.5310311538051184</v>
      </c>
      <c r="AL126" s="124">
        <f t="shared" si="8"/>
        <v>0</v>
      </c>
      <c r="AM126" s="124">
        <f t="shared" si="9"/>
        <v>6.0606231572568161</v>
      </c>
      <c r="AN126" s="124">
        <f t="shared" si="10"/>
        <v>0.7542108817919595</v>
      </c>
      <c r="AO126" s="124">
        <f t="shared" si="11"/>
        <v>2.0836576849776316</v>
      </c>
      <c r="AP126" s="124">
        <f t="shared" si="12"/>
        <v>0.13676228597143189</v>
      </c>
      <c r="AQ126" s="124">
        <f t="shared" si="13"/>
        <v>6.8312830155560389E-2</v>
      </c>
      <c r="AR126" s="124">
        <f t="shared" si="14"/>
        <v>1.3434381331919276</v>
      </c>
      <c r="AS126" s="124">
        <f t="shared" si="17"/>
        <v>42.257445855507967</v>
      </c>
    </row>
    <row r="127" spans="1:45" ht="14">
      <c r="A127">
        <f t="shared" si="1"/>
        <v>-31</v>
      </c>
      <c r="B127" s="21">
        <v>49</v>
      </c>
      <c r="C127" s="127">
        <f t="shared" si="18"/>
        <v>32.00258315093641</v>
      </c>
      <c r="D127" s="125">
        <f>(($C$39*$C$118*0.72)*D$40)*('Product half-life and C flows'!B28/100)</f>
        <v>1.4788786121760866</v>
      </c>
      <c r="E127" s="26"/>
      <c r="F127" s="54">
        <f t="shared" si="15"/>
        <v>6.0606231572568161</v>
      </c>
      <c r="G127" s="54">
        <f t="shared" si="15"/>
        <v>0.7542108817919595</v>
      </c>
      <c r="H127" s="125">
        <f>(H$118)*('Product half-life and C flows'!L28/100)</f>
        <v>2.0518084624626773</v>
      </c>
      <c r="I127" s="125">
        <f>(($C$39*$C$118*0.28)*H$41)*('Product half-life and C flows'!N28/100)</f>
        <v>0.15270282184016651</v>
      </c>
      <c r="J127" s="125">
        <f>(($C$39*$C$118*0.28)*H$41)*(+'Product half-life and C flows'!P28/100)</f>
        <v>7.6275135784298953E-2</v>
      </c>
      <c r="K127" s="54">
        <f t="shared" si="16"/>
        <v>1.3434381331919276</v>
      </c>
      <c r="L127" s="26"/>
      <c r="M127" s="80"/>
      <c r="N127" s="80"/>
      <c r="O127" s="82"/>
      <c r="P127" s="81"/>
      <c r="Q127" s="81"/>
      <c r="R127" s="81"/>
      <c r="S127" s="81"/>
      <c r="T127" s="81"/>
      <c r="U127" s="3"/>
      <c r="V127" s="88"/>
      <c r="W127" s="88"/>
      <c r="X127" s="88"/>
      <c r="Y127" s="88"/>
      <c r="Z127" s="88"/>
      <c r="AA127" s="88"/>
      <c r="AB127" s="88"/>
      <c r="AC127" s="88"/>
      <c r="AE127">
        <f t="shared" si="3"/>
        <v>-31</v>
      </c>
      <c r="AI127" s="3">
        <f t="shared" si="6"/>
        <v>32.00258315093641</v>
      </c>
      <c r="AJ127" s="113">
        <f t="shared" si="4"/>
        <v>32.00258315093641</v>
      </c>
      <c r="AK127" s="124">
        <f t="shared" si="7"/>
        <v>1.4788786121760866</v>
      </c>
      <c r="AL127" s="124">
        <f t="shared" si="8"/>
        <v>0</v>
      </c>
      <c r="AM127" s="124">
        <f t="shared" si="9"/>
        <v>6.0606231572568161</v>
      </c>
      <c r="AN127" s="124">
        <f t="shared" si="10"/>
        <v>0.7542108817919595</v>
      </c>
      <c r="AO127" s="124">
        <f t="shared" si="11"/>
        <v>2.0518084624626773</v>
      </c>
      <c r="AP127" s="124">
        <f t="shared" si="12"/>
        <v>0.15270282184016651</v>
      </c>
      <c r="AQ127" s="124">
        <f t="shared" si="13"/>
        <v>7.6275135784298953E-2</v>
      </c>
      <c r="AR127" s="124">
        <f t="shared" si="14"/>
        <v>1.3434381331919276</v>
      </c>
      <c r="AS127" s="124">
        <f t="shared" si="17"/>
        <v>43.920520355440345</v>
      </c>
    </row>
    <row r="128" spans="1:45" ht="14">
      <c r="A128">
        <f t="shared" si="1"/>
        <v>-30</v>
      </c>
      <c r="B128" s="21">
        <v>50</v>
      </c>
      <c r="C128" s="127">
        <f t="shared" si="18"/>
        <v>33.725756573515298</v>
      </c>
      <c r="D128" s="125">
        <f>(($C$39*$C$118*0.72)*D$40)*('Product half-life and C flows'!B29/100)</f>
        <v>1.4285025775708395</v>
      </c>
      <c r="E128" s="26"/>
      <c r="F128" s="54">
        <f t="shared" si="15"/>
        <v>6.0606231572568161</v>
      </c>
      <c r="G128" s="54">
        <f t="shared" si="15"/>
        <v>0.7542108817919595</v>
      </c>
      <c r="H128" s="125">
        <f>(H$118)*('Product half-life and C flows'!L29/100)</f>
        <v>2.0204460631827104</v>
      </c>
      <c r="I128" s="125">
        <f>(($C$39*$C$118*0.28)*H$41)*('Product half-life and C flows'!N29/100)</f>
        <v>0.16839970267978996</v>
      </c>
      <c r="J128" s="125">
        <f>(($C$39*$C$118*0.28)*H$41)*(+'Product half-life and C flows'!P29/100)</f>
        <v>8.4115735604290698E-2</v>
      </c>
      <c r="K128" s="54">
        <f t="shared" si="16"/>
        <v>1.3434381331919276</v>
      </c>
      <c r="L128" s="26"/>
      <c r="M128" s="80"/>
      <c r="N128" s="80"/>
      <c r="O128" s="82"/>
      <c r="P128" s="81"/>
      <c r="Q128" s="81"/>
      <c r="R128" s="81"/>
      <c r="S128" s="81"/>
      <c r="T128" s="81"/>
      <c r="U128" s="3"/>
      <c r="V128" s="88"/>
      <c r="W128" s="88"/>
      <c r="X128" s="88"/>
      <c r="Y128" s="88"/>
      <c r="Z128" s="88"/>
      <c r="AA128" s="88"/>
      <c r="AB128" s="88"/>
      <c r="AC128" s="88"/>
      <c r="AE128">
        <f t="shared" si="3"/>
        <v>-30</v>
      </c>
      <c r="AI128" s="3">
        <f t="shared" si="6"/>
        <v>33.725756573515298</v>
      </c>
      <c r="AJ128" s="113">
        <f t="shared" si="4"/>
        <v>33.725756573515298</v>
      </c>
      <c r="AK128" s="124">
        <f t="shared" si="7"/>
        <v>1.4285025775708395</v>
      </c>
      <c r="AL128" s="124">
        <f t="shared" si="8"/>
        <v>0</v>
      </c>
      <c r="AM128" s="124">
        <f t="shared" si="9"/>
        <v>6.0606231572568161</v>
      </c>
      <c r="AN128" s="124">
        <f t="shared" si="10"/>
        <v>0.7542108817919595</v>
      </c>
      <c r="AO128" s="124">
        <f t="shared" si="11"/>
        <v>2.0204460631827104</v>
      </c>
      <c r="AP128" s="124">
        <f t="shared" si="12"/>
        <v>0.16839970267978996</v>
      </c>
      <c r="AQ128" s="124">
        <f t="shared" si="13"/>
        <v>8.4115735604290698E-2</v>
      </c>
      <c r="AR128" s="124">
        <f t="shared" si="14"/>
        <v>1.3434381331919276</v>
      </c>
      <c r="AS128" s="124">
        <f t="shared" si="17"/>
        <v>45.585492824793633</v>
      </c>
    </row>
    <row r="129" spans="1:45" ht="14">
      <c r="A129">
        <f t="shared" si="1"/>
        <v>-29</v>
      </c>
      <c r="B129" s="21">
        <v>51</v>
      </c>
      <c r="C129" s="127">
        <f t="shared" si="18"/>
        <v>35.448929996094186</v>
      </c>
      <c r="D129" s="125">
        <f>(($C$39*$C$118*0.72)*D$40)*('Product half-life and C flows'!B30/100)</f>
        <v>1.379842535638456</v>
      </c>
      <c r="E129" s="26"/>
      <c r="F129" s="54">
        <f t="shared" si="15"/>
        <v>6.0606231572568161</v>
      </c>
      <c r="G129" s="54">
        <f t="shared" si="15"/>
        <v>0.7542108817919595</v>
      </c>
      <c r="H129" s="125">
        <f>(H$118)*('Product half-life and C flows'!L30/100)</f>
        <v>1.9895630459243074</v>
      </c>
      <c r="I129" s="125">
        <f>(($C$39*$C$118*0.28)*H$41)*('Product half-life and C flows'!N30/100)</f>
        <v>0.18385665281762081</v>
      </c>
      <c r="J129" s="125">
        <f>(($C$39*$C$118*0.28)*H$41)*(+'Product half-life and C flows'!P30/100)</f>
        <v>9.1836489918891512E-2</v>
      </c>
      <c r="K129" s="54">
        <f t="shared" si="16"/>
        <v>1.3434381331919276</v>
      </c>
      <c r="L129" s="26"/>
      <c r="M129" s="80"/>
      <c r="N129" s="80"/>
      <c r="O129" s="82"/>
      <c r="P129" s="81"/>
      <c r="Q129" s="81"/>
      <c r="R129" s="81"/>
      <c r="S129" s="81"/>
      <c r="T129" s="81"/>
      <c r="U129" s="3"/>
      <c r="V129" s="88"/>
      <c r="W129" s="88"/>
      <c r="X129" s="88"/>
      <c r="Y129" s="88"/>
      <c r="Z129" s="88"/>
      <c r="AA129" s="88"/>
      <c r="AB129" s="88"/>
      <c r="AC129" s="88"/>
      <c r="AE129">
        <f t="shared" si="3"/>
        <v>-29</v>
      </c>
      <c r="AI129" s="3">
        <f t="shared" si="6"/>
        <v>35.448929996094186</v>
      </c>
      <c r="AJ129" s="113">
        <f t="shared" si="4"/>
        <v>35.448929996094186</v>
      </c>
      <c r="AK129" s="124">
        <f t="shared" si="7"/>
        <v>1.379842535638456</v>
      </c>
      <c r="AL129" s="124">
        <f t="shared" si="8"/>
        <v>0</v>
      </c>
      <c r="AM129" s="124">
        <f t="shared" si="9"/>
        <v>6.0606231572568161</v>
      </c>
      <c r="AN129" s="124">
        <f t="shared" si="10"/>
        <v>0.7542108817919595</v>
      </c>
      <c r="AO129" s="124">
        <f t="shared" si="11"/>
        <v>1.9895630459243074</v>
      </c>
      <c r="AP129" s="124">
        <f t="shared" si="12"/>
        <v>0.18385665281762081</v>
      </c>
      <c r="AQ129" s="124">
        <f t="shared" si="13"/>
        <v>9.1836489918891512E-2</v>
      </c>
      <c r="AR129" s="124">
        <f t="shared" si="14"/>
        <v>1.3434381331919276</v>
      </c>
      <c r="AS129" s="124">
        <f t="shared" si="17"/>
        <v>47.252300892634153</v>
      </c>
    </row>
    <row r="130" spans="1:45" ht="14">
      <c r="A130">
        <f t="shared" si="1"/>
        <v>-28</v>
      </c>
      <c r="B130" s="21">
        <v>52</v>
      </c>
      <c r="C130" s="127">
        <f t="shared" si="18"/>
        <v>37.172103418673075</v>
      </c>
      <c r="D130" s="125">
        <f>(($C$39*$C$118*0.72)*D$40)*('Product half-life and C flows'!B31/100)</f>
        <v>1.3328400333689605</v>
      </c>
      <c r="E130" s="26"/>
      <c r="F130" s="54">
        <f t="shared" si="15"/>
        <v>6.0606231572568161</v>
      </c>
      <c r="G130" s="54">
        <f t="shared" si="15"/>
        <v>0.7542108817919595</v>
      </c>
      <c r="H130" s="125">
        <f>(H$118)*('Product half-life and C flows'!L31/100)</f>
        <v>1.9591520832148288</v>
      </c>
      <c r="I130" s="125">
        <f>(($C$39*$C$118*0.28)*H$41)*('Product half-life and C flows'!N31/100)</f>
        <v>0.19907733965371482</v>
      </c>
      <c r="J130" s="125">
        <f>(($C$39*$C$118*0.28)*H$41)*(+'Product half-life and C flows'!P31/100)</f>
        <v>9.9439230596261155E-2</v>
      </c>
      <c r="K130" s="54">
        <f t="shared" si="16"/>
        <v>1.3434381331919276</v>
      </c>
      <c r="L130" s="26"/>
      <c r="M130" s="80"/>
      <c r="N130" s="80"/>
      <c r="O130" s="82"/>
      <c r="P130" s="81"/>
      <c r="Q130" s="81"/>
      <c r="R130" s="81"/>
      <c r="S130" s="81"/>
      <c r="T130" s="81"/>
      <c r="U130" s="3"/>
      <c r="V130" s="88"/>
      <c r="W130" s="88"/>
      <c r="X130" s="88"/>
      <c r="Y130" s="88"/>
      <c r="Z130" s="88"/>
      <c r="AA130" s="88"/>
      <c r="AB130" s="88"/>
      <c r="AC130" s="88"/>
      <c r="AE130">
        <f t="shared" si="3"/>
        <v>-28</v>
      </c>
      <c r="AI130" s="3">
        <f t="shared" si="6"/>
        <v>37.172103418673075</v>
      </c>
      <c r="AJ130" s="113">
        <f t="shared" si="4"/>
        <v>37.172103418673075</v>
      </c>
      <c r="AK130" s="124">
        <f t="shared" si="7"/>
        <v>1.3328400333689605</v>
      </c>
      <c r="AL130" s="124">
        <f t="shared" si="8"/>
        <v>0</v>
      </c>
      <c r="AM130" s="124">
        <f t="shared" si="9"/>
        <v>6.0606231572568161</v>
      </c>
      <c r="AN130" s="124">
        <f t="shared" si="10"/>
        <v>0.7542108817919595</v>
      </c>
      <c r="AO130" s="124">
        <f t="shared" si="11"/>
        <v>1.9591520832148288</v>
      </c>
      <c r="AP130" s="124">
        <f t="shared" si="12"/>
        <v>0.19907733965371482</v>
      </c>
      <c r="AQ130" s="124">
        <f t="shared" si="13"/>
        <v>9.9439230596261155E-2</v>
      </c>
      <c r="AR130" s="124">
        <f t="shared" si="14"/>
        <v>1.3434381331919276</v>
      </c>
      <c r="AS130" s="124">
        <f t="shared" si="17"/>
        <v>48.920884277747547</v>
      </c>
    </row>
    <row r="131" spans="1:45" ht="14">
      <c r="A131">
        <f t="shared" si="1"/>
        <v>-27</v>
      </c>
      <c r="B131" s="21">
        <v>53</v>
      </c>
      <c r="C131" s="127">
        <f t="shared" si="18"/>
        <v>38.895276841251963</v>
      </c>
      <c r="D131" s="125">
        <f>(($C$39*$C$118*0.72)*D$40)*('Product half-life and C flows'!B32/100)</f>
        <v>1.2874386088764824</v>
      </c>
      <c r="E131" s="26"/>
      <c r="F131" s="54">
        <f t="shared" si="15"/>
        <v>6.0606231572568161</v>
      </c>
      <c r="G131" s="54">
        <f t="shared" si="15"/>
        <v>0.7542108817919595</v>
      </c>
      <c r="H131" s="125">
        <f>(H$118)*('Product half-life and C flows'!L32/100)</f>
        <v>1.9292059595838664</v>
      </c>
      <c r="I131" s="125">
        <f>(($C$39*$C$118*0.28)*H$41)*('Product half-life and C flows'!N32/100)</f>
        <v>0.21406537453101146</v>
      </c>
      <c r="J131" s="125">
        <f>(($C$39*$C$118*0.28)*H$41)*(+'Product half-life and C flows'!P32/100)</f>
        <v>0.10692576150400175</v>
      </c>
      <c r="K131" s="54">
        <f t="shared" si="16"/>
        <v>1.3434381331919276</v>
      </c>
      <c r="L131" s="26"/>
      <c r="M131" s="80"/>
      <c r="N131" s="80"/>
      <c r="O131" s="82"/>
      <c r="P131" s="81"/>
      <c r="Q131" s="81"/>
      <c r="R131" s="81"/>
      <c r="S131" s="81"/>
      <c r="T131" s="81"/>
      <c r="U131" s="3"/>
      <c r="V131" s="88"/>
      <c r="W131" s="88"/>
      <c r="X131" s="88"/>
      <c r="Y131" s="88"/>
      <c r="Z131" s="88"/>
      <c r="AA131" s="88"/>
      <c r="AB131" s="88"/>
      <c r="AC131" s="88"/>
      <c r="AE131">
        <f t="shared" si="3"/>
        <v>-27</v>
      </c>
      <c r="AI131" s="3">
        <f t="shared" si="6"/>
        <v>38.895276841251963</v>
      </c>
      <c r="AJ131" s="113">
        <f t="shared" si="4"/>
        <v>38.895276841251963</v>
      </c>
      <c r="AK131" s="124">
        <f t="shared" si="7"/>
        <v>1.2874386088764824</v>
      </c>
      <c r="AL131" s="124">
        <f t="shared" si="8"/>
        <v>0</v>
      </c>
      <c r="AM131" s="124">
        <f t="shared" si="9"/>
        <v>6.0606231572568161</v>
      </c>
      <c r="AN131" s="124">
        <f t="shared" si="10"/>
        <v>0.7542108817919595</v>
      </c>
      <c r="AO131" s="124">
        <f t="shared" si="11"/>
        <v>1.9292059595838664</v>
      </c>
      <c r="AP131" s="124">
        <f t="shared" si="12"/>
        <v>0.21406537453101146</v>
      </c>
      <c r="AQ131" s="124">
        <f t="shared" si="13"/>
        <v>0.10692576150400175</v>
      </c>
      <c r="AR131" s="124">
        <f t="shared" si="14"/>
        <v>1.3434381331919276</v>
      </c>
      <c r="AS131" s="124">
        <f t="shared" si="17"/>
        <v>50.591184717988028</v>
      </c>
    </row>
    <row r="132" spans="1:45" ht="14">
      <c r="A132">
        <f t="shared" si="1"/>
        <v>-26</v>
      </c>
      <c r="B132" s="21">
        <v>54</v>
      </c>
      <c r="C132" s="127">
        <f t="shared" si="18"/>
        <v>40.618450263830852</v>
      </c>
      <c r="D132" s="125">
        <f>(($C$39*$C$118*0.72)*D$40)*('Product half-life and C flows'!B33/100)</f>
        <v>1.2435837235742595</v>
      </c>
      <c r="E132" s="26"/>
      <c r="F132" s="54">
        <f t="shared" si="15"/>
        <v>6.0606231572568161</v>
      </c>
      <c r="G132" s="54">
        <f t="shared" si="15"/>
        <v>0.7542108817919595</v>
      </c>
      <c r="H132" s="125">
        <f>(H$118)*('Product half-life and C flows'!L33/100)</f>
        <v>1.8997175698512594</v>
      </c>
      <c r="I132" s="125">
        <f>(($C$39*$C$118*0.28)*H$41)*('Product half-life and C flows'!N33/100)</f>
        <v>0.22882431359218125</v>
      </c>
      <c r="J132" s="125">
        <f>(($C$39*$C$118*0.28)*H$41)*(+'Product half-life and C flows'!P33/100)</f>
        <v>0.11429785893715347</v>
      </c>
      <c r="K132" s="54">
        <f t="shared" si="16"/>
        <v>1.3434381331919276</v>
      </c>
      <c r="L132" s="26"/>
      <c r="M132" s="80"/>
      <c r="N132" s="80"/>
      <c r="O132" s="82"/>
      <c r="P132" s="81"/>
      <c r="Q132" s="81"/>
      <c r="R132" s="81"/>
      <c r="S132" s="81"/>
      <c r="T132" s="81"/>
      <c r="U132" s="3"/>
      <c r="V132" s="88"/>
      <c r="W132" s="88"/>
      <c r="X132" s="88"/>
      <c r="Y132" s="88"/>
      <c r="Z132" s="88"/>
      <c r="AA132" s="88"/>
      <c r="AB132" s="88"/>
      <c r="AC132" s="88"/>
      <c r="AE132">
        <f t="shared" si="3"/>
        <v>-26</v>
      </c>
      <c r="AI132" s="3">
        <f t="shared" si="6"/>
        <v>40.618450263830852</v>
      </c>
      <c r="AJ132" s="113">
        <f t="shared" si="4"/>
        <v>40.618450263830852</v>
      </c>
      <c r="AK132" s="124">
        <f t="shared" si="7"/>
        <v>1.2435837235742595</v>
      </c>
      <c r="AL132" s="124">
        <f t="shared" si="8"/>
        <v>0</v>
      </c>
      <c r="AM132" s="124">
        <f t="shared" si="9"/>
        <v>6.0606231572568161</v>
      </c>
      <c r="AN132" s="124">
        <f t="shared" si="10"/>
        <v>0.7542108817919595</v>
      </c>
      <c r="AO132" s="124">
        <f t="shared" si="11"/>
        <v>1.8997175698512594</v>
      </c>
      <c r="AP132" s="124">
        <f t="shared" si="12"/>
        <v>0.22882431359218125</v>
      </c>
      <c r="AQ132" s="124">
        <f t="shared" si="13"/>
        <v>0.11429785893715347</v>
      </c>
      <c r="AR132" s="124">
        <f t="shared" si="14"/>
        <v>1.3434381331919276</v>
      </c>
      <c r="AS132" s="124">
        <f t="shared" si="17"/>
        <v>52.263145902026423</v>
      </c>
    </row>
    <row r="133" spans="1:45" ht="14">
      <c r="A133">
        <f t="shared" si="1"/>
        <v>-25</v>
      </c>
      <c r="B133" s="21">
        <v>55</v>
      </c>
      <c r="C133" s="127">
        <f t="shared" si="18"/>
        <v>42.34162368640974</v>
      </c>
      <c r="D133" s="125">
        <f>(($C$39*$C$118*0.72)*D$40)*('Product half-life and C flows'!B34/100)</f>
        <v>1.2012226966600101</v>
      </c>
      <c r="E133" s="26"/>
      <c r="F133" s="54">
        <f t="shared" si="15"/>
        <v>6.0606231572568161</v>
      </c>
      <c r="G133" s="54">
        <f t="shared" si="15"/>
        <v>0.7542108817919595</v>
      </c>
      <c r="H133" s="125">
        <f>(H$118)*('Product half-life and C flows'!L34/100)</f>
        <v>1.8706799174412811</v>
      </c>
      <c r="I133" s="125">
        <f>(($C$39*$C$118*0.28)*H$41)*('Product half-life and C flows'!N34/100)</f>
        <v>0.24335765862337541</v>
      </c>
      <c r="J133" s="125">
        <f>(($C$39*$C$118*0.28)*H$41)*(+'Product half-life and C flows'!P34/100)</f>
        <v>0.12155727203964804</v>
      </c>
      <c r="K133" s="54">
        <f t="shared" si="16"/>
        <v>1.3434381331919276</v>
      </c>
      <c r="L133" s="26"/>
      <c r="M133" s="80"/>
      <c r="N133" s="80"/>
      <c r="O133" s="82"/>
      <c r="P133" s="81"/>
      <c r="Q133" s="81"/>
      <c r="R133" s="81"/>
      <c r="S133" s="81"/>
      <c r="T133" s="81"/>
      <c r="U133" s="3"/>
      <c r="V133" s="88"/>
      <c r="W133" s="88"/>
      <c r="X133" s="88"/>
      <c r="Y133" s="88"/>
      <c r="Z133" s="88"/>
      <c r="AA133" s="88"/>
      <c r="AB133" s="88"/>
      <c r="AC133" s="88"/>
      <c r="AE133">
        <f t="shared" si="3"/>
        <v>-25</v>
      </c>
      <c r="AI133" s="3">
        <f t="shared" si="6"/>
        <v>42.34162368640974</v>
      </c>
      <c r="AJ133" s="113">
        <f t="shared" si="4"/>
        <v>42.34162368640974</v>
      </c>
      <c r="AK133" s="124">
        <f t="shared" si="7"/>
        <v>1.2012226966600101</v>
      </c>
      <c r="AL133" s="124">
        <f t="shared" si="8"/>
        <v>0</v>
      </c>
      <c r="AM133" s="124">
        <f t="shared" si="9"/>
        <v>6.0606231572568161</v>
      </c>
      <c r="AN133" s="124">
        <f t="shared" si="10"/>
        <v>0.7542108817919595</v>
      </c>
      <c r="AO133" s="124">
        <f t="shared" si="11"/>
        <v>1.8706799174412811</v>
      </c>
      <c r="AP133" s="124">
        <f t="shared" si="12"/>
        <v>0.24335765862337541</v>
      </c>
      <c r="AQ133" s="124">
        <f t="shared" si="13"/>
        <v>0.12155727203964804</v>
      </c>
      <c r="AR133" s="124">
        <f t="shared" si="14"/>
        <v>1.3434381331919276</v>
      </c>
      <c r="AS133" s="124">
        <f t="shared" si="17"/>
        <v>53.936713403414757</v>
      </c>
    </row>
    <row r="134" spans="1:45" ht="14">
      <c r="A134">
        <f t="shared" si="1"/>
        <v>-24</v>
      </c>
      <c r="B134" s="21">
        <v>56</v>
      </c>
      <c r="C134" s="127">
        <f t="shared" si="18"/>
        <v>44.064797108988628</v>
      </c>
      <c r="D134" s="125">
        <f>(($C$39*$C$118*0.72)*D$40)*('Product half-life and C flows'!B35/100)</f>
        <v>1.1603046418329737</v>
      </c>
      <c r="E134" s="26"/>
      <c r="F134" s="54">
        <f t="shared" si="15"/>
        <v>6.0606231572568161</v>
      </c>
      <c r="G134" s="54">
        <f t="shared" si="15"/>
        <v>0.7542108817919595</v>
      </c>
      <c r="H134" s="125">
        <f>(H$118)*('Product half-life and C flows'!L35/100)</f>
        <v>1.8420861127225936</v>
      </c>
      <c r="I134" s="125">
        <f>(($C$39*$C$118*0.28)*H$41)*('Product half-life and C flows'!N35/100)</f>
        <v>0.25766885788507859</v>
      </c>
      <c r="J134" s="125">
        <f>(($C$39*$C$118*0.28)*H$41)*(+'Product half-life and C flows'!P35/100)</f>
        <v>0.12870572321931997</v>
      </c>
      <c r="K134" s="54">
        <f t="shared" si="16"/>
        <v>1.3434381331919276</v>
      </c>
      <c r="L134" s="26"/>
      <c r="M134" s="80"/>
      <c r="N134" s="80"/>
      <c r="O134" s="82"/>
      <c r="P134" s="81"/>
      <c r="Q134" s="81"/>
      <c r="R134" s="81"/>
      <c r="S134" s="81"/>
      <c r="T134" s="81"/>
      <c r="U134" s="3"/>
      <c r="V134" s="88"/>
      <c r="W134" s="88"/>
      <c r="X134" s="88"/>
      <c r="Y134" s="88"/>
      <c r="Z134" s="88"/>
      <c r="AA134" s="88"/>
      <c r="AB134" s="88"/>
      <c r="AC134" s="88"/>
      <c r="AE134">
        <f t="shared" si="3"/>
        <v>-24</v>
      </c>
      <c r="AI134" s="3">
        <f t="shared" si="6"/>
        <v>44.064797108988628</v>
      </c>
      <c r="AJ134" s="113">
        <f t="shared" si="4"/>
        <v>44.064797108988628</v>
      </c>
      <c r="AK134" s="124">
        <f t="shared" si="7"/>
        <v>1.1603046418329737</v>
      </c>
      <c r="AL134" s="124">
        <f t="shared" si="8"/>
        <v>0</v>
      </c>
      <c r="AM134" s="124">
        <f t="shared" si="9"/>
        <v>6.0606231572568161</v>
      </c>
      <c r="AN134" s="124">
        <f t="shared" si="10"/>
        <v>0.7542108817919595</v>
      </c>
      <c r="AO134" s="124">
        <f t="shared" si="11"/>
        <v>1.8420861127225936</v>
      </c>
      <c r="AP134" s="124">
        <f t="shared" si="12"/>
        <v>0.25766885788507859</v>
      </c>
      <c r="AQ134" s="124">
        <f t="shared" si="13"/>
        <v>0.12870572321931997</v>
      </c>
      <c r="AR134" s="124">
        <f t="shared" si="14"/>
        <v>1.3434381331919276</v>
      </c>
      <c r="AS134" s="124">
        <f t="shared" si="17"/>
        <v>55.611834616889297</v>
      </c>
    </row>
    <row r="135" spans="1:45" ht="14">
      <c r="A135">
        <f t="shared" si="1"/>
        <v>-23</v>
      </c>
      <c r="B135" s="21">
        <v>57</v>
      </c>
      <c r="C135" s="127">
        <f t="shared" si="18"/>
        <v>45.787970531567517</v>
      </c>
      <c r="D135" s="125">
        <f>(($C$39*$C$118*0.72)*D$40)*('Product half-life and C flows'!B36/100)</f>
        <v>1.1207804061666002</v>
      </c>
      <c r="E135" s="26"/>
      <c r="F135" s="54">
        <f t="shared" si="15"/>
        <v>6.0606231572568161</v>
      </c>
      <c r="G135" s="54">
        <f t="shared" si="15"/>
        <v>0.7542108817919595</v>
      </c>
      <c r="H135" s="125">
        <f>(H$118)*('Product half-life and C flows'!L36/100)</f>
        <v>1.8139293713735753</v>
      </c>
      <c r="I135" s="125">
        <f>(($C$39*$C$118*0.28)*H$41)*('Product half-life and C flows'!N36/100)</f>
        <v>0.27176130693026213</v>
      </c>
      <c r="J135" s="125">
        <f>(($C$39*$C$118*0.28)*H$41)*(+'Product half-life and C flows'!P36/100)</f>
        <v>0.13574490855657448</v>
      </c>
      <c r="K135" s="54">
        <f t="shared" si="16"/>
        <v>1.3434381331919276</v>
      </c>
      <c r="L135" s="26"/>
      <c r="M135" s="80"/>
      <c r="N135" s="80"/>
      <c r="O135" s="82"/>
      <c r="P135" s="81"/>
      <c r="Q135" s="81"/>
      <c r="R135" s="81"/>
      <c r="S135" s="81"/>
      <c r="T135" s="81"/>
      <c r="U135" s="3"/>
      <c r="V135" s="88"/>
      <c r="W135" s="88"/>
      <c r="X135" s="88"/>
      <c r="Y135" s="88"/>
      <c r="Z135" s="88"/>
      <c r="AA135" s="88"/>
      <c r="AB135" s="88"/>
      <c r="AC135" s="88"/>
      <c r="AE135">
        <f t="shared" si="3"/>
        <v>-23</v>
      </c>
      <c r="AI135" s="3">
        <f t="shared" si="6"/>
        <v>45.787970531567517</v>
      </c>
      <c r="AJ135" s="113">
        <f t="shared" si="4"/>
        <v>45.787970531567517</v>
      </c>
      <c r="AK135" s="124">
        <f t="shared" si="7"/>
        <v>1.1207804061666002</v>
      </c>
      <c r="AL135" s="124">
        <f t="shared" si="8"/>
        <v>0</v>
      </c>
      <c r="AM135" s="124">
        <f t="shared" si="9"/>
        <v>6.0606231572568161</v>
      </c>
      <c r="AN135" s="124">
        <f t="shared" si="10"/>
        <v>0.7542108817919595</v>
      </c>
      <c r="AO135" s="124">
        <f t="shared" si="11"/>
        <v>1.8139293713735753</v>
      </c>
      <c r="AP135" s="124">
        <f t="shared" si="12"/>
        <v>0.27176130693026213</v>
      </c>
      <c r="AQ135" s="124">
        <f t="shared" si="13"/>
        <v>0.13574490855657448</v>
      </c>
      <c r="AR135" s="124">
        <f t="shared" si="14"/>
        <v>1.3434381331919276</v>
      </c>
      <c r="AS135" s="124">
        <f t="shared" si="17"/>
        <v>57.288458696835235</v>
      </c>
    </row>
    <row r="136" spans="1:45" ht="14">
      <c r="A136">
        <f t="shared" si="1"/>
        <v>-22</v>
      </c>
      <c r="B136" s="21">
        <v>58</v>
      </c>
      <c r="C136" s="127">
        <f t="shared" si="18"/>
        <v>47.511143954146405</v>
      </c>
      <c r="D136" s="125">
        <f>(($C$39*$C$118*0.72)*D$40)*('Product half-life and C flows'!B37/100)</f>
        <v>1.0826025110634632</v>
      </c>
      <c r="E136" s="26"/>
      <c r="F136" s="54">
        <f t="shared" ref="F136:G151" si="19">F135</f>
        <v>6.0606231572568161</v>
      </c>
      <c r="G136" s="54">
        <f t="shared" si="19"/>
        <v>0.7542108817919595</v>
      </c>
      <c r="H136" s="125">
        <f>(H$118)*('Product half-life and C flows'!L37/100)</f>
        <v>1.7862030127726385</v>
      </c>
      <c r="I136" s="125">
        <f>(($C$39*$C$118*0.28)*H$41)*('Product half-life and C flows'!N37/100)</f>
        <v>0.28563834941003102</v>
      </c>
      <c r="J136" s="125">
        <f>(($C$39*$C$118*0.28)*H$41)*(+'Product half-life and C flows'!P37/100)</f>
        <v>0.14267649820680869</v>
      </c>
      <c r="K136" s="54">
        <f t="shared" si="16"/>
        <v>1.3434381331919276</v>
      </c>
      <c r="L136" s="26"/>
      <c r="M136" s="80"/>
      <c r="N136" s="80"/>
      <c r="O136" s="82"/>
      <c r="P136" s="81"/>
      <c r="Q136" s="81"/>
      <c r="R136" s="81"/>
      <c r="S136" s="81"/>
      <c r="T136" s="81"/>
      <c r="U136" s="3"/>
      <c r="V136" s="88"/>
      <c r="W136" s="88"/>
      <c r="X136" s="88"/>
      <c r="Y136" s="88"/>
      <c r="Z136" s="88"/>
      <c r="AA136" s="88"/>
      <c r="AB136" s="88"/>
      <c r="AC136" s="88"/>
      <c r="AE136">
        <f t="shared" si="3"/>
        <v>-22</v>
      </c>
      <c r="AI136" s="3">
        <f t="shared" si="6"/>
        <v>47.511143954146405</v>
      </c>
      <c r="AJ136" s="113">
        <f t="shared" si="4"/>
        <v>47.511143954146405</v>
      </c>
      <c r="AK136" s="124">
        <f t="shared" si="7"/>
        <v>1.0826025110634632</v>
      </c>
      <c r="AL136" s="124">
        <f t="shared" si="8"/>
        <v>0</v>
      </c>
      <c r="AM136" s="124">
        <f t="shared" si="9"/>
        <v>6.0606231572568161</v>
      </c>
      <c r="AN136" s="124">
        <f t="shared" si="10"/>
        <v>0.7542108817919595</v>
      </c>
      <c r="AO136" s="124">
        <f t="shared" si="11"/>
        <v>1.7862030127726385</v>
      </c>
      <c r="AP136" s="124">
        <f t="shared" si="12"/>
        <v>0.28563834941003102</v>
      </c>
      <c r="AQ136" s="124">
        <f t="shared" si="13"/>
        <v>0.14267649820680869</v>
      </c>
      <c r="AR136" s="124">
        <f t="shared" si="14"/>
        <v>1.3434381331919276</v>
      </c>
      <c r="AS136" s="124">
        <f t="shared" si="17"/>
        <v>58.966536497840053</v>
      </c>
    </row>
    <row r="137" spans="1:45" ht="14">
      <c r="A137">
        <f t="shared" si="1"/>
        <v>-21</v>
      </c>
      <c r="B137" s="21">
        <v>59</v>
      </c>
      <c r="C137" s="127">
        <f t="shared" si="18"/>
        <v>49.234317376725294</v>
      </c>
      <c r="D137" s="125">
        <f>(($C$39*$C$118*0.72)*D$40)*('Product half-life and C flows'!B38/100)</f>
        <v>1.0457250952214612</v>
      </c>
      <c r="E137" s="26"/>
      <c r="F137" s="54">
        <f t="shared" si="19"/>
        <v>6.0606231572568161</v>
      </c>
      <c r="G137" s="54">
        <f t="shared" si="19"/>
        <v>0.7542108817919595</v>
      </c>
      <c r="H137" s="125">
        <f>(H$118)*('Product half-life and C flows'!L38/100)</f>
        <v>1.7589004584131454</v>
      </c>
      <c r="I137" s="125">
        <f>(($C$39*$C$118*0.28)*H$41)*('Product half-life and C flows'!N38/100)</f>
        <v>0.29930327786695743</v>
      </c>
      <c r="J137" s="125">
        <f>(($C$39*$C$118*0.28)*H$41)*(+'Product half-life and C flows'!P38/100)</f>
        <v>0.14950213679668203</v>
      </c>
      <c r="K137" s="54">
        <f t="shared" si="16"/>
        <v>1.3434381331919276</v>
      </c>
      <c r="L137" s="26"/>
      <c r="M137" s="80"/>
      <c r="N137" s="80"/>
      <c r="O137" s="82"/>
      <c r="P137" s="81"/>
      <c r="Q137" s="81"/>
      <c r="R137" s="81"/>
      <c r="S137" s="81"/>
      <c r="T137" s="81"/>
      <c r="U137" s="3"/>
      <c r="V137" s="88"/>
      <c r="W137" s="88"/>
      <c r="X137" s="88"/>
      <c r="Y137" s="88"/>
      <c r="Z137" s="88"/>
      <c r="AA137" s="88"/>
      <c r="AB137" s="88"/>
      <c r="AC137" s="88"/>
      <c r="AE137">
        <f t="shared" si="3"/>
        <v>-21</v>
      </c>
      <c r="AI137" s="3">
        <f t="shared" si="6"/>
        <v>49.234317376725294</v>
      </c>
      <c r="AJ137" s="113">
        <f t="shared" si="4"/>
        <v>49.234317376725294</v>
      </c>
      <c r="AK137" s="124">
        <f t="shared" si="7"/>
        <v>1.0457250952214612</v>
      </c>
      <c r="AL137" s="124">
        <f t="shared" si="8"/>
        <v>0</v>
      </c>
      <c r="AM137" s="124">
        <f t="shared" si="9"/>
        <v>6.0606231572568161</v>
      </c>
      <c r="AN137" s="124">
        <f t="shared" si="10"/>
        <v>0.7542108817919595</v>
      </c>
      <c r="AO137" s="124">
        <f t="shared" si="11"/>
        <v>1.7589004584131454</v>
      </c>
      <c r="AP137" s="124">
        <f t="shared" si="12"/>
        <v>0.29930327786695743</v>
      </c>
      <c r="AQ137" s="124">
        <f t="shared" si="13"/>
        <v>0.14950213679668203</v>
      </c>
      <c r="AR137" s="124">
        <f t="shared" si="14"/>
        <v>1.3434381331919276</v>
      </c>
      <c r="AS137" s="124">
        <f t="shared" si="17"/>
        <v>60.646020517264247</v>
      </c>
    </row>
    <row r="138" spans="1:45" ht="14">
      <c r="A138">
        <f t="shared" si="1"/>
        <v>-20</v>
      </c>
      <c r="B138" s="21">
        <v>60</v>
      </c>
      <c r="C138" s="127">
        <f t="shared" si="18"/>
        <v>50.957490799304182</v>
      </c>
      <c r="D138" s="125">
        <f>(($C$39*$C$118*0.72)*D$40)*('Product half-life and C flows'!B39/100)</f>
        <v>1.0101038595428027</v>
      </c>
      <c r="E138" s="26"/>
      <c r="F138" s="54">
        <f t="shared" si="19"/>
        <v>6.0606231572568161</v>
      </c>
      <c r="G138" s="54">
        <f t="shared" si="19"/>
        <v>0.7542108817919595</v>
      </c>
      <c r="H138" s="125">
        <f>(H$118)*('Product half-life and C flows'!L39/100)</f>
        <v>1.7320152303425582</v>
      </c>
      <c r="I138" s="125">
        <f>(($C$39*$C$118*0.28)*H$41)*('Product half-life and C flows'!N39/100)</f>
        <v>0.31275933451628624</v>
      </c>
      <c r="J138" s="125">
        <f>(($C$39*$C$118*0.28)*H$41)*(+'Product half-life and C flows'!P39/100)</f>
        <v>0.15622344381432879</v>
      </c>
      <c r="K138" s="54">
        <f t="shared" si="16"/>
        <v>1.3434381331919276</v>
      </c>
      <c r="L138" s="26"/>
      <c r="M138" s="80"/>
      <c r="N138" s="80"/>
      <c r="O138" s="82"/>
      <c r="P138" s="81"/>
      <c r="Q138" s="81"/>
      <c r="R138" s="81"/>
      <c r="S138" s="81"/>
      <c r="T138" s="81"/>
      <c r="U138" s="3"/>
      <c r="V138" s="88"/>
      <c r="W138" s="88"/>
      <c r="X138" s="88"/>
      <c r="Y138" s="88"/>
      <c r="Z138" s="88"/>
      <c r="AA138" s="88"/>
      <c r="AB138" s="88"/>
      <c r="AC138" s="88"/>
      <c r="AE138">
        <f t="shared" si="3"/>
        <v>-20</v>
      </c>
      <c r="AI138" s="3">
        <f t="shared" si="6"/>
        <v>50.957490799304182</v>
      </c>
      <c r="AJ138" s="113">
        <f t="shared" si="4"/>
        <v>50.957490799304182</v>
      </c>
      <c r="AK138" s="124">
        <f t="shared" si="7"/>
        <v>1.0101038595428027</v>
      </c>
      <c r="AL138" s="124">
        <f t="shared" si="8"/>
        <v>0</v>
      </c>
      <c r="AM138" s="124">
        <f t="shared" si="9"/>
        <v>6.0606231572568161</v>
      </c>
      <c r="AN138" s="124">
        <f t="shared" si="10"/>
        <v>0.7542108817919595</v>
      </c>
      <c r="AO138" s="124">
        <f t="shared" si="11"/>
        <v>1.7320152303425582</v>
      </c>
      <c r="AP138" s="124">
        <f t="shared" si="12"/>
        <v>0.31275933451628624</v>
      </c>
      <c r="AQ138" s="124">
        <f t="shared" si="13"/>
        <v>0.15622344381432879</v>
      </c>
      <c r="AR138" s="124">
        <f t="shared" si="14"/>
        <v>1.3434381331919276</v>
      </c>
      <c r="AS138" s="124">
        <f t="shared" si="17"/>
        <v>62.326864839760859</v>
      </c>
    </row>
    <row r="139" spans="1:45" ht="14">
      <c r="A139">
        <f t="shared" si="1"/>
        <v>-19</v>
      </c>
      <c r="B139" s="21">
        <v>61</v>
      </c>
      <c r="C139" s="127">
        <f t="shared" si="18"/>
        <v>52.68066422188307</v>
      </c>
      <c r="D139" s="125">
        <f>(($C$39*$C$118*0.72)*D$40)*('Product half-life and C flows'!B40/100)</f>
        <v>0.97569601391959271</v>
      </c>
      <c r="E139" s="26"/>
      <c r="F139" s="54">
        <f t="shared" si="19"/>
        <v>6.0606231572568161</v>
      </c>
      <c r="G139" s="54">
        <f t="shared" si="19"/>
        <v>0.7542108817919595</v>
      </c>
      <c r="H139" s="125">
        <f>(H$118)*('Product half-life and C flows'!L40/100)</f>
        <v>1.7055409496254441</v>
      </c>
      <c r="I139" s="125">
        <f>(($C$39*$C$118*0.28)*H$41)*('Product half-life and C flows'!N40/100)</f>
        <v>0.32600971201520185</v>
      </c>
      <c r="J139" s="125">
        <f>(($C$39*$C$118*0.28)*H$41)*(+'Product half-life and C flows'!P40/100)</f>
        <v>0.16284201399360729</v>
      </c>
      <c r="K139" s="54">
        <f t="shared" si="16"/>
        <v>1.3434381331919276</v>
      </c>
      <c r="L139" s="26"/>
      <c r="M139" s="80"/>
      <c r="N139" s="80"/>
      <c r="O139" s="82"/>
      <c r="P139" s="81"/>
      <c r="Q139" s="81"/>
      <c r="R139" s="81"/>
      <c r="S139" s="81"/>
      <c r="T139" s="81"/>
      <c r="U139" s="3"/>
      <c r="V139" s="88"/>
      <c r="W139" s="88"/>
      <c r="X139" s="88"/>
      <c r="Y139" s="88"/>
      <c r="Z139" s="88"/>
      <c r="AA139" s="88"/>
      <c r="AB139" s="88"/>
      <c r="AC139" s="88"/>
      <c r="AE139">
        <f t="shared" si="3"/>
        <v>-19</v>
      </c>
      <c r="AI139" s="3">
        <f t="shared" si="6"/>
        <v>52.68066422188307</v>
      </c>
      <c r="AJ139" s="113">
        <f t="shared" si="4"/>
        <v>52.68066422188307</v>
      </c>
      <c r="AK139" s="124">
        <f t="shared" si="7"/>
        <v>0.97569601391959271</v>
      </c>
      <c r="AL139" s="124">
        <f t="shared" si="8"/>
        <v>0</v>
      </c>
      <c r="AM139" s="124">
        <f t="shared" si="9"/>
        <v>6.0606231572568161</v>
      </c>
      <c r="AN139" s="124">
        <f t="shared" si="10"/>
        <v>0.7542108817919595</v>
      </c>
      <c r="AO139" s="124">
        <f t="shared" si="11"/>
        <v>1.7055409496254441</v>
      </c>
      <c r="AP139" s="124">
        <f t="shared" si="12"/>
        <v>0.32600971201520185</v>
      </c>
      <c r="AQ139" s="124">
        <f t="shared" si="13"/>
        <v>0.16284201399360729</v>
      </c>
      <c r="AR139" s="124">
        <f t="shared" si="14"/>
        <v>1.3434381331919276</v>
      </c>
      <c r="AS139" s="124">
        <f t="shared" si="17"/>
        <v>64.009025083677614</v>
      </c>
    </row>
    <row r="140" spans="1:45" ht="14">
      <c r="A140">
        <f t="shared" si="1"/>
        <v>-18</v>
      </c>
      <c r="B140" s="21">
        <v>62</v>
      </c>
      <c r="C140" s="127">
        <f t="shared" si="18"/>
        <v>54.403837644461959</v>
      </c>
      <c r="D140" s="125">
        <f>(($C$39*$C$118*0.72)*D$40)*('Product half-life and C flows'!B41/100)</f>
        <v>0.94246022583209632</v>
      </c>
      <c r="E140" s="26"/>
      <c r="F140" s="54">
        <f t="shared" si="19"/>
        <v>6.0606231572568161</v>
      </c>
      <c r="G140" s="54">
        <f t="shared" si="19"/>
        <v>0.7542108817919595</v>
      </c>
      <c r="H140" s="125">
        <f>(H$118)*('Product half-life and C flows'!L41/100)</f>
        <v>1.6794713348299748</v>
      </c>
      <c r="I140" s="125">
        <f>(($C$39*$C$118*0.28)*H$41)*('Product half-life and C flows'!N41/100)</f>
        <v>0.33905755422033429</v>
      </c>
      <c r="J140" s="125">
        <f>(($C$39*$C$118*0.28)*H$41)*(+'Product half-life and C flows'!P41/100)</f>
        <v>0.16935941769247465</v>
      </c>
      <c r="K140" s="54">
        <f t="shared" si="16"/>
        <v>1.3434381331919276</v>
      </c>
      <c r="L140" s="26"/>
      <c r="M140" s="80"/>
      <c r="N140" s="80"/>
      <c r="O140" s="82"/>
      <c r="P140" s="81"/>
      <c r="Q140" s="81"/>
      <c r="R140" s="81"/>
      <c r="S140" s="81"/>
      <c r="T140" s="81"/>
      <c r="U140" s="3"/>
      <c r="V140" s="88"/>
      <c r="W140" s="88"/>
      <c r="X140" s="88"/>
      <c r="Y140" s="88"/>
      <c r="Z140" s="88"/>
      <c r="AA140" s="88"/>
      <c r="AB140" s="88"/>
      <c r="AC140" s="88"/>
      <c r="AE140">
        <f t="shared" si="3"/>
        <v>-18</v>
      </c>
      <c r="AI140" s="3">
        <f t="shared" si="6"/>
        <v>54.403837644461959</v>
      </c>
      <c r="AJ140" s="113">
        <f t="shared" si="4"/>
        <v>54.403837644461959</v>
      </c>
      <c r="AK140" s="124">
        <f t="shared" si="7"/>
        <v>0.94246022583209632</v>
      </c>
      <c r="AL140" s="124">
        <f t="shared" si="8"/>
        <v>0</v>
      </c>
      <c r="AM140" s="124">
        <f t="shared" si="9"/>
        <v>6.0606231572568161</v>
      </c>
      <c r="AN140" s="124">
        <f t="shared" si="10"/>
        <v>0.7542108817919595</v>
      </c>
      <c r="AO140" s="124">
        <f t="shared" si="11"/>
        <v>1.6794713348299748</v>
      </c>
      <c r="AP140" s="124">
        <f t="shared" si="12"/>
        <v>0.33905755422033429</v>
      </c>
      <c r="AQ140" s="124">
        <f t="shared" si="13"/>
        <v>0.16935941769247465</v>
      </c>
      <c r="AR140" s="124">
        <f t="shared" si="14"/>
        <v>1.3434381331919276</v>
      </c>
      <c r="AS140" s="124">
        <f t="shared" si="17"/>
        <v>65.692458349277544</v>
      </c>
    </row>
    <row r="141" spans="1:45" ht="14">
      <c r="A141">
        <f t="shared" si="1"/>
        <v>-17</v>
      </c>
      <c r="B141" s="21">
        <v>63</v>
      </c>
      <c r="C141" s="127">
        <f t="shared" si="18"/>
        <v>56.127011067040847</v>
      </c>
      <c r="D141" s="125">
        <f>(($C$39*$C$118*0.72)*D$40)*('Product half-life and C flows'!B42/100)</f>
        <v>0.91035657069793607</v>
      </c>
      <c r="E141" s="26"/>
      <c r="F141" s="54">
        <f t="shared" si="19"/>
        <v>6.0606231572568161</v>
      </c>
      <c r="G141" s="54">
        <f t="shared" si="19"/>
        <v>0.7542108817919595</v>
      </c>
      <c r="H141" s="125">
        <f>(H$118)*('Product half-life and C flows'!L42/100)</f>
        <v>1.6538002005375578</v>
      </c>
      <c r="I141" s="125">
        <f>(($C$39*$C$118*0.28)*H$41)*('Product half-life and C flows'!N42/100)</f>
        <v>0.35190595693368892</v>
      </c>
      <c r="J141" s="125">
        <f>(($C$39*$C$118*0.28)*H$41)*(+'Product half-life and C flows'!P42/100)</f>
        <v>0.17577720126557886</v>
      </c>
      <c r="K141" s="54">
        <f t="shared" si="16"/>
        <v>1.3434381331919276</v>
      </c>
      <c r="L141" s="26"/>
      <c r="M141" s="80"/>
      <c r="N141" s="80"/>
      <c r="O141" s="82"/>
      <c r="P141" s="81"/>
      <c r="Q141" s="81"/>
      <c r="R141" s="81"/>
      <c r="S141" s="81"/>
      <c r="T141" s="81"/>
      <c r="U141" s="3"/>
      <c r="V141" s="88"/>
      <c r="W141" s="88"/>
      <c r="X141" s="88"/>
      <c r="Y141" s="88"/>
      <c r="Z141" s="88"/>
      <c r="AA141" s="88"/>
      <c r="AB141" s="88"/>
      <c r="AC141" s="88"/>
      <c r="AE141">
        <f t="shared" si="3"/>
        <v>-17</v>
      </c>
      <c r="AI141" s="3">
        <f t="shared" si="6"/>
        <v>56.127011067040847</v>
      </c>
      <c r="AJ141" s="113">
        <f t="shared" si="4"/>
        <v>56.127011067040847</v>
      </c>
      <c r="AK141" s="124">
        <f t="shared" si="7"/>
        <v>0.91035657069793607</v>
      </c>
      <c r="AL141" s="124">
        <f t="shared" si="8"/>
        <v>0</v>
      </c>
      <c r="AM141" s="124">
        <f t="shared" si="9"/>
        <v>6.0606231572568161</v>
      </c>
      <c r="AN141" s="124">
        <f t="shared" si="10"/>
        <v>0.7542108817919595</v>
      </c>
      <c r="AO141" s="124">
        <f t="shared" si="11"/>
        <v>1.6538002005375578</v>
      </c>
      <c r="AP141" s="124">
        <f t="shared" si="12"/>
        <v>0.35190595693368892</v>
      </c>
      <c r="AQ141" s="124">
        <f t="shared" si="13"/>
        <v>0.17577720126557886</v>
      </c>
      <c r="AR141" s="124">
        <f t="shared" si="14"/>
        <v>1.3434381331919276</v>
      </c>
      <c r="AS141" s="124">
        <f t="shared" si="17"/>
        <v>67.377123168716309</v>
      </c>
    </row>
    <row r="142" spans="1:45" ht="14">
      <c r="A142">
        <f t="shared" ref="A142:A156" si="20">A143-1</f>
        <v>-16</v>
      </c>
      <c r="B142" s="21">
        <v>64</v>
      </c>
      <c r="C142" s="127">
        <f t="shared" si="18"/>
        <v>57.850184489619735</v>
      </c>
      <c r="D142" s="125">
        <f>(($C$39*$C$118*0.72)*D$40)*('Product half-life and C flows'!B43/100)</f>
        <v>0.87934648391257597</v>
      </c>
      <c r="E142" s="26"/>
      <c r="F142" s="54">
        <f t="shared" si="19"/>
        <v>6.0606231572568161</v>
      </c>
      <c r="G142" s="54">
        <f t="shared" si="19"/>
        <v>0.7542108817919595</v>
      </c>
      <c r="H142" s="125">
        <f>(H$118)*('Product half-life and C flows'!L43/100)</f>
        <v>1.6285214558752539</v>
      </c>
      <c r="I142" s="125">
        <f>(($C$39*$C$118*0.28)*H$41)*('Product half-life and C flows'!N43/100)</f>
        <v>0.3645579686371721</v>
      </c>
      <c r="J142" s="125">
        <f>(($C$39*$C$118*0.28)*H$41)*(+'Product half-life and C flows'!P43/100)</f>
        <v>0.18209688743115485</v>
      </c>
      <c r="K142" s="54">
        <f t="shared" si="16"/>
        <v>1.3434381331919276</v>
      </c>
      <c r="L142" s="26"/>
      <c r="M142" s="80"/>
      <c r="N142" s="80"/>
      <c r="O142" s="82"/>
      <c r="P142" s="81"/>
      <c r="Q142" s="81"/>
      <c r="R142" s="81"/>
      <c r="S142" s="81"/>
      <c r="T142" s="81"/>
      <c r="U142" s="3"/>
      <c r="V142" s="88"/>
      <c r="W142" s="88"/>
      <c r="X142" s="88"/>
      <c r="Y142" s="88"/>
      <c r="Z142" s="88"/>
      <c r="AA142" s="88"/>
      <c r="AB142" s="88"/>
      <c r="AC142" s="88"/>
      <c r="AE142">
        <f t="shared" ref="AE142:AE205" si="21">A142</f>
        <v>-16</v>
      </c>
      <c r="AI142" s="3">
        <f t="shared" si="6"/>
        <v>57.850184489619735</v>
      </c>
      <c r="AJ142" s="113">
        <f t="shared" ref="AJ142:AJ205" si="22">C142</f>
        <v>57.850184489619735</v>
      </c>
      <c r="AK142" s="124">
        <f t="shared" si="7"/>
        <v>0.87934648391257597</v>
      </c>
      <c r="AL142" s="124">
        <f t="shared" si="8"/>
        <v>0</v>
      </c>
      <c r="AM142" s="124">
        <f t="shared" si="9"/>
        <v>6.0606231572568161</v>
      </c>
      <c r="AN142" s="124">
        <f t="shared" si="10"/>
        <v>0.7542108817919595</v>
      </c>
      <c r="AO142" s="124">
        <f t="shared" si="11"/>
        <v>1.6285214558752539</v>
      </c>
      <c r="AP142" s="124">
        <f t="shared" si="12"/>
        <v>0.3645579686371721</v>
      </c>
      <c r="AQ142" s="124">
        <f t="shared" si="13"/>
        <v>0.18209688743115485</v>
      </c>
      <c r="AR142" s="124">
        <f t="shared" si="14"/>
        <v>1.3434381331919276</v>
      </c>
      <c r="AS142" s="124">
        <f t="shared" si="17"/>
        <v>69.062979457716608</v>
      </c>
    </row>
    <row r="143" spans="1:45" ht="14">
      <c r="A143">
        <f t="shared" si="20"/>
        <v>-15</v>
      </c>
      <c r="B143" s="21">
        <v>65</v>
      </c>
      <c r="C143" s="127">
        <f t="shared" si="18"/>
        <v>59.573357912198624</v>
      </c>
      <c r="D143" s="125">
        <f>(($C$39*$C$118*0.72)*D$40)*('Product half-life and C flows'!B44/100)</f>
        <v>0.8493927145234843</v>
      </c>
      <c r="E143" s="26"/>
      <c r="F143" s="54">
        <f t="shared" si="19"/>
        <v>6.0606231572568161</v>
      </c>
      <c r="G143" s="54">
        <f t="shared" si="19"/>
        <v>0.7542108817919595</v>
      </c>
      <c r="H143" s="125">
        <f>(H$118)*('Product half-life and C flows'!L44/100)</f>
        <v>1.6036291030706211</v>
      </c>
      <c r="I143" s="125">
        <f>(($C$39*$C$118*0.28)*H$41)*('Product half-life and C flows'!N44/100)</f>
        <v>0.37701659121589082</v>
      </c>
      <c r="J143" s="125">
        <f>(($C$39*$C$118*0.28)*H$41)*(+'Product half-life and C flows'!P44/100)</f>
        <v>0.18831997563231306</v>
      </c>
      <c r="K143" s="54">
        <f t="shared" si="16"/>
        <v>1.3434381331919276</v>
      </c>
      <c r="L143" s="26"/>
      <c r="M143" s="80"/>
      <c r="N143" s="80"/>
      <c r="O143" s="82"/>
      <c r="P143" s="81"/>
      <c r="Q143" s="81"/>
      <c r="R143" s="81"/>
      <c r="S143" s="81"/>
      <c r="T143" s="81"/>
      <c r="U143" s="3"/>
      <c r="V143" s="88"/>
      <c r="W143" s="88"/>
      <c r="X143" s="88"/>
      <c r="Y143" s="88"/>
      <c r="Z143" s="88"/>
      <c r="AA143" s="88"/>
      <c r="AB143" s="88"/>
      <c r="AC143" s="88"/>
      <c r="AE143">
        <f t="shared" si="21"/>
        <v>-15</v>
      </c>
      <c r="AI143" s="3">
        <f t="shared" ref="AI143:AI157" si="23">AJ143+AF143+AG143+AH143</f>
        <v>59.573357912198624</v>
      </c>
      <c r="AJ143" s="113">
        <f t="shared" si="22"/>
        <v>59.573357912198624</v>
      </c>
      <c r="AK143" s="124">
        <f t="shared" si="7"/>
        <v>0.8493927145234843</v>
      </c>
      <c r="AL143" s="124">
        <f t="shared" si="8"/>
        <v>0</v>
      </c>
      <c r="AM143" s="124">
        <f t="shared" si="9"/>
        <v>6.0606231572568161</v>
      </c>
      <c r="AN143" s="124">
        <f t="shared" si="10"/>
        <v>0.7542108817919595</v>
      </c>
      <c r="AO143" s="124">
        <f t="shared" si="11"/>
        <v>1.6036291030706211</v>
      </c>
      <c r="AP143" s="124">
        <f t="shared" si="12"/>
        <v>0.37701659121589082</v>
      </c>
      <c r="AQ143" s="124">
        <f t="shared" si="13"/>
        <v>0.18831997563231306</v>
      </c>
      <c r="AR143" s="124">
        <f t="shared" si="14"/>
        <v>1.3434381331919276</v>
      </c>
      <c r="AS143" s="124">
        <f t="shared" si="17"/>
        <v>70.749988468881625</v>
      </c>
    </row>
    <row r="144" spans="1:45" ht="14">
      <c r="A144">
        <f t="shared" si="20"/>
        <v>-14</v>
      </c>
      <c r="B144" s="21">
        <v>66</v>
      </c>
      <c r="C144" s="127">
        <f t="shared" si="18"/>
        <v>61.296531334777512</v>
      </c>
      <c r="D144" s="125">
        <f>(($C$39*$C$118*0.72)*D$40)*('Product half-life and C flows'!B45/100)</f>
        <v>0.82045928048232375</v>
      </c>
      <c r="E144" s="26"/>
      <c r="F144" s="54">
        <f t="shared" si="19"/>
        <v>6.0606231572568161</v>
      </c>
      <c r="G144" s="54">
        <f t="shared" si="19"/>
        <v>0.7542108817919595</v>
      </c>
      <c r="H144" s="125">
        <f>(H$118)*('Product half-life and C flows'!L45/100)</f>
        <v>1.5791172360286507</v>
      </c>
      <c r="I144" s="125">
        <f>(($C$39*$C$118*0.28)*H$41)*('Product half-life and C flows'!N45/100)</f>
        <v>0.38928478067039707</v>
      </c>
      <c r="J144" s="125">
        <f>(($C$39*$C$118*0.28)*H$41)*(+'Product half-life and C flows'!P45/100)</f>
        <v>0.19444794239280572</v>
      </c>
      <c r="K144" s="54">
        <f t="shared" si="16"/>
        <v>1.3434381331919276</v>
      </c>
      <c r="L144" s="26"/>
      <c r="M144" s="80"/>
      <c r="N144" s="80"/>
      <c r="O144" s="82"/>
      <c r="P144" s="81"/>
      <c r="Q144" s="81"/>
      <c r="R144" s="81"/>
      <c r="S144" s="81"/>
      <c r="T144" s="81"/>
      <c r="U144" s="3"/>
      <c r="V144" s="88"/>
      <c r="W144" s="88"/>
      <c r="X144" s="88"/>
      <c r="Y144" s="88"/>
      <c r="Z144" s="88"/>
      <c r="AA144" s="88"/>
      <c r="AB144" s="88"/>
      <c r="AC144" s="88"/>
      <c r="AE144">
        <f t="shared" si="21"/>
        <v>-14</v>
      </c>
      <c r="AI144" s="3">
        <f t="shared" si="23"/>
        <v>61.296531334777512</v>
      </c>
      <c r="AJ144" s="113">
        <f t="shared" si="22"/>
        <v>61.296531334777512</v>
      </c>
      <c r="AK144" s="124">
        <f t="shared" si="7"/>
        <v>0.82045928048232375</v>
      </c>
      <c r="AL144" s="124">
        <f t="shared" si="8"/>
        <v>0</v>
      </c>
      <c r="AM144" s="124">
        <f t="shared" si="9"/>
        <v>6.0606231572568161</v>
      </c>
      <c r="AN144" s="124">
        <f t="shared" si="10"/>
        <v>0.7542108817919595</v>
      </c>
      <c r="AO144" s="124">
        <f t="shared" si="11"/>
        <v>1.5791172360286507</v>
      </c>
      <c r="AP144" s="124">
        <f t="shared" si="12"/>
        <v>0.38928478067039707</v>
      </c>
      <c r="AQ144" s="124">
        <f t="shared" si="13"/>
        <v>0.19444794239280572</v>
      </c>
      <c r="AR144" s="124">
        <f t="shared" si="14"/>
        <v>1.3434381331919276</v>
      </c>
      <c r="AS144" s="124">
        <f t="shared" si="17"/>
        <v>72.438112746592381</v>
      </c>
    </row>
    <row r="145" spans="1:45" ht="14">
      <c r="A145">
        <f t="shared" si="20"/>
        <v>-13</v>
      </c>
      <c r="B145" s="21">
        <v>67</v>
      </c>
      <c r="C145" s="127">
        <f t="shared" si="18"/>
        <v>63.019704757356401</v>
      </c>
      <c r="D145" s="125">
        <f>(($C$39*$C$118*0.72)*D$40)*('Product half-life and C flows'!B46/100)</f>
        <v>0.79251142542141606</v>
      </c>
      <c r="E145" s="26"/>
      <c r="F145" s="54">
        <f t="shared" si="19"/>
        <v>6.0606231572568161</v>
      </c>
      <c r="G145" s="54">
        <f t="shared" si="19"/>
        <v>0.7542108817919595</v>
      </c>
      <c r="H145" s="125">
        <f>(H$118)*('Product half-life and C flows'!L46/100)</f>
        <v>1.5549800389304542</v>
      </c>
      <c r="I145" s="125">
        <f>(($C$39*$C$118*0.28)*H$41)*('Product half-life and C flows'!N46/100)</f>
        <v>0.40136544781804434</v>
      </c>
      <c r="J145" s="125">
        <f>(($C$39*$C$118*0.28)*H$41)*(+'Product half-life and C flows'!P46/100)</f>
        <v>0.20048224166735482</v>
      </c>
      <c r="K145" s="54">
        <f t="shared" si="16"/>
        <v>1.3434381331919276</v>
      </c>
      <c r="L145" s="26"/>
      <c r="M145" s="80"/>
      <c r="N145" s="80"/>
      <c r="O145" s="82"/>
      <c r="P145" s="81"/>
      <c r="Q145" s="81"/>
      <c r="R145" s="81"/>
      <c r="S145" s="81"/>
      <c r="T145" s="81"/>
      <c r="U145" s="3"/>
      <c r="V145" s="88"/>
      <c r="W145" s="88"/>
      <c r="X145" s="88"/>
      <c r="Y145" s="88"/>
      <c r="Z145" s="88"/>
      <c r="AA145" s="88"/>
      <c r="AB145" s="88"/>
      <c r="AC145" s="88"/>
      <c r="AE145">
        <f t="shared" si="21"/>
        <v>-13</v>
      </c>
      <c r="AI145" s="3">
        <f t="shared" si="23"/>
        <v>63.019704757356401</v>
      </c>
      <c r="AJ145" s="113">
        <f t="shared" si="22"/>
        <v>63.019704757356401</v>
      </c>
      <c r="AK145" s="124">
        <f t="shared" si="7"/>
        <v>0.79251142542141606</v>
      </c>
      <c r="AL145" s="124">
        <f t="shared" si="8"/>
        <v>0</v>
      </c>
      <c r="AM145" s="124">
        <f t="shared" si="9"/>
        <v>6.0606231572568161</v>
      </c>
      <c r="AN145" s="124">
        <f t="shared" si="10"/>
        <v>0.7542108817919595</v>
      </c>
      <c r="AO145" s="124">
        <f t="shared" si="11"/>
        <v>1.5549800389304542</v>
      </c>
      <c r="AP145" s="124">
        <f t="shared" si="12"/>
        <v>0.40136544781804434</v>
      </c>
      <c r="AQ145" s="124">
        <f t="shared" si="13"/>
        <v>0.20048224166735482</v>
      </c>
      <c r="AR145" s="124">
        <f t="shared" si="14"/>
        <v>1.3434381331919276</v>
      </c>
      <c r="AS145" s="124">
        <f t="shared" si="17"/>
        <v>74.12731608343438</v>
      </c>
    </row>
    <row r="146" spans="1:45" ht="14">
      <c r="A146">
        <f t="shared" si="20"/>
        <v>-12</v>
      </c>
      <c r="B146" s="21">
        <v>68</v>
      </c>
      <c r="C146" s="127">
        <f t="shared" si="18"/>
        <v>64.742878179935289</v>
      </c>
      <c r="D146" s="125">
        <f>(($C$39*$C$118*0.72)*D$40)*('Product half-life and C flows'!B47/100)</f>
        <v>0.76551557690255922</v>
      </c>
      <c r="E146" s="26"/>
      <c r="F146" s="54">
        <f t="shared" si="19"/>
        <v>6.0606231572568161</v>
      </c>
      <c r="G146" s="54">
        <f t="shared" si="19"/>
        <v>0.7542108817919595</v>
      </c>
      <c r="H146" s="125">
        <f>(H$118)*('Product half-life and C flows'!L47/100)</f>
        <v>1.5312117848533746</v>
      </c>
      <c r="I146" s="125">
        <f>(($C$39*$C$118*0.28)*H$41)*('Product half-life and C flows'!N47/100)</f>
        <v>0.41326145898362254</v>
      </c>
      <c r="J146" s="125">
        <f>(($C$39*$C$118*0.28)*H$41)*(+'Product half-life and C flows'!P47/100)</f>
        <v>0.20642430518662463</v>
      </c>
      <c r="K146" s="54">
        <f t="shared" si="16"/>
        <v>1.3434381331919276</v>
      </c>
      <c r="L146" s="26"/>
      <c r="M146" s="80"/>
      <c r="N146" s="80"/>
      <c r="O146" s="82"/>
      <c r="P146" s="81"/>
      <c r="Q146" s="81"/>
      <c r="R146" s="81"/>
      <c r="S146" s="81"/>
      <c r="T146" s="81"/>
      <c r="U146" s="3"/>
      <c r="V146" s="88"/>
      <c r="W146" s="88"/>
      <c r="X146" s="88"/>
      <c r="Y146" s="88"/>
      <c r="Z146" s="88"/>
      <c r="AA146" s="88"/>
      <c r="AB146" s="88"/>
      <c r="AC146" s="88"/>
      <c r="AE146">
        <f t="shared" si="21"/>
        <v>-12</v>
      </c>
      <c r="AI146" s="3">
        <f t="shared" si="23"/>
        <v>64.742878179935289</v>
      </c>
      <c r="AJ146" s="113">
        <f t="shared" si="22"/>
        <v>64.742878179935289</v>
      </c>
      <c r="AK146" s="124">
        <f t="shared" si="7"/>
        <v>0.76551557690255922</v>
      </c>
      <c r="AL146" s="124">
        <f t="shared" si="8"/>
        <v>0</v>
      </c>
      <c r="AM146" s="124">
        <f t="shared" si="9"/>
        <v>6.0606231572568161</v>
      </c>
      <c r="AN146" s="124">
        <f t="shared" si="10"/>
        <v>0.7542108817919595</v>
      </c>
      <c r="AO146" s="124">
        <f t="shared" si="11"/>
        <v>1.5312117848533746</v>
      </c>
      <c r="AP146" s="124">
        <f t="shared" si="12"/>
        <v>0.41326145898362254</v>
      </c>
      <c r="AQ146" s="124">
        <f t="shared" si="13"/>
        <v>0.20642430518662463</v>
      </c>
      <c r="AR146" s="124">
        <f t="shared" si="14"/>
        <v>1.3434381331919276</v>
      </c>
      <c r="AS146" s="124">
        <f t="shared" si="17"/>
        <v>75.817563478102173</v>
      </c>
    </row>
    <row r="147" spans="1:45" ht="14">
      <c r="A147">
        <f t="shared" si="20"/>
        <v>-11</v>
      </c>
      <c r="B147" s="21">
        <v>69</v>
      </c>
      <c r="C147" s="127">
        <f t="shared" si="18"/>
        <v>66.466051602514185</v>
      </c>
      <c r="D147" s="125">
        <f>(($C$39*$C$118*0.72)*D$40)*('Product half-life and C flows'!B48/100)</f>
        <v>0.73943930608804354</v>
      </c>
      <c r="E147" s="26"/>
      <c r="F147" s="54">
        <f t="shared" si="19"/>
        <v>6.0606231572568161</v>
      </c>
      <c r="G147" s="54">
        <f t="shared" si="19"/>
        <v>0.7542108817919595</v>
      </c>
      <c r="H147" s="125">
        <f>(H$118)*('Product half-life and C flows'!L48/100)</f>
        <v>1.5078068344121802</v>
      </c>
      <c r="I147" s="125">
        <f>(($C$39*$C$118*0.28)*H$41)*('Product half-life and C flows'!N48/100)</f>
        <v>0.42497563667944049</v>
      </c>
      <c r="J147" s="125">
        <f>(($C$39*$C$118*0.28)*H$41)*(+'Product half-life and C flows'!P48/100)</f>
        <v>0.21227554279692329</v>
      </c>
      <c r="K147" s="54">
        <f t="shared" si="16"/>
        <v>1.3434381331919276</v>
      </c>
      <c r="L147" s="26"/>
      <c r="M147" s="80"/>
      <c r="N147" s="80"/>
      <c r="O147" s="82"/>
      <c r="P147" s="81"/>
      <c r="Q147" s="81"/>
      <c r="R147" s="81"/>
      <c r="S147" s="81"/>
      <c r="T147" s="81"/>
      <c r="U147" s="3"/>
      <c r="V147" s="88"/>
      <c r="W147" s="88"/>
      <c r="X147" s="88"/>
      <c r="Y147" s="88"/>
      <c r="Z147" s="88"/>
      <c r="AA147" s="88"/>
      <c r="AB147" s="88"/>
      <c r="AC147" s="88"/>
      <c r="AE147">
        <f t="shared" si="21"/>
        <v>-11</v>
      </c>
      <c r="AI147" s="3">
        <f t="shared" si="23"/>
        <v>66.466051602514185</v>
      </c>
      <c r="AJ147" s="113">
        <f t="shared" si="22"/>
        <v>66.466051602514185</v>
      </c>
      <c r="AK147" s="124">
        <f t="shared" si="7"/>
        <v>0.73943930608804354</v>
      </c>
      <c r="AL147" s="124">
        <f t="shared" si="8"/>
        <v>0</v>
      </c>
      <c r="AM147" s="124">
        <f t="shared" si="9"/>
        <v>6.0606231572568161</v>
      </c>
      <c r="AN147" s="124">
        <f t="shared" si="10"/>
        <v>0.7542108817919595</v>
      </c>
      <c r="AO147" s="124">
        <f t="shared" si="11"/>
        <v>1.5078068344121802</v>
      </c>
      <c r="AP147" s="124">
        <f t="shared" si="12"/>
        <v>0.42497563667944049</v>
      </c>
      <c r="AQ147" s="124">
        <f t="shared" si="13"/>
        <v>0.21227554279692329</v>
      </c>
      <c r="AR147" s="124">
        <f t="shared" si="14"/>
        <v>1.3434381331919276</v>
      </c>
      <c r="AS147" s="124">
        <f t="shared" si="17"/>
        <v>77.508821094731459</v>
      </c>
    </row>
    <row r="148" spans="1:45" ht="14">
      <c r="A148">
        <f t="shared" si="20"/>
        <v>-10</v>
      </c>
      <c r="B148" s="21">
        <v>70</v>
      </c>
      <c r="C148" s="127">
        <f t="shared" si="18"/>
        <v>68.18922502509308</v>
      </c>
      <c r="D148" s="125">
        <f>(($C$39*$C$118*0.72)*D$40)*('Product half-life and C flows'!B49/100)</f>
        <v>0.71425128878541977</v>
      </c>
      <c r="E148" s="26"/>
      <c r="F148" s="54">
        <f t="shared" si="19"/>
        <v>6.0606231572568161</v>
      </c>
      <c r="G148" s="54">
        <f t="shared" si="19"/>
        <v>0.7542108817919595</v>
      </c>
      <c r="H148" s="125">
        <f>(H$118)*('Product half-life and C flows'!L49/100)</f>
        <v>1.484759634421037</v>
      </c>
      <c r="I148" s="125">
        <f>(($C$39*$C$118*0.28)*H$41)*('Product half-life and C flows'!N49/100)</f>
        <v>0.43651076027500768</v>
      </c>
      <c r="J148" s="125">
        <f>(($C$39*$C$118*0.28)*H$41)*(+'Product half-life and C flows'!P49/100)</f>
        <v>0.2180373427947091</v>
      </c>
      <c r="K148" s="54">
        <f t="shared" si="16"/>
        <v>1.3434381331919276</v>
      </c>
      <c r="L148" s="26"/>
      <c r="M148" s="80"/>
      <c r="N148" s="80"/>
      <c r="O148" s="82"/>
      <c r="P148" s="81"/>
      <c r="Q148" s="81"/>
      <c r="R148" s="81"/>
      <c r="S148" s="81"/>
      <c r="T148" s="81"/>
      <c r="U148" s="3"/>
      <c r="V148" s="88"/>
      <c r="W148" s="88"/>
      <c r="X148" s="88"/>
      <c r="Y148" s="88"/>
      <c r="Z148" s="88"/>
      <c r="AA148" s="88"/>
      <c r="AB148" s="88"/>
      <c r="AC148" s="88"/>
      <c r="AE148">
        <f t="shared" si="21"/>
        <v>-10</v>
      </c>
      <c r="AI148" s="3">
        <f t="shared" si="23"/>
        <v>68.18922502509308</v>
      </c>
      <c r="AJ148" s="113">
        <f t="shared" si="22"/>
        <v>68.18922502509308</v>
      </c>
      <c r="AK148" s="124">
        <f t="shared" si="7"/>
        <v>0.71425128878541977</v>
      </c>
      <c r="AL148" s="124">
        <f t="shared" si="8"/>
        <v>0</v>
      </c>
      <c r="AM148" s="124">
        <f t="shared" si="9"/>
        <v>6.0606231572568161</v>
      </c>
      <c r="AN148" s="124">
        <f t="shared" si="10"/>
        <v>0.7542108817919595</v>
      </c>
      <c r="AO148" s="124">
        <f t="shared" si="11"/>
        <v>1.484759634421037</v>
      </c>
      <c r="AP148" s="124">
        <f t="shared" si="12"/>
        <v>0.43651076027500768</v>
      </c>
      <c r="AQ148" s="124">
        <f t="shared" si="13"/>
        <v>0.2180373427947091</v>
      </c>
      <c r="AR148" s="124">
        <f t="shared" si="14"/>
        <v>1.3434381331919276</v>
      </c>
      <c r="AS148" s="124">
        <f t="shared" si="17"/>
        <v>79.201056223609967</v>
      </c>
    </row>
    <row r="149" spans="1:45" ht="14">
      <c r="A149">
        <f t="shared" si="20"/>
        <v>-9</v>
      </c>
      <c r="B149" s="21">
        <v>71</v>
      </c>
      <c r="C149" s="127">
        <f t="shared" si="18"/>
        <v>69.912398447671976</v>
      </c>
      <c r="D149" s="125">
        <f>(($C$39*$C$118*0.72)*D$40)*('Product half-life and C flows'!B50/100)</f>
        <v>0.68992126781922813</v>
      </c>
      <c r="E149" s="26"/>
      <c r="F149" s="54">
        <f t="shared" si="19"/>
        <v>6.0606231572568161</v>
      </c>
      <c r="G149" s="54">
        <f t="shared" si="19"/>
        <v>0.7542108817919595</v>
      </c>
      <c r="H149" s="125">
        <f>(H$118)*('Product half-life and C flows'!L50/100)</f>
        <v>1.462064716575928</v>
      </c>
      <c r="I149" s="125">
        <f>(($C$39*$C$118*0.28)*H$41)*('Product half-life and C flows'!N50/100)</f>
        <v>0.44786956665648481</v>
      </c>
      <c r="J149" s="125">
        <f>(($C$39*$C$118*0.28)*H$41)*(+'Product half-life and C flows'!P50/100)</f>
        <v>0.22371107225598635</v>
      </c>
      <c r="K149" s="54">
        <f t="shared" si="16"/>
        <v>1.3434381331919276</v>
      </c>
      <c r="L149" s="26"/>
      <c r="M149" s="80"/>
      <c r="N149" s="80"/>
      <c r="O149" s="82"/>
      <c r="P149" s="81"/>
      <c r="Q149" s="81"/>
      <c r="R149" s="81"/>
      <c r="S149" s="81"/>
      <c r="T149" s="81"/>
      <c r="U149" s="3"/>
      <c r="V149" s="88"/>
      <c r="W149" s="88"/>
      <c r="X149" s="88"/>
      <c r="Y149" s="88"/>
      <c r="Z149" s="88"/>
      <c r="AA149" s="88"/>
      <c r="AB149" s="88"/>
      <c r="AC149" s="88"/>
      <c r="AE149">
        <f t="shared" si="21"/>
        <v>-9</v>
      </c>
      <c r="AI149" s="3">
        <f t="shared" si="23"/>
        <v>69.912398447671976</v>
      </c>
      <c r="AJ149" s="113">
        <f t="shared" si="22"/>
        <v>69.912398447671976</v>
      </c>
      <c r="AK149" s="124">
        <f t="shared" si="7"/>
        <v>0.68992126781922813</v>
      </c>
      <c r="AL149" s="124">
        <f t="shared" si="8"/>
        <v>0</v>
      </c>
      <c r="AM149" s="124">
        <f t="shared" si="9"/>
        <v>6.0606231572568161</v>
      </c>
      <c r="AN149" s="124">
        <f t="shared" si="10"/>
        <v>0.7542108817919595</v>
      </c>
      <c r="AO149" s="124">
        <f t="shared" si="11"/>
        <v>1.462064716575928</v>
      </c>
      <c r="AP149" s="124">
        <f t="shared" si="12"/>
        <v>0.44786956665648481</v>
      </c>
      <c r="AQ149" s="124">
        <f t="shared" si="13"/>
        <v>0.22371107225598635</v>
      </c>
      <c r="AR149" s="124">
        <f t="shared" si="14"/>
        <v>1.3434381331919276</v>
      </c>
      <c r="AS149" s="124">
        <f t="shared" si="17"/>
        <v>80.894237243220289</v>
      </c>
    </row>
    <row r="150" spans="1:45" ht="14">
      <c r="A150">
        <f t="shared" si="20"/>
        <v>-8</v>
      </c>
      <c r="B150" s="21">
        <v>72</v>
      </c>
      <c r="C150" s="127">
        <f t="shared" si="18"/>
        <v>71.635571870250871</v>
      </c>
      <c r="D150" s="125">
        <f>(($C$39*$C$118*0.72)*D$40)*('Product half-life and C flows'!B51/100)</f>
        <v>0.66642001668448037</v>
      </c>
      <c r="E150" s="26"/>
      <c r="F150" s="54">
        <f t="shared" si="19"/>
        <v>6.0606231572568161</v>
      </c>
      <c r="G150" s="54">
        <f t="shared" si="19"/>
        <v>0.7542108817919595</v>
      </c>
      <c r="H150" s="125">
        <f>(H$118)*('Product half-life and C flows'!L51/100)</f>
        <v>1.4397166961572141</v>
      </c>
      <c r="I150" s="125">
        <f>(($C$39*$C$118*0.28)*H$41)*('Product half-life and C flows'!N51/100)</f>
        <v>0.45905475087605102</v>
      </c>
      <c r="J150" s="125">
        <f>(($C$39*$C$118*0.28)*H$41)*(+'Product half-life and C flows'!P51/100)</f>
        <v>0.22929807736066479</v>
      </c>
      <c r="K150" s="54">
        <f t="shared" si="16"/>
        <v>1.3434381331919276</v>
      </c>
      <c r="L150" s="26"/>
      <c r="M150" s="80"/>
      <c r="N150" s="80"/>
      <c r="O150" s="82"/>
      <c r="P150" s="81"/>
      <c r="Q150" s="81"/>
      <c r="R150" s="81"/>
      <c r="S150" s="81"/>
      <c r="T150" s="81"/>
      <c r="U150" s="3"/>
      <c r="V150" s="88"/>
      <c r="W150" s="88"/>
      <c r="X150" s="88"/>
      <c r="Y150" s="88"/>
      <c r="Z150" s="88"/>
      <c r="AA150" s="88"/>
      <c r="AB150" s="88"/>
      <c r="AC150" s="88"/>
      <c r="AE150">
        <f t="shared" si="21"/>
        <v>-8</v>
      </c>
      <c r="AI150" s="3">
        <f t="shared" si="23"/>
        <v>71.635571870250871</v>
      </c>
      <c r="AJ150" s="113">
        <f t="shared" si="22"/>
        <v>71.635571870250871</v>
      </c>
      <c r="AK150" s="124">
        <f t="shared" ref="AK150:AK181" si="24">D150+M150+V150</f>
        <v>0.66642001668448037</v>
      </c>
      <c r="AL150" s="124">
        <f t="shared" ref="AL150:AL181" si="25">E150+N150+W150</f>
        <v>0</v>
      </c>
      <c r="AM150" s="124">
        <f t="shared" ref="AM150:AM181" si="26">F150+O150+X150</f>
        <v>6.0606231572568161</v>
      </c>
      <c r="AN150" s="124">
        <f t="shared" ref="AN150:AN181" si="27">G150+P150+Y150</f>
        <v>0.7542108817919595</v>
      </c>
      <c r="AO150" s="124">
        <f t="shared" ref="AO150:AO181" si="28">H150+Q150+Z150</f>
        <v>1.4397166961572141</v>
      </c>
      <c r="AP150" s="124">
        <f t="shared" ref="AP150:AP181" si="29">I150+R150+AA150</f>
        <v>0.45905475087605102</v>
      </c>
      <c r="AQ150" s="124">
        <f t="shared" ref="AQ150:AQ181" si="30">J150+S150+AB150</f>
        <v>0.22929807736066479</v>
      </c>
      <c r="AR150" s="124">
        <f t="shared" ref="AR150:AR181" si="31">K150+T150+AC150</f>
        <v>1.3434381331919276</v>
      </c>
      <c r="AS150" s="124">
        <f t="shared" si="17"/>
        <v>82.588333583569991</v>
      </c>
    </row>
    <row r="151" spans="1:45" ht="14">
      <c r="A151">
        <f t="shared" si="20"/>
        <v>-7</v>
      </c>
      <c r="B151" s="21">
        <v>73</v>
      </c>
      <c r="C151" s="127">
        <f t="shared" si="18"/>
        <v>73.358745292829767</v>
      </c>
      <c r="D151" s="125">
        <f>(($C$39*$C$118*0.72)*D$40)*('Product half-life and C flows'!B52/100)</f>
        <v>0.64371930443824121</v>
      </c>
      <c r="E151" s="26"/>
      <c r="F151" s="54">
        <f t="shared" si="19"/>
        <v>6.0606231572568161</v>
      </c>
      <c r="G151" s="54">
        <f t="shared" si="19"/>
        <v>0.7542108817919595</v>
      </c>
      <c r="H151" s="125">
        <f>(H$118)*('Product half-life and C flows'!L52/100)</f>
        <v>1.4177102707520266</v>
      </c>
      <c r="I151" s="125">
        <f>(($C$39*$C$118*0.28)*H$41)*('Product half-life and C flows'!N52/100)</f>
        <v>0.4700689667913473</v>
      </c>
      <c r="J151" s="125">
        <f>(($C$39*$C$118*0.28)*H$41)*(+'Product half-life and C flows'!P52/100)</f>
        <v>0.23479968371196169</v>
      </c>
      <c r="K151" s="54">
        <f t="shared" si="16"/>
        <v>1.3434381331919276</v>
      </c>
      <c r="L151" s="26"/>
      <c r="M151" s="80"/>
      <c r="N151" s="80"/>
      <c r="O151" s="82"/>
      <c r="P151" s="81"/>
      <c r="Q151" s="81"/>
      <c r="R151" s="81"/>
      <c r="S151" s="81"/>
      <c r="T151" s="81"/>
      <c r="U151" s="3"/>
      <c r="V151" s="88"/>
      <c r="W151" s="88"/>
      <c r="X151" s="88"/>
      <c r="Y151" s="88"/>
      <c r="Z151" s="88"/>
      <c r="AA151" s="88"/>
      <c r="AB151" s="88"/>
      <c r="AC151" s="88"/>
      <c r="AE151">
        <f t="shared" si="21"/>
        <v>-7</v>
      </c>
      <c r="AI151" s="3">
        <f t="shared" si="23"/>
        <v>73.358745292829767</v>
      </c>
      <c r="AJ151" s="113">
        <f t="shared" si="22"/>
        <v>73.358745292829767</v>
      </c>
      <c r="AK151" s="124">
        <f t="shared" si="24"/>
        <v>0.64371930443824121</v>
      </c>
      <c r="AL151" s="124">
        <f t="shared" si="25"/>
        <v>0</v>
      </c>
      <c r="AM151" s="124">
        <f t="shared" si="26"/>
        <v>6.0606231572568161</v>
      </c>
      <c r="AN151" s="124">
        <f t="shared" si="27"/>
        <v>0.7542108817919595</v>
      </c>
      <c r="AO151" s="124">
        <f t="shared" si="28"/>
        <v>1.4177102707520266</v>
      </c>
      <c r="AP151" s="124">
        <f t="shared" si="29"/>
        <v>0.4700689667913473</v>
      </c>
      <c r="AQ151" s="124">
        <f t="shared" si="30"/>
        <v>0.23479968371196169</v>
      </c>
      <c r="AR151" s="124">
        <f t="shared" si="31"/>
        <v>1.3434381331919276</v>
      </c>
      <c r="AS151" s="124">
        <f t="shared" si="17"/>
        <v>84.283315690764027</v>
      </c>
    </row>
    <row r="152" spans="1:45" ht="14">
      <c r="A152">
        <f t="shared" si="20"/>
        <v>-6</v>
      </c>
      <c r="B152" s="21">
        <v>74</v>
      </c>
      <c r="C152" s="127">
        <f t="shared" si="18"/>
        <v>75.081918715408662</v>
      </c>
      <c r="D152" s="125">
        <f>(($C$39*$C$118*0.72)*D$40)*('Product half-life and C flows'!B53/100)</f>
        <v>0.62179186178712975</v>
      </c>
      <c r="E152" s="26"/>
      <c r="F152" s="54">
        <f t="shared" ref="F152:G167" si="32">F151</f>
        <v>6.0606231572568161</v>
      </c>
      <c r="G152" s="54">
        <f t="shared" si="32"/>
        <v>0.7542108817919595</v>
      </c>
      <c r="H152" s="125">
        <f>(H$118)*('Product half-life and C flows'!L53/100)</f>
        <v>1.3960402189961876</v>
      </c>
      <c r="I152" s="125">
        <f>(($C$39*$C$118*0.28)*H$41)*('Product half-life and C flows'!N53/100)</f>
        <v>0.48091482769514482</v>
      </c>
      <c r="J152" s="125">
        <f>(($C$39*$C$118*0.28)*H$41)*(+'Product half-life and C flows'!P53/100)</f>
        <v>0.24021719665092145</v>
      </c>
      <c r="K152" s="54">
        <f t="shared" si="16"/>
        <v>1.3434381331919276</v>
      </c>
      <c r="L152" s="26"/>
      <c r="M152" s="80"/>
      <c r="N152" s="80"/>
      <c r="O152" s="82"/>
      <c r="P152" s="81"/>
      <c r="Q152" s="81"/>
      <c r="R152" s="81"/>
      <c r="S152" s="81"/>
      <c r="T152" s="81"/>
      <c r="U152" s="3"/>
      <c r="V152" s="88"/>
      <c r="W152" s="88"/>
      <c r="X152" s="88"/>
      <c r="Y152" s="88"/>
      <c r="Z152" s="88"/>
      <c r="AA152" s="88"/>
      <c r="AB152" s="88"/>
      <c r="AC152" s="88"/>
      <c r="AE152">
        <f t="shared" si="21"/>
        <v>-6</v>
      </c>
      <c r="AI152" s="3">
        <f t="shared" si="23"/>
        <v>75.081918715408662</v>
      </c>
      <c r="AJ152" s="113">
        <f t="shared" si="22"/>
        <v>75.081918715408662</v>
      </c>
      <c r="AK152" s="124">
        <f t="shared" si="24"/>
        <v>0.62179186178712975</v>
      </c>
      <c r="AL152" s="124">
        <f t="shared" si="25"/>
        <v>0</v>
      </c>
      <c r="AM152" s="124">
        <f t="shared" si="26"/>
        <v>6.0606231572568161</v>
      </c>
      <c r="AN152" s="124">
        <f t="shared" si="27"/>
        <v>0.7542108817919595</v>
      </c>
      <c r="AO152" s="124">
        <f t="shared" si="28"/>
        <v>1.3960402189961876</v>
      </c>
      <c r="AP152" s="124">
        <f t="shared" si="29"/>
        <v>0.48091482769514482</v>
      </c>
      <c r="AQ152" s="124">
        <f t="shared" si="30"/>
        <v>0.24021719665092145</v>
      </c>
      <c r="AR152" s="124">
        <f t="shared" si="31"/>
        <v>1.3434381331919276</v>
      </c>
      <c r="AS152" s="124">
        <f t="shared" si="17"/>
        <v>85.979154992778746</v>
      </c>
    </row>
    <row r="153" spans="1:45" ht="14">
      <c r="A153">
        <f t="shared" si="20"/>
        <v>-5</v>
      </c>
      <c r="B153" s="21">
        <v>75</v>
      </c>
      <c r="C153" s="127">
        <f t="shared" si="18"/>
        <v>76.805092137987558</v>
      </c>
      <c r="D153" s="125">
        <f>(($C$39*$C$118*0.72)*D$40)*('Product half-life and C flows'!B54/100)</f>
        <v>0.60061134833000518</v>
      </c>
      <c r="E153" s="26"/>
      <c r="F153" s="54">
        <f t="shared" si="32"/>
        <v>6.0606231572568161</v>
      </c>
      <c r="G153" s="54">
        <f t="shared" si="32"/>
        <v>0.7542108817919595</v>
      </c>
      <c r="H153" s="125">
        <f>(H$118)*('Product half-life and C flows'!L54/100)</f>
        <v>1.3747013993353601</v>
      </c>
      <c r="I153" s="125">
        <f>(($C$39*$C$118*0.28)*H$41)*('Product half-life and C flows'!N54/100)</f>
        <v>0.49159490693538893</v>
      </c>
      <c r="J153" s="125">
        <f>(($C$39*$C$118*0.28)*H$41)*(+'Product half-life and C flows'!P54/100)</f>
        <v>0.24555190156612833</v>
      </c>
      <c r="K153" s="54">
        <f t="shared" si="16"/>
        <v>1.3434381331919276</v>
      </c>
      <c r="L153" s="26"/>
      <c r="M153" s="80"/>
      <c r="N153" s="80"/>
      <c r="O153" s="82"/>
      <c r="P153" s="81"/>
      <c r="Q153" s="81"/>
      <c r="R153" s="81"/>
      <c r="S153" s="81"/>
      <c r="T153" s="81"/>
      <c r="U153" s="3"/>
      <c r="V153" s="88"/>
      <c r="W153" s="88"/>
      <c r="X153" s="88"/>
      <c r="Y153" s="88"/>
      <c r="Z153" s="88"/>
      <c r="AA153" s="88"/>
      <c r="AB153" s="88"/>
      <c r="AC153" s="88"/>
      <c r="AE153">
        <f t="shared" si="21"/>
        <v>-5</v>
      </c>
      <c r="AI153" s="3">
        <f t="shared" si="23"/>
        <v>76.805092137987558</v>
      </c>
      <c r="AJ153" s="113">
        <f t="shared" si="22"/>
        <v>76.805092137987558</v>
      </c>
      <c r="AK153" s="124">
        <f t="shared" si="24"/>
        <v>0.60061134833000518</v>
      </c>
      <c r="AL153" s="124">
        <f t="shared" si="25"/>
        <v>0</v>
      </c>
      <c r="AM153" s="124">
        <f t="shared" si="26"/>
        <v>6.0606231572568161</v>
      </c>
      <c r="AN153" s="124">
        <f t="shared" si="27"/>
        <v>0.7542108817919595</v>
      </c>
      <c r="AO153" s="124">
        <f t="shared" si="28"/>
        <v>1.3747013993353601</v>
      </c>
      <c r="AP153" s="124">
        <f t="shared" si="29"/>
        <v>0.49159490693538893</v>
      </c>
      <c r="AQ153" s="124">
        <f t="shared" si="30"/>
        <v>0.24555190156612833</v>
      </c>
      <c r="AR153" s="124">
        <f t="shared" si="31"/>
        <v>1.3434381331919276</v>
      </c>
      <c r="AS153" s="124">
        <f t="shared" si="17"/>
        <v>87.675823866395149</v>
      </c>
    </row>
    <row r="154" spans="1:45" ht="14">
      <c r="A154">
        <f t="shared" si="20"/>
        <v>-4</v>
      </c>
      <c r="B154" s="21">
        <v>76</v>
      </c>
      <c r="C154" s="127">
        <f t="shared" si="18"/>
        <v>78.528265560566453</v>
      </c>
      <c r="D154" s="125">
        <f>(($C$39*$C$118*0.72)*D$40)*('Product half-life and C flows'!B55/100)</f>
        <v>0.58015232091648683</v>
      </c>
      <c r="E154" s="26"/>
      <c r="F154" s="54">
        <f t="shared" si="32"/>
        <v>6.0606231572568161</v>
      </c>
      <c r="G154" s="54">
        <f t="shared" si="32"/>
        <v>0.7542108817919595</v>
      </c>
      <c r="H154" s="125">
        <f>(H$118)*('Product half-life and C flows'!L55/100)</f>
        <v>1.3536887488051361</v>
      </c>
      <c r="I154" s="125">
        <f>(($C$39*$C$118*0.28)*H$41)*('Product half-life and C flows'!N55/100)</f>
        <v>0.50211173852576607</v>
      </c>
      <c r="J154" s="125">
        <f>(($C$39*$C$118*0.28)*H$41)*(+'Product half-life and C flows'!P55/100)</f>
        <v>0.25080506419868431</v>
      </c>
      <c r="K154" s="54">
        <f t="shared" si="16"/>
        <v>1.3434381331919276</v>
      </c>
      <c r="L154" s="26"/>
      <c r="M154" s="80"/>
      <c r="N154" s="80"/>
      <c r="O154" s="82"/>
      <c r="P154" s="81"/>
      <c r="Q154" s="81"/>
      <c r="R154" s="81"/>
      <c r="S154" s="81"/>
      <c r="T154" s="81"/>
      <c r="U154" s="3"/>
      <c r="V154" s="88"/>
      <c r="W154" s="88"/>
      <c r="X154" s="88"/>
      <c r="Y154" s="88"/>
      <c r="Z154" s="88"/>
      <c r="AA154" s="88"/>
      <c r="AB154" s="88"/>
      <c r="AC154" s="88"/>
      <c r="AE154">
        <f t="shared" si="21"/>
        <v>-4</v>
      </c>
      <c r="AI154" s="3">
        <f t="shared" si="23"/>
        <v>78.528265560566453</v>
      </c>
      <c r="AJ154" s="113">
        <f t="shared" si="22"/>
        <v>78.528265560566453</v>
      </c>
      <c r="AK154" s="124">
        <f t="shared" si="24"/>
        <v>0.58015232091648683</v>
      </c>
      <c r="AL154" s="124">
        <f t="shared" si="25"/>
        <v>0</v>
      </c>
      <c r="AM154" s="124">
        <f t="shared" si="26"/>
        <v>6.0606231572568161</v>
      </c>
      <c r="AN154" s="124">
        <f t="shared" si="27"/>
        <v>0.7542108817919595</v>
      </c>
      <c r="AO154" s="124">
        <f t="shared" si="28"/>
        <v>1.3536887488051361</v>
      </c>
      <c r="AP154" s="124">
        <f t="shared" si="29"/>
        <v>0.50211173852576607</v>
      </c>
      <c r="AQ154" s="124">
        <f t="shared" si="30"/>
        <v>0.25080506419868431</v>
      </c>
      <c r="AR154" s="124">
        <f t="shared" si="31"/>
        <v>1.3434381331919276</v>
      </c>
      <c r="AS154" s="124">
        <f t="shared" si="17"/>
        <v>89.373295605253233</v>
      </c>
    </row>
    <row r="155" spans="1:45" ht="14">
      <c r="A155">
        <f t="shared" si="20"/>
        <v>-3</v>
      </c>
      <c r="B155" s="21">
        <v>77</v>
      </c>
      <c r="C155" s="127">
        <f t="shared" si="18"/>
        <v>80.251438983145349</v>
      </c>
      <c r="D155" s="125">
        <f>(($C$39*$C$118*0.72)*D$40)*('Product half-life and C flows'!B56/100)</f>
        <v>0.56039020308330012</v>
      </c>
      <c r="E155" s="26"/>
      <c r="F155" s="54">
        <f t="shared" si="32"/>
        <v>6.0606231572568161</v>
      </c>
      <c r="G155" s="54">
        <f t="shared" si="32"/>
        <v>0.7542108817919595</v>
      </c>
      <c r="H155" s="125">
        <f>(H$118)*('Product half-life and C flows'!L56/100)</f>
        <v>1.3329972818297691</v>
      </c>
      <c r="I155" s="125">
        <f>(($C$39*$C$118*0.28)*H$41)*('Product half-life and C flows'!N56/100)</f>
        <v>0.51246781774693739</v>
      </c>
      <c r="J155" s="125">
        <f>(($C$39*$C$118*0.28)*H$41)*(+'Product half-life and C flows'!P56/100)</f>
        <v>0.25597793094252608</v>
      </c>
      <c r="K155" s="54">
        <f t="shared" si="16"/>
        <v>1.3434381331919276</v>
      </c>
      <c r="L155" s="26"/>
      <c r="M155" s="80"/>
      <c r="N155" s="80"/>
      <c r="O155" s="82"/>
      <c r="P155" s="81"/>
      <c r="Q155" s="81"/>
      <c r="R155" s="81"/>
      <c r="S155" s="81"/>
      <c r="T155" s="81"/>
      <c r="U155" s="3"/>
      <c r="V155" s="88"/>
      <c r="W155" s="88"/>
      <c r="X155" s="88"/>
      <c r="Y155" s="88"/>
      <c r="Z155" s="88"/>
      <c r="AA155" s="88"/>
      <c r="AB155" s="88"/>
      <c r="AC155" s="88"/>
      <c r="AE155">
        <f t="shared" si="21"/>
        <v>-3</v>
      </c>
      <c r="AI155" s="3">
        <f t="shared" si="23"/>
        <v>80.251438983145349</v>
      </c>
      <c r="AJ155" s="113">
        <f t="shared" si="22"/>
        <v>80.251438983145349</v>
      </c>
      <c r="AK155" s="124">
        <f t="shared" si="24"/>
        <v>0.56039020308330012</v>
      </c>
      <c r="AL155" s="124">
        <f t="shared" si="25"/>
        <v>0</v>
      </c>
      <c r="AM155" s="124">
        <f t="shared" si="26"/>
        <v>6.0606231572568161</v>
      </c>
      <c r="AN155" s="124">
        <f t="shared" si="27"/>
        <v>0.7542108817919595</v>
      </c>
      <c r="AO155" s="124">
        <f t="shared" si="28"/>
        <v>1.3329972818297691</v>
      </c>
      <c r="AP155" s="124">
        <f t="shared" si="29"/>
        <v>0.51246781774693739</v>
      </c>
      <c r="AQ155" s="124">
        <f t="shared" si="30"/>
        <v>0.25597793094252608</v>
      </c>
      <c r="AR155" s="124">
        <f t="shared" si="31"/>
        <v>1.3434381331919276</v>
      </c>
      <c r="AS155" s="124">
        <f t="shared" si="17"/>
        <v>91.071544388988585</v>
      </c>
    </row>
    <row r="156" spans="1:45" ht="14">
      <c r="A156">
        <f t="shared" si="20"/>
        <v>-2</v>
      </c>
      <c r="B156" s="21">
        <v>78</v>
      </c>
      <c r="C156" s="127">
        <f t="shared" si="18"/>
        <v>81.974612405724244</v>
      </c>
      <c r="D156" s="125">
        <f>(($C$39*$C$118*0.72)*D$40)*('Product half-life and C flows'!B57/100)</f>
        <v>0.54130125553173158</v>
      </c>
      <c r="E156" s="26"/>
      <c r="F156" s="54">
        <f t="shared" si="32"/>
        <v>6.0606231572568161</v>
      </c>
      <c r="G156" s="54">
        <f t="shared" si="32"/>
        <v>0.7542108817919595</v>
      </c>
      <c r="H156" s="125">
        <f>(H$118)*('Product half-life and C flows'!L57/100)</f>
        <v>1.3126220890392692</v>
      </c>
      <c r="I156" s="125">
        <f>(($C$39*$C$118*0.28)*H$41)*('Product half-life and C flows'!N57/100)</f>
        <v>0.52266560173858245</v>
      </c>
      <c r="J156" s="125">
        <f>(($C$39*$C$118*0.28)*H$41)*(+'Product half-life and C flows'!P57/100)</f>
        <v>0.26107172914015103</v>
      </c>
      <c r="K156" s="54">
        <f t="shared" si="16"/>
        <v>1.3434381331919276</v>
      </c>
      <c r="L156" s="26"/>
      <c r="M156" s="80"/>
      <c r="N156" s="80"/>
      <c r="O156" s="82"/>
      <c r="P156" s="81"/>
      <c r="Q156" s="81"/>
      <c r="R156" s="81"/>
      <c r="S156" s="81"/>
      <c r="T156" s="81"/>
      <c r="U156" s="3"/>
      <c r="V156" s="88"/>
      <c r="W156" s="88"/>
      <c r="X156" s="88"/>
      <c r="Y156" s="88"/>
      <c r="Z156" s="88"/>
      <c r="AA156" s="88"/>
      <c r="AB156" s="88"/>
      <c r="AC156" s="88"/>
      <c r="AE156">
        <f t="shared" si="21"/>
        <v>-2</v>
      </c>
      <c r="AI156" s="3">
        <f t="shared" si="23"/>
        <v>81.974612405724244</v>
      </c>
      <c r="AJ156" s="113">
        <f t="shared" si="22"/>
        <v>81.974612405724244</v>
      </c>
      <c r="AK156" s="124">
        <f t="shared" si="24"/>
        <v>0.54130125553173158</v>
      </c>
      <c r="AL156" s="124">
        <f t="shared" si="25"/>
        <v>0</v>
      </c>
      <c r="AM156" s="124">
        <f t="shared" si="26"/>
        <v>6.0606231572568161</v>
      </c>
      <c r="AN156" s="124">
        <f t="shared" si="27"/>
        <v>0.7542108817919595</v>
      </c>
      <c r="AO156" s="124">
        <f t="shared" si="28"/>
        <v>1.3126220890392692</v>
      </c>
      <c r="AP156" s="124">
        <f t="shared" si="29"/>
        <v>0.52266560173858245</v>
      </c>
      <c r="AQ156" s="124">
        <f t="shared" si="30"/>
        <v>0.26107172914015103</v>
      </c>
      <c r="AR156" s="124">
        <f t="shared" si="31"/>
        <v>1.3434381331919276</v>
      </c>
      <c r="AS156" s="124">
        <f t="shared" si="17"/>
        <v>92.770545253414681</v>
      </c>
    </row>
    <row r="157" spans="1:45" ht="14">
      <c r="A157">
        <f>A158-1</f>
        <v>-1</v>
      </c>
      <c r="B157" s="21">
        <v>79</v>
      </c>
      <c r="C157" s="127">
        <f t="shared" si="18"/>
        <v>83.69778582830314</v>
      </c>
      <c r="D157" s="125">
        <f>(($C$39*$C$118*0.72)*D$40)*('Product half-life and C flows'!B58/100)</f>
        <v>0.52286254761073059</v>
      </c>
      <c r="E157" s="26"/>
      <c r="F157" s="54">
        <f t="shared" si="32"/>
        <v>6.0606231572568161</v>
      </c>
      <c r="G157" s="54">
        <f t="shared" si="32"/>
        <v>0.7542108817919595</v>
      </c>
      <c r="H157" s="125">
        <f>(H$118)*('Product half-life and C flows'!L58/100)</f>
        <v>1.2925583361045809</v>
      </c>
      <c r="I157" s="125">
        <f>(($C$39*$C$118*0.28)*H$41)*('Product half-life and C flows'!N58/100)</f>
        <v>0.53270751008239392</v>
      </c>
      <c r="J157" s="125">
        <f>(($C$39*$C$118*0.28)*H$41)*(+'Product half-life and C flows'!P58/100)</f>
        <v>0.26608766737382311</v>
      </c>
      <c r="K157" s="54">
        <f t="shared" si="16"/>
        <v>1.3434381331919276</v>
      </c>
      <c r="L157" s="26"/>
      <c r="M157" s="80"/>
      <c r="N157" s="80"/>
      <c r="O157" s="82"/>
      <c r="P157" s="81"/>
      <c r="Q157" s="81"/>
      <c r="R157" s="81"/>
      <c r="S157" s="81"/>
      <c r="T157" s="81"/>
      <c r="U157" s="3"/>
      <c r="V157" s="88"/>
      <c r="W157" s="88"/>
      <c r="X157" s="88"/>
      <c r="Y157" s="88"/>
      <c r="Z157" s="88"/>
      <c r="AA157" s="88"/>
      <c r="AB157" s="88"/>
      <c r="AC157" s="88"/>
      <c r="AE157">
        <f t="shared" si="21"/>
        <v>-1</v>
      </c>
      <c r="AI157" s="3">
        <f t="shared" si="23"/>
        <v>83.69778582830314</v>
      </c>
      <c r="AJ157" s="113">
        <f t="shared" si="22"/>
        <v>83.69778582830314</v>
      </c>
      <c r="AK157" s="124">
        <f t="shared" si="24"/>
        <v>0.52286254761073059</v>
      </c>
      <c r="AL157" s="124">
        <f t="shared" si="25"/>
        <v>0</v>
      </c>
      <c r="AM157" s="124">
        <f t="shared" si="26"/>
        <v>6.0606231572568161</v>
      </c>
      <c r="AN157" s="124">
        <f t="shared" si="27"/>
        <v>0.7542108817919595</v>
      </c>
      <c r="AO157" s="124">
        <f t="shared" si="28"/>
        <v>1.2925583361045809</v>
      </c>
      <c r="AP157" s="124">
        <f t="shared" si="29"/>
        <v>0.53270751008239392</v>
      </c>
      <c r="AQ157" s="124">
        <f t="shared" si="30"/>
        <v>0.26608766737382311</v>
      </c>
      <c r="AR157" s="124">
        <f t="shared" si="31"/>
        <v>1.3434381331919276</v>
      </c>
      <c r="AS157" s="124">
        <f t="shared" si="17"/>
        <v>94.470274061715358</v>
      </c>
    </row>
    <row r="158" spans="1:45" ht="14">
      <c r="A158">
        <v>0</v>
      </c>
      <c r="B158" s="21">
        <v>80</v>
      </c>
      <c r="C158" s="26">
        <f t="shared" ref="C158:C189" si="33">B$8*(1-EXP(-B$9*$B158))^3</f>
        <v>85.420959250881964</v>
      </c>
      <c r="D158" s="125">
        <f>(($C$39*$C$118*0.72)*D$40)*('Product half-life and C flows'!B59/100)</f>
        <v>0.50505192977140134</v>
      </c>
      <c r="E158" s="26"/>
      <c r="F158" s="54">
        <f t="shared" si="32"/>
        <v>6.0606231572568161</v>
      </c>
      <c r="G158" s="54">
        <f t="shared" si="32"/>
        <v>0.7542108817919595</v>
      </c>
      <c r="H158" s="125">
        <f>(H$118)*('Product half-life and C flows'!L59/100)</f>
        <v>1.272801262590562</v>
      </c>
      <c r="I158" s="125">
        <f>(($C$39*$C$118*0.28)*H$41)*('Product half-life and C flows'!N59/100)</f>
        <v>0.54259592537616042</v>
      </c>
      <c r="J158" s="125">
        <f>(($C$39*$C$118*0.28)*H$41)*(+'Product half-life and C flows'!P59/100)</f>
        <v>0.27102693575232778</v>
      </c>
      <c r="K158" s="54">
        <f t="shared" si="16"/>
        <v>1.3434381331919276</v>
      </c>
      <c r="L158" s="26"/>
      <c r="M158" s="83">
        <f>C$158*(0.4*D$14)*('Product half-life and C flows'!B19/100)</f>
        <v>8.542095925088196</v>
      </c>
      <c r="N158" s="83">
        <f t="shared" ref="N158:N189" si="34">C$8*(1-EXP(-C$9*$B78))^3</f>
        <v>0</v>
      </c>
      <c r="O158" s="84">
        <f>(C$158*((0.4*B$14))-(C$158*0.03))</f>
        <v>23.063658997738134</v>
      </c>
      <c r="P158" s="83">
        <f>(C$158*((0.6*B$15)))</f>
        <v>12.300618132127003</v>
      </c>
      <c r="Q158" s="83">
        <f>C$158*(0.6*C$15)*('Product half-life and C flows'!L19/100)</f>
        <v>38.43943166289688</v>
      </c>
      <c r="R158" s="83">
        <f>C$158*0.6*('Product half-life and C flows'!N19/100)</f>
        <v>0</v>
      </c>
      <c r="S158" s="83">
        <f>C$158*0.6*('Product half-life and C flows'!P19/100)</f>
        <v>0</v>
      </c>
      <c r="T158" s="83">
        <f>(Q158*T$42)</f>
        <v>21.910476047851219</v>
      </c>
      <c r="U158" s="3"/>
      <c r="V158" s="88"/>
      <c r="W158" s="88"/>
      <c r="X158" s="88"/>
      <c r="Y158" s="88"/>
      <c r="Z158" s="88"/>
      <c r="AA158" s="88"/>
      <c r="AB158" s="88"/>
      <c r="AC158" s="88"/>
      <c r="AE158">
        <f t="shared" si="21"/>
        <v>0</v>
      </c>
      <c r="AF158" s="3">
        <f>(C$158*$AF$76)*('Product half-life and C flows'!B19/100)</f>
        <v>64.065719438161466</v>
      </c>
      <c r="AG158" s="3">
        <f t="shared" ref="AG158:AG189" si="35">D$8*(1-EXP(-D$9*$B78))^3</f>
        <v>0</v>
      </c>
      <c r="AH158" s="3"/>
      <c r="AI158" s="3">
        <f>AF158+AG158+AH158</f>
        <v>64.065719438161466</v>
      </c>
      <c r="AJ158" s="113">
        <f t="shared" si="22"/>
        <v>85.420959250881964</v>
      </c>
      <c r="AK158" s="124">
        <f t="shared" si="24"/>
        <v>9.0471478548595972</v>
      </c>
      <c r="AL158" s="124">
        <f t="shared" si="25"/>
        <v>0</v>
      </c>
      <c r="AM158" s="124">
        <f t="shared" si="26"/>
        <v>29.124282154994951</v>
      </c>
      <c r="AN158" s="124">
        <f t="shared" si="27"/>
        <v>13.054829013918962</v>
      </c>
      <c r="AO158" s="124">
        <f t="shared" si="28"/>
        <v>39.712232925487442</v>
      </c>
      <c r="AP158" s="124">
        <f t="shared" si="29"/>
        <v>0.54259592537616042</v>
      </c>
      <c r="AQ158" s="124">
        <f t="shared" si="30"/>
        <v>0.27102693575232778</v>
      </c>
      <c r="AR158" s="124">
        <f t="shared" si="31"/>
        <v>23.253914181043147</v>
      </c>
      <c r="AS158" s="3">
        <f>SUM(AK158:AR158)</f>
        <v>115.00602899143259</v>
      </c>
    </row>
    <row r="159" spans="1:45" ht="14">
      <c r="A159">
        <f>A158+1</f>
        <v>1</v>
      </c>
      <c r="B159" s="21">
        <v>81</v>
      </c>
      <c r="C159" s="26">
        <f t="shared" si="33"/>
        <v>86.711058851161368</v>
      </c>
      <c r="D159" s="125">
        <f>(($C$39*$C$118*0.72)*D$40)*('Product half-life and C flows'!B60/100)</f>
        <v>0.48784800695979647</v>
      </c>
      <c r="E159" s="26"/>
      <c r="F159" s="54">
        <f t="shared" si="32"/>
        <v>6.0606231572568161</v>
      </c>
      <c r="G159" s="54">
        <f t="shared" si="32"/>
        <v>0.7542108817919595</v>
      </c>
      <c r="H159" s="125">
        <f>(H$118)*('Product half-life and C flows'!L60/100)</f>
        <v>1.2533461808264976</v>
      </c>
      <c r="I159" s="125">
        <f>(($C$39*$C$118*0.28)*H$41)*('Product half-life and C flows'!N60/100)</f>
        <v>0.55233319379907475</v>
      </c>
      <c r="J159" s="125">
        <f>(($C$39*$C$118*0.28)*H$41)*(+'Product half-life and C flows'!P60/100)</f>
        <v>0.27589070619334394</v>
      </c>
      <c r="K159" s="54">
        <f t="shared" si="16"/>
        <v>1.3434381331919276</v>
      </c>
      <c r="L159" s="26"/>
      <c r="M159" s="83">
        <f>C$158*(0.4*D$14)*('Product half-life and C flows'!B20/100)</f>
        <v>8.2511207792035748</v>
      </c>
      <c r="N159" s="83">
        <f t="shared" si="34"/>
        <v>6.6880163224559471E-3</v>
      </c>
      <c r="O159" s="83">
        <f>O158</f>
        <v>23.063658997738134</v>
      </c>
      <c r="P159" s="83">
        <f>P158</f>
        <v>12.300618132127003</v>
      </c>
      <c r="Q159" s="83">
        <f>C$158*(0.6*C$15)*('Product half-life and C flows'!L20/100)</f>
        <v>37.85187545286945</v>
      </c>
      <c r="R159" s="83">
        <f>C$158*0.6*('Product half-life and C flows'!N20/100)</f>
        <v>0.3920958441583029</v>
      </c>
      <c r="S159" s="83">
        <f>C$158*0.6*('Product half-life and C flows'!P20/100)</f>
        <v>0.19585207000914232</v>
      </c>
      <c r="T159" s="83">
        <f>T158</f>
        <v>21.910476047851219</v>
      </c>
      <c r="U159" s="3"/>
      <c r="V159" s="88"/>
      <c r="W159" s="88"/>
      <c r="X159" s="88"/>
      <c r="Y159" s="88"/>
      <c r="Z159" s="88"/>
      <c r="AA159" s="88"/>
      <c r="AB159" s="88"/>
      <c r="AC159" s="88"/>
      <c r="AE159">
        <f t="shared" si="21"/>
        <v>1</v>
      </c>
      <c r="AF159" s="3">
        <f>(C$158*$AF$76)*('Product half-life and C flows'!B20/100)</f>
        <v>61.883405844026811</v>
      </c>
      <c r="AG159" s="3">
        <f t="shared" si="35"/>
        <v>2.3896968363273279E-3</v>
      </c>
      <c r="AH159" s="3"/>
      <c r="AI159" s="3">
        <f t="shared" ref="AI159:AI222" si="36">AF159+AG159+AH159</f>
        <v>61.885795540863135</v>
      </c>
      <c r="AJ159" s="113">
        <f t="shared" si="22"/>
        <v>86.711058851161368</v>
      </c>
      <c r="AK159" s="124">
        <f t="shared" si="24"/>
        <v>8.7389687861633707</v>
      </c>
      <c r="AL159" s="124">
        <f t="shared" si="25"/>
        <v>6.6880163224559471E-3</v>
      </c>
      <c r="AM159" s="124">
        <f t="shared" si="26"/>
        <v>29.124282154994951</v>
      </c>
      <c r="AN159" s="124">
        <f t="shared" si="27"/>
        <v>13.054829013918962</v>
      </c>
      <c r="AO159" s="124">
        <f t="shared" si="28"/>
        <v>39.105221633695948</v>
      </c>
      <c r="AP159" s="124">
        <f t="shared" si="29"/>
        <v>0.94442903795737765</v>
      </c>
      <c r="AQ159" s="124">
        <f t="shared" si="30"/>
        <v>0.47174277620248628</v>
      </c>
      <c r="AR159" s="124">
        <f t="shared" si="31"/>
        <v>23.253914181043147</v>
      </c>
      <c r="AS159" s="3">
        <f t="shared" ref="AS159:AS222" si="37">SUM(AK159:AR159)</f>
        <v>114.7000756002987</v>
      </c>
    </row>
    <row r="160" spans="1:45" ht="14">
      <c r="A160">
        <f t="shared" ref="A160:B180" si="38">A159+1</f>
        <v>2</v>
      </c>
      <c r="B160" s="21">
        <v>82</v>
      </c>
      <c r="C160" s="26">
        <f t="shared" si="33"/>
        <v>87.98815549932786</v>
      </c>
      <c r="D160" s="125">
        <f>(($C$39*$C$118*0.72)*D$40)*('Product half-life and C flows'!B61/100)</f>
        <v>0.47123011291604816</v>
      </c>
      <c r="E160" s="26"/>
      <c r="F160" s="54">
        <f t="shared" si="32"/>
        <v>6.0606231572568161</v>
      </c>
      <c r="G160" s="54">
        <f t="shared" si="32"/>
        <v>0.7542108817919595</v>
      </c>
      <c r="H160" s="125">
        <f>(H$118)*('Product half-life and C flows'!L61/100)</f>
        <v>1.2341884747938774</v>
      </c>
      <c r="I160" s="125">
        <f>(($C$39*$C$118*0.28)*H$41)*('Product half-life and C flows'!N61/100)</f>
        <v>0.5619216256684012</v>
      </c>
      <c r="J160" s="125">
        <f>(($C$39*$C$118*0.28)*H$41)*(+'Product half-life and C flows'!P61/100)</f>
        <v>0.280680132701499</v>
      </c>
      <c r="K160" s="54">
        <f t="shared" si="16"/>
        <v>1.3434381331919276</v>
      </c>
      <c r="L160" s="26"/>
      <c r="M160" s="83">
        <f>C$158*(0.4*D$14)*('Product half-life and C flows'!B21/100)</f>
        <v>7.9700573149794121</v>
      </c>
      <c r="N160" s="83">
        <f t="shared" si="34"/>
        <v>5.0418532610901234E-2</v>
      </c>
      <c r="O160" s="83">
        <f t="shared" ref="O160:P175" si="39">O159</f>
        <v>23.063658997738134</v>
      </c>
      <c r="P160" s="83">
        <f t="shared" si="39"/>
        <v>12.300618132127003</v>
      </c>
      <c r="Q160" s="83">
        <f>C$158*(0.6*C$15)*('Product half-life and C flows'!L21/100)</f>
        <v>37.273300184677211</v>
      </c>
      <c r="R160" s="83">
        <f>C$158*0.6*('Product half-life and C flows'!N21/100)</f>
        <v>0.77819840646526128</v>
      </c>
      <c r="S160" s="83">
        <f>C$158*0.6*('Product half-life and C flows'!P21/100)</f>
        <v>0.38871049273989072</v>
      </c>
      <c r="T160" s="83">
        <f t="shared" ref="T160:T223" si="40">T159</f>
        <v>21.910476047851219</v>
      </c>
      <c r="U160" s="3"/>
      <c r="V160" s="88"/>
      <c r="W160" s="88"/>
      <c r="X160" s="88"/>
      <c r="Y160" s="88"/>
      <c r="Z160" s="88"/>
      <c r="AA160" s="88"/>
      <c r="AB160" s="88"/>
      <c r="AC160" s="88"/>
      <c r="AE160">
        <f t="shared" si="21"/>
        <v>2</v>
      </c>
      <c r="AF160" s="3">
        <f>(C$158*$AF$76)*('Product half-life and C flows'!B21/100)</f>
        <v>59.775429862345582</v>
      </c>
      <c r="AG160" s="3">
        <f t="shared" si="35"/>
        <v>1.8015058884947945E-2</v>
      </c>
      <c r="AH160" s="3"/>
      <c r="AI160" s="3">
        <f t="shared" si="36"/>
        <v>59.793444921230531</v>
      </c>
      <c r="AJ160" s="113">
        <f t="shared" si="22"/>
        <v>87.98815549932786</v>
      </c>
      <c r="AK160" s="124">
        <f t="shared" si="24"/>
        <v>8.4412874278954604</v>
      </c>
      <c r="AL160" s="124">
        <f t="shared" si="25"/>
        <v>5.0418532610901234E-2</v>
      </c>
      <c r="AM160" s="124">
        <f t="shared" si="26"/>
        <v>29.124282154994951</v>
      </c>
      <c r="AN160" s="124">
        <f t="shared" si="27"/>
        <v>13.054829013918962</v>
      </c>
      <c r="AO160" s="124">
        <f t="shared" si="28"/>
        <v>38.507488659471086</v>
      </c>
      <c r="AP160" s="124">
        <f t="shared" si="29"/>
        <v>1.3401200321336626</v>
      </c>
      <c r="AQ160" s="124">
        <f t="shared" si="30"/>
        <v>0.66939062544138972</v>
      </c>
      <c r="AR160" s="124">
        <f t="shared" si="31"/>
        <v>23.253914181043147</v>
      </c>
      <c r="AS160" s="3">
        <f t="shared" si="37"/>
        <v>114.44173062750956</v>
      </c>
    </row>
    <row r="161" spans="1:45" ht="14">
      <c r="A161">
        <f t="shared" si="38"/>
        <v>3</v>
      </c>
      <c r="B161" s="21">
        <v>83</v>
      </c>
      <c r="C161" s="26">
        <f t="shared" si="33"/>
        <v>89.25207374798569</v>
      </c>
      <c r="D161" s="125">
        <f>(($C$39*$C$118*0.72)*D$40)*('Product half-life and C flows'!B62/100)</f>
        <v>0.45517828534896804</v>
      </c>
      <c r="E161" s="26"/>
      <c r="F161" s="54">
        <f t="shared" si="32"/>
        <v>6.0606231572568161</v>
      </c>
      <c r="G161" s="54">
        <f t="shared" si="32"/>
        <v>0.7542108817919595</v>
      </c>
      <c r="H161" s="125">
        <f>(H$118)*('Product half-life and C flows'!L62/100)</f>
        <v>1.2153235990311755</v>
      </c>
      <c r="I161" s="125">
        <f>(($C$39*$C$118*0.28)*H$41)*('Product half-life and C flows'!N62/100)</f>
        <v>0.57136349598763347</v>
      </c>
      <c r="J161" s="125">
        <f>(($C$39*$C$118*0.28)*H$41)*(+'Product half-life and C flows'!P62/100)</f>
        <v>0.28539635164217447</v>
      </c>
      <c r="K161" s="54">
        <f t="shared" si="16"/>
        <v>1.3434381331919276</v>
      </c>
      <c r="L161" s="26"/>
      <c r="M161" s="83">
        <f>C$158*(0.4*D$14)*('Product half-life and C flows'!B22/100)</f>
        <v>7.6985679041518242</v>
      </c>
      <c r="N161" s="83">
        <f t="shared" si="34"/>
        <v>0.16041335764575598</v>
      </c>
      <c r="O161" s="83">
        <f t="shared" si="39"/>
        <v>23.063658997738134</v>
      </c>
      <c r="P161" s="83">
        <f t="shared" si="39"/>
        <v>12.300618132127003</v>
      </c>
      <c r="Q161" s="83">
        <f>C$158*(0.6*C$15)*('Product half-life and C flows'!L22/100)</f>
        <v>36.703568582405303</v>
      </c>
      <c r="R161" s="83">
        <f>C$158*0.6*('Product half-life and C flows'!N22/100)</f>
        <v>1.1583992957147098</v>
      </c>
      <c r="S161" s="83">
        <f>C$158*0.6*('Product half-life and C flows'!P22/100)</f>
        <v>0.5786210268305243</v>
      </c>
      <c r="T161" s="83">
        <f t="shared" si="40"/>
        <v>21.910476047851219</v>
      </c>
      <c r="U161" s="3"/>
      <c r="V161" s="88"/>
      <c r="W161" s="88"/>
      <c r="X161" s="88"/>
      <c r="Y161" s="88"/>
      <c r="Z161" s="88"/>
      <c r="AA161" s="88"/>
      <c r="AB161" s="88"/>
      <c r="AC161" s="88"/>
      <c r="AE161">
        <f t="shared" si="21"/>
        <v>3</v>
      </c>
      <c r="AF161" s="3">
        <f>(C$158*$AF$76)*('Product half-life and C flows'!B22/100)</f>
        <v>57.739259281138679</v>
      </c>
      <c r="AG161" s="3">
        <f t="shared" si="35"/>
        <v>5.731733817448862E-2</v>
      </c>
      <c r="AH161" s="3"/>
      <c r="AI161" s="3">
        <f t="shared" si="36"/>
        <v>57.796576619313164</v>
      </c>
      <c r="AJ161" s="113">
        <f t="shared" si="22"/>
        <v>89.25207374798569</v>
      </c>
      <c r="AK161" s="124">
        <f t="shared" si="24"/>
        <v>8.1537461895007919</v>
      </c>
      <c r="AL161" s="124">
        <f t="shared" si="25"/>
        <v>0.16041335764575598</v>
      </c>
      <c r="AM161" s="124">
        <f t="shared" si="26"/>
        <v>29.124282154994951</v>
      </c>
      <c r="AN161" s="124">
        <f t="shared" si="27"/>
        <v>13.054829013918962</v>
      </c>
      <c r="AO161" s="124">
        <f t="shared" si="28"/>
        <v>37.918892181436476</v>
      </c>
      <c r="AP161" s="124">
        <f t="shared" si="29"/>
        <v>1.7297627917023433</v>
      </c>
      <c r="AQ161" s="124">
        <f t="shared" si="30"/>
        <v>0.86401737847269877</v>
      </c>
      <c r="AR161" s="124">
        <f t="shared" si="31"/>
        <v>23.253914181043147</v>
      </c>
      <c r="AS161" s="3">
        <f t="shared" si="37"/>
        <v>114.25985724871512</v>
      </c>
    </row>
    <row r="162" spans="1:45" ht="14">
      <c r="A162">
        <f t="shared" si="38"/>
        <v>4</v>
      </c>
      <c r="B162" s="21">
        <v>84</v>
      </c>
      <c r="C162" s="26">
        <f t="shared" si="33"/>
        <v>90.502655169824934</v>
      </c>
      <c r="D162" s="125">
        <f>(($C$39*$C$118*0.72)*D$40)*('Product half-life and C flows'!B63/100)</f>
        <v>0.43967324195628799</v>
      </c>
      <c r="E162" s="26"/>
      <c r="F162" s="54">
        <f t="shared" si="32"/>
        <v>6.0606231572568161</v>
      </c>
      <c r="G162" s="54">
        <f t="shared" si="32"/>
        <v>0.7542108817919595</v>
      </c>
      <c r="H162" s="125">
        <f>(H$118)*('Product half-life and C flows'!L63/100)</f>
        <v>1.1967470775553679</v>
      </c>
      <c r="I162" s="125">
        <f>(($C$39*$C$118*0.28)*H$41)*('Product half-life and C flows'!N63/100)</f>
        <v>0.58066104498627524</v>
      </c>
      <c r="J162" s="125">
        <f>(($C$39*$C$118*0.28)*H$41)*(+'Product half-life and C flows'!P63/100)</f>
        <v>0.29004048201112637</v>
      </c>
      <c r="K162" s="54">
        <f t="shared" si="16"/>
        <v>1.3434381331919276</v>
      </c>
      <c r="L162" s="26"/>
      <c r="M162" s="83">
        <f>C$158*(0.4*D$14)*('Product half-life and C flows'!B23/100)</f>
        <v>7.4363264193150558</v>
      </c>
      <c r="N162" s="83">
        <f t="shared" si="34"/>
        <v>0.35859718815808966</v>
      </c>
      <c r="O162" s="83">
        <f t="shared" si="39"/>
        <v>23.063658997738134</v>
      </c>
      <c r="P162" s="83">
        <f t="shared" si="39"/>
        <v>12.300618132127003</v>
      </c>
      <c r="Q162" s="83">
        <f>C$158*(0.6*C$15)*('Product half-life and C flows'!L23/100)</f>
        <v>36.142545468435195</v>
      </c>
      <c r="R162" s="83">
        <f>C$158*0.6*('Product half-life and C flows'!N23/100)</f>
        <v>1.5327887204374295</v>
      </c>
      <c r="S162" s="83">
        <f>C$158*0.6*('Product half-life and C flows'!P23/100)</f>
        <v>0.76562873148722743</v>
      </c>
      <c r="T162" s="83">
        <f t="shared" si="40"/>
        <v>21.910476047851219</v>
      </c>
      <c r="U162" s="3"/>
      <c r="V162" s="88"/>
      <c r="W162" s="88"/>
      <c r="X162" s="88"/>
      <c r="Y162" s="88"/>
      <c r="Z162" s="88"/>
      <c r="AA162" s="88"/>
      <c r="AB162" s="88"/>
      <c r="AC162" s="88"/>
      <c r="AE162">
        <f t="shared" si="21"/>
        <v>4</v>
      </c>
      <c r="AF162" s="3">
        <f>(C$158*$AF$76)*('Product half-life and C flows'!B23/100)</f>
        <v>55.772448144862913</v>
      </c>
      <c r="AG162" s="3">
        <f t="shared" si="35"/>
        <v>0.12813045374604898</v>
      </c>
      <c r="AH162" s="3"/>
      <c r="AI162" s="3">
        <f t="shared" si="36"/>
        <v>55.900578598608959</v>
      </c>
      <c r="AJ162" s="113">
        <f t="shared" si="22"/>
        <v>90.502655169824934</v>
      </c>
      <c r="AK162" s="124">
        <f t="shared" si="24"/>
        <v>7.8759996612713437</v>
      </c>
      <c r="AL162" s="124">
        <f t="shared" si="25"/>
        <v>0.35859718815808966</v>
      </c>
      <c r="AM162" s="124">
        <f t="shared" si="26"/>
        <v>29.124282154994951</v>
      </c>
      <c r="AN162" s="124">
        <f t="shared" si="27"/>
        <v>13.054829013918962</v>
      </c>
      <c r="AO162" s="124">
        <f t="shared" si="28"/>
        <v>37.33929254599056</v>
      </c>
      <c r="AP162" s="124">
        <f t="shared" si="29"/>
        <v>2.113449765423705</v>
      </c>
      <c r="AQ162" s="124">
        <f t="shared" si="30"/>
        <v>1.0556692134983539</v>
      </c>
      <c r="AR162" s="124">
        <f t="shared" si="31"/>
        <v>23.253914181043147</v>
      </c>
      <c r="AS162" s="3">
        <f t="shared" si="37"/>
        <v>114.1760337242991</v>
      </c>
    </row>
    <row r="163" spans="1:45" ht="14">
      <c r="A163">
        <f t="shared" si="38"/>
        <v>5</v>
      </c>
      <c r="B163" s="21">
        <v>85</v>
      </c>
      <c r="C163" s="26">
        <f t="shared" si="33"/>
        <v>91.73975768915416</v>
      </c>
      <c r="D163" s="125">
        <f>(($C$39*$C$118*0.72)*D$40)*('Product half-life and C flows'!B64/100)</f>
        <v>0.42469635726174221</v>
      </c>
      <c r="E163" s="26"/>
      <c r="F163" s="54">
        <f t="shared" si="32"/>
        <v>6.0606231572568161</v>
      </c>
      <c r="G163" s="54">
        <f t="shared" si="32"/>
        <v>0.7542108817919595</v>
      </c>
      <c r="H163" s="125">
        <f>(H$118)*('Product half-life and C flows'!L64/100)</f>
        <v>1.1784545027999367</v>
      </c>
      <c r="I163" s="125">
        <f>(($C$39*$C$118*0.28)*H$41)*('Product half-life and C flows'!N64/100)</f>
        <v>0.58981647865136866</v>
      </c>
      <c r="J163" s="125">
        <f>(($C$39*$C$118*0.28)*H$41)*(+'Product half-life and C flows'!P64/100)</f>
        <v>0.29461362569998417</v>
      </c>
      <c r="K163" s="54">
        <f t="shared" si="16"/>
        <v>1.3434381331919276</v>
      </c>
      <c r="L163" s="26"/>
      <c r="M163" s="83">
        <f>C$158*(0.4*D$14)*('Product half-life and C flows'!B24/100)</f>
        <v>7.1830178421600266</v>
      </c>
      <c r="N163" s="83">
        <f t="shared" si="34"/>
        <v>0.66078557389625781</v>
      </c>
      <c r="O163" s="83">
        <f t="shared" si="39"/>
        <v>23.063658997738134</v>
      </c>
      <c r="P163" s="83">
        <f t="shared" si="39"/>
        <v>12.300618132127003</v>
      </c>
      <c r="Q163" s="83">
        <f>C$158*(0.6*C$15)*('Product half-life and C flows'!L24/100)</f>
        <v>35.590097731371614</v>
      </c>
      <c r="R163" s="83">
        <f>C$158*0.6*('Product half-life and C flows'!N24/100)</f>
        <v>1.9014555103045299</v>
      </c>
      <c r="S163" s="83">
        <f>C$158*0.6*('Product half-life and C flows'!P24/100)</f>
        <v>0.94977797717508994</v>
      </c>
      <c r="T163" s="83">
        <f t="shared" si="40"/>
        <v>21.910476047851219</v>
      </c>
      <c r="U163" s="3"/>
      <c r="V163" s="88"/>
      <c r="W163" s="88"/>
      <c r="X163" s="88"/>
      <c r="Y163" s="88"/>
      <c r="Z163" s="88"/>
      <c r="AA163" s="88"/>
      <c r="AB163" s="88"/>
      <c r="AC163" s="88"/>
      <c r="AE163">
        <f t="shared" si="21"/>
        <v>5</v>
      </c>
      <c r="AF163" s="3">
        <f>(C$158*$AF$76)*('Product half-life and C flows'!B24/100)</f>
        <v>53.872633816200192</v>
      </c>
      <c r="AG163" s="3">
        <f t="shared" si="35"/>
        <v>0.23610546375741537</v>
      </c>
      <c r="AH163" s="3"/>
      <c r="AI163" s="3">
        <f t="shared" si="36"/>
        <v>54.108739279957611</v>
      </c>
      <c r="AJ163" s="113">
        <f t="shared" si="22"/>
        <v>91.73975768915416</v>
      </c>
      <c r="AK163" s="124">
        <f t="shared" si="24"/>
        <v>7.6077141994217685</v>
      </c>
      <c r="AL163" s="124">
        <f t="shared" si="25"/>
        <v>0.66078557389625781</v>
      </c>
      <c r="AM163" s="124">
        <f t="shared" si="26"/>
        <v>29.124282154994951</v>
      </c>
      <c r="AN163" s="124">
        <f t="shared" si="27"/>
        <v>13.054829013918962</v>
      </c>
      <c r="AO163" s="124">
        <f t="shared" si="28"/>
        <v>36.768552234171551</v>
      </c>
      <c r="AP163" s="124">
        <f t="shared" si="29"/>
        <v>2.4912719889558987</v>
      </c>
      <c r="AQ163" s="124">
        <f t="shared" si="30"/>
        <v>1.2443916028750741</v>
      </c>
      <c r="AR163" s="124">
        <f t="shared" si="31"/>
        <v>23.253914181043147</v>
      </c>
      <c r="AS163" s="3">
        <f t="shared" si="37"/>
        <v>114.2057409492776</v>
      </c>
    </row>
    <row r="164" spans="1:45" ht="14">
      <c r="A164">
        <f t="shared" si="38"/>
        <v>6</v>
      </c>
      <c r="B164" s="21">
        <v>86</v>
      </c>
      <c r="C164" s="26">
        <f t="shared" si="33"/>
        <v>92.96325492803625</v>
      </c>
      <c r="D164" s="125">
        <f>(($C$39*$C$118*0.72)*D$40)*('Product half-life and C flows'!B65/100)</f>
        <v>0.41022964024116199</v>
      </c>
      <c r="E164" s="26"/>
      <c r="F164" s="54">
        <f t="shared" si="32"/>
        <v>6.0606231572568161</v>
      </c>
      <c r="G164" s="54">
        <f t="shared" si="32"/>
        <v>0.7542108817919595</v>
      </c>
      <c r="H164" s="125">
        <f>(H$118)*('Product half-life and C flows'!L65/100)</f>
        <v>1.1604415345691077</v>
      </c>
      <c r="I164" s="125">
        <f>(($C$39*$C$118*0.28)*H$41)*('Product half-life and C flows'!N65/100)</f>
        <v>0.59883196925089854</v>
      </c>
      <c r="J164" s="125">
        <f>(($C$39*$C$118*0.28)*H$41)*(+'Product half-life and C flows'!P65/100)</f>
        <v>0.29911686775769142</v>
      </c>
      <c r="K164" s="54">
        <f t="shared" si="16"/>
        <v>1.3434381331919276</v>
      </c>
      <c r="L164" s="26"/>
      <c r="M164" s="83">
        <f>C$158*(0.4*D$14)*('Product half-life and C flows'!B25/100)</f>
        <v>6.9383378850577211</v>
      </c>
      <c r="N164" s="83">
        <f t="shared" si="34"/>
        <v>1.0777084645502373</v>
      </c>
      <c r="O164" s="83">
        <f t="shared" si="39"/>
        <v>23.063658997738134</v>
      </c>
      <c r="P164" s="83">
        <f t="shared" si="39"/>
        <v>12.300618132127003</v>
      </c>
      <c r="Q164" s="83">
        <f>C$158*(0.6*C$15)*('Product half-life and C flows'!L25/100)</f>
        <v>35.046094294459856</v>
      </c>
      <c r="R164" s="83">
        <f>C$158*0.6*('Product half-life and C flows'!N25/100)</f>
        <v>2.2644871372036404</v>
      </c>
      <c r="S164" s="83">
        <f>C$158*0.6*('Product half-life and C flows'!P25/100)</f>
        <v>1.1311124561456747</v>
      </c>
      <c r="T164" s="83">
        <f t="shared" si="40"/>
        <v>21.910476047851219</v>
      </c>
      <c r="U164" s="3"/>
      <c r="V164" s="88"/>
      <c r="W164" s="88"/>
      <c r="X164" s="88"/>
      <c r="Y164" s="88"/>
      <c r="Z164" s="88"/>
      <c r="AA164" s="88"/>
      <c r="AB164" s="88"/>
      <c r="AC164" s="88"/>
      <c r="AE164">
        <f t="shared" si="21"/>
        <v>6</v>
      </c>
      <c r="AF164" s="3">
        <f>(C$158*$AF$76)*('Product half-life and C flows'!B25/100)</f>
        <v>52.037534137932909</v>
      </c>
      <c r="AG164" s="3">
        <f t="shared" si="35"/>
        <v>0.38507628929846233</v>
      </c>
      <c r="AH164" s="3"/>
      <c r="AI164" s="3">
        <f t="shared" si="36"/>
        <v>52.422610427231369</v>
      </c>
      <c r="AJ164" s="113">
        <f t="shared" si="22"/>
        <v>92.96325492803625</v>
      </c>
      <c r="AK164" s="124">
        <f t="shared" si="24"/>
        <v>7.3485675252988827</v>
      </c>
      <c r="AL164" s="124">
        <f t="shared" si="25"/>
        <v>1.0777084645502373</v>
      </c>
      <c r="AM164" s="124">
        <f t="shared" si="26"/>
        <v>29.124282154994951</v>
      </c>
      <c r="AN164" s="124">
        <f t="shared" si="27"/>
        <v>13.054829013918962</v>
      </c>
      <c r="AO164" s="124">
        <f t="shared" si="28"/>
        <v>36.206535829028965</v>
      </c>
      <c r="AP164" s="124">
        <f t="shared" si="29"/>
        <v>2.8633191064545391</v>
      </c>
      <c r="AQ164" s="124">
        <f t="shared" si="30"/>
        <v>1.4302293239033661</v>
      </c>
      <c r="AR164" s="124">
        <f t="shared" si="31"/>
        <v>23.253914181043147</v>
      </c>
      <c r="AS164" s="3">
        <f t="shared" si="37"/>
        <v>114.35938559919305</v>
      </c>
    </row>
    <row r="165" spans="1:45" ht="14">
      <c r="A165">
        <f t="shared" si="38"/>
        <v>7</v>
      </c>
      <c r="B165" s="21">
        <v>87</v>
      </c>
      <c r="C165" s="26">
        <f t="shared" si="33"/>
        <v>94.17303556736168</v>
      </c>
      <c r="D165" s="125">
        <f>(($C$39*$C$118*0.72)*D$40)*('Product half-life and C flows'!B66/100)</f>
        <v>0.39625571271070803</v>
      </c>
      <c r="E165" s="26"/>
      <c r="F165" s="54">
        <f t="shared" si="32"/>
        <v>6.0606231572568161</v>
      </c>
      <c r="G165" s="54">
        <f t="shared" si="32"/>
        <v>0.7542108817919595</v>
      </c>
      <c r="H165" s="125">
        <f>(H$118)*('Product half-life and C flows'!L66/100)</f>
        <v>1.1427038990080711</v>
      </c>
      <c r="I165" s="125">
        <f>(($C$39*$C$118*0.28)*H$41)*('Product half-life and C flows'!N66/100)</f>
        <v>0.60770965584919734</v>
      </c>
      <c r="J165" s="125">
        <f>(($C$39*$C$118*0.28)*H$41)*(+'Product half-life and C flows'!P66/100)</f>
        <v>0.30355127664795062</v>
      </c>
      <c r="K165" s="54">
        <f t="shared" si="16"/>
        <v>1.3434381331919276</v>
      </c>
      <c r="L165" s="26"/>
      <c r="M165" s="83">
        <f>C$158*(0.4*D$14)*('Product half-life and C flows'!B26/100)</f>
        <v>6.7019926255328333</v>
      </c>
      <c r="N165" s="83">
        <f t="shared" si="34"/>
        <v>1.6158903296459175</v>
      </c>
      <c r="O165" s="83">
        <f t="shared" si="39"/>
        <v>23.063658997738134</v>
      </c>
      <c r="P165" s="83">
        <f t="shared" si="39"/>
        <v>12.300618132127003</v>
      </c>
      <c r="Q165" s="83">
        <f>C$158*(0.6*C$15)*('Product half-life and C flows'!L26/100)</f>
        <v>34.510406084485815</v>
      </c>
      <c r="R165" s="83">
        <f>C$158*0.6*('Product half-life and C flows'!N26/100)</f>
        <v>2.6219697359929812</v>
      </c>
      <c r="S165" s="83">
        <f>C$158*0.6*('Product half-life and C flows'!P26/100)</f>
        <v>1.3096751928036872</v>
      </c>
      <c r="T165" s="83">
        <f t="shared" si="40"/>
        <v>21.910476047851219</v>
      </c>
      <c r="U165" s="3"/>
      <c r="V165" s="88"/>
      <c r="W165" s="88"/>
      <c r="X165" s="88"/>
      <c r="Y165" s="88"/>
      <c r="Z165" s="88"/>
      <c r="AA165" s="88"/>
      <c r="AB165" s="88"/>
      <c r="AC165" s="88"/>
      <c r="AE165">
        <f t="shared" si="21"/>
        <v>7</v>
      </c>
      <c r="AF165" s="3">
        <f>(C$158*$AF$76)*('Product half-life and C flows'!B26/100)</f>
        <v>50.264944691496247</v>
      </c>
      <c r="AG165" s="3">
        <f t="shared" si="35"/>
        <v>0.57737419025747405</v>
      </c>
      <c r="AH165" s="3"/>
      <c r="AI165" s="3">
        <f t="shared" si="36"/>
        <v>50.842318881753719</v>
      </c>
      <c r="AJ165" s="113">
        <f t="shared" si="22"/>
        <v>94.17303556736168</v>
      </c>
      <c r="AK165" s="124">
        <f t="shared" si="24"/>
        <v>7.0982483382435415</v>
      </c>
      <c r="AL165" s="124">
        <f t="shared" si="25"/>
        <v>1.6158903296459175</v>
      </c>
      <c r="AM165" s="124">
        <f t="shared" si="26"/>
        <v>29.124282154994951</v>
      </c>
      <c r="AN165" s="124">
        <f t="shared" si="27"/>
        <v>13.054829013918962</v>
      </c>
      <c r="AO165" s="124">
        <f t="shared" si="28"/>
        <v>35.653109983493884</v>
      </c>
      <c r="AP165" s="124">
        <f t="shared" si="29"/>
        <v>3.2296793918421787</v>
      </c>
      <c r="AQ165" s="124">
        <f t="shared" si="30"/>
        <v>1.6132264694516378</v>
      </c>
      <c r="AR165" s="124">
        <f t="shared" si="31"/>
        <v>23.253914181043147</v>
      </c>
      <c r="AS165" s="3">
        <f t="shared" si="37"/>
        <v>114.64317986263421</v>
      </c>
    </row>
    <row r="166" spans="1:45" ht="14">
      <c r="A166">
        <f t="shared" si="38"/>
        <v>8</v>
      </c>
      <c r="B166" s="21">
        <v>88</v>
      </c>
      <c r="C166" s="26">
        <f t="shared" si="33"/>
        <v>95.369002723123899</v>
      </c>
      <c r="D166" s="125">
        <f>(($C$39*$C$118*0.72)*D$40)*('Product half-life and C flows'!B67/100)</f>
        <v>0.38275778845127956</v>
      </c>
      <c r="E166" s="26"/>
      <c r="F166" s="54">
        <f t="shared" si="32"/>
        <v>6.0606231572568161</v>
      </c>
      <c r="G166" s="54">
        <f t="shared" si="32"/>
        <v>0.7542108817919595</v>
      </c>
      <c r="H166" s="125">
        <f>(H$118)*('Product half-life and C flows'!L67/100)</f>
        <v>1.1252373875889439</v>
      </c>
      <c r="I166" s="125">
        <f>(($C$39*$C$118*0.28)*H$41)*('Product half-life and C flows'!N67/100)</f>
        <v>0.61645164481447046</v>
      </c>
      <c r="J166" s="125">
        <f>(($C$39*$C$118*0.28)*H$41)*(+'Product half-life and C flows'!P67/100)</f>
        <v>0.30791790450273232</v>
      </c>
      <c r="K166" s="54">
        <f t="shared" si="16"/>
        <v>1.3434381331919276</v>
      </c>
      <c r="L166" s="26"/>
      <c r="M166" s="83">
        <f>C$158*(0.4*D$14)*('Product half-life and C flows'!B27/100)</f>
        <v>6.4736981531885718</v>
      </c>
      <c r="N166" s="83">
        <f t="shared" si="34"/>
        <v>2.2784052810626787</v>
      </c>
      <c r="O166" s="83">
        <f t="shared" si="39"/>
        <v>23.063658997738134</v>
      </c>
      <c r="P166" s="83">
        <f t="shared" si="39"/>
        <v>12.300618132127003</v>
      </c>
      <c r="Q166" s="83">
        <f>C$158*(0.6*C$15)*('Product half-life and C flows'!L27/100)</f>
        <v>33.982906001151349</v>
      </c>
      <c r="R166" s="83">
        <f>C$158*0.6*('Product half-life and C flows'!N27/100)</f>
        <v>2.973988124938185</v>
      </c>
      <c r="S166" s="83">
        <f>C$158*0.6*('Product half-life and C flows'!P27/100)</f>
        <v>1.4855085539151776</v>
      </c>
      <c r="T166" s="83">
        <f t="shared" si="40"/>
        <v>21.910476047851219</v>
      </c>
      <c r="U166" s="3"/>
      <c r="V166" s="88"/>
      <c r="W166" s="88"/>
      <c r="X166" s="88"/>
      <c r="Y166" s="88"/>
      <c r="Z166" s="88"/>
      <c r="AA166" s="88"/>
      <c r="AB166" s="88"/>
      <c r="AC166" s="88"/>
      <c r="AE166">
        <f t="shared" si="21"/>
        <v>8</v>
      </c>
      <c r="AF166" s="3">
        <f>(C$158*$AF$76)*('Product half-life and C flows'!B27/100)</f>
        <v>48.552736148914285</v>
      </c>
      <c r="AG166" s="3">
        <f t="shared" si="35"/>
        <v>0.81409757834256891</v>
      </c>
      <c r="AH166" s="3"/>
      <c r="AI166" s="3">
        <f t="shared" si="36"/>
        <v>49.366833727256854</v>
      </c>
      <c r="AJ166" s="113">
        <f t="shared" si="22"/>
        <v>95.369002723123899</v>
      </c>
      <c r="AK166" s="124">
        <f t="shared" si="24"/>
        <v>6.8564559416398509</v>
      </c>
      <c r="AL166" s="124">
        <f t="shared" si="25"/>
        <v>2.2784052810626787</v>
      </c>
      <c r="AM166" s="124">
        <f t="shared" si="26"/>
        <v>29.124282154994951</v>
      </c>
      <c r="AN166" s="124">
        <f t="shared" si="27"/>
        <v>13.054829013918962</v>
      </c>
      <c r="AO166" s="124">
        <f t="shared" si="28"/>
        <v>35.108143388740295</v>
      </c>
      <c r="AP166" s="124">
        <f t="shared" si="29"/>
        <v>3.5904397697526553</v>
      </c>
      <c r="AQ166" s="124">
        <f t="shared" si="30"/>
        <v>1.7934264584179098</v>
      </c>
      <c r="AR166" s="124">
        <f t="shared" si="31"/>
        <v>23.253914181043147</v>
      </c>
      <c r="AS166" s="3">
        <f t="shared" si="37"/>
        <v>115.05989618957044</v>
      </c>
    </row>
    <row r="167" spans="1:45" ht="14">
      <c r="A167">
        <f t="shared" si="38"/>
        <v>9</v>
      </c>
      <c r="B167" s="21">
        <v>89</v>
      </c>
      <c r="C167" s="26">
        <f t="shared" si="33"/>
        <v>96.551073338095861</v>
      </c>
      <c r="D167" s="125">
        <f>(($C$39*$C$118*0.72)*D$40)*('Product half-life and C flows'!B68/100)</f>
        <v>0.36971965304402166</v>
      </c>
      <c r="E167" s="26"/>
      <c r="F167" s="54">
        <f t="shared" si="32"/>
        <v>6.0606231572568161</v>
      </c>
      <c r="G167" s="54">
        <f t="shared" si="32"/>
        <v>0.7542108817919595</v>
      </c>
      <c r="H167" s="125">
        <f>(H$118)*('Product half-life and C flows'!L68/100)</f>
        <v>1.1080378561122319</v>
      </c>
      <c r="I167" s="125">
        <f>(($C$39*$C$118*0.28)*H$41)*('Product half-life and C flows'!N68/100)</f>
        <v>0.62506001031856484</v>
      </c>
      <c r="J167" s="125">
        <f>(($C$39*$C$118*0.28)*H$41)*(+'Product half-life and C flows'!P68/100)</f>
        <v>0.3122177873719103</v>
      </c>
      <c r="K167" s="54">
        <f t="shared" si="16"/>
        <v>1.3434381331919276</v>
      </c>
      <c r="L167" s="26"/>
      <c r="M167" s="83">
        <f>C$158*(0.4*D$14)*('Product half-life and C flows'!B28/100)</f>
        <v>6.253180228658521</v>
      </c>
      <c r="N167" s="83">
        <f t="shared" si="34"/>
        <v>3.0655233705876594</v>
      </c>
      <c r="O167" s="83">
        <f t="shared" si="39"/>
        <v>23.063658997738134</v>
      </c>
      <c r="P167" s="83">
        <f t="shared" si="39"/>
        <v>12.300618132127003</v>
      </c>
      <c r="Q167" s="83">
        <f>C$158*(0.6*C$15)*('Product half-life and C flows'!L28/100)</f>
        <v>33.463468886917745</v>
      </c>
      <c r="R167" s="83">
        <f>C$158*0.6*('Product half-life and C flows'!N28/100)</f>
        <v>3.3206258258367409</v>
      </c>
      <c r="S167" s="83">
        <f>C$158*0.6*('Product half-life and C flows'!P28/100)</f>
        <v>1.6586542586597108</v>
      </c>
      <c r="T167" s="83">
        <f t="shared" si="40"/>
        <v>21.910476047851219</v>
      </c>
      <c r="U167" s="3"/>
      <c r="V167" s="88"/>
      <c r="W167" s="88"/>
      <c r="X167" s="88"/>
      <c r="Y167" s="88"/>
      <c r="Z167" s="88"/>
      <c r="AA167" s="88"/>
      <c r="AB167" s="88"/>
      <c r="AC167" s="88"/>
      <c r="AE167">
        <f t="shared" si="21"/>
        <v>9</v>
      </c>
      <c r="AF167" s="3">
        <f>(C$158*$AF$76)*('Product half-life and C flows'!B28/100)</f>
        <v>46.898851714938907</v>
      </c>
      <c r="AG167" s="3">
        <f t="shared" si="35"/>
        <v>1.0953429458274277</v>
      </c>
      <c r="AH167" s="3"/>
      <c r="AI167" s="3">
        <f t="shared" si="36"/>
        <v>47.994194660766333</v>
      </c>
      <c r="AJ167" s="113">
        <f t="shared" si="22"/>
        <v>96.551073338095861</v>
      </c>
      <c r="AK167" s="124">
        <f t="shared" si="24"/>
        <v>6.6228998817025424</v>
      </c>
      <c r="AL167" s="124">
        <f t="shared" si="25"/>
        <v>3.0655233705876594</v>
      </c>
      <c r="AM167" s="124">
        <f t="shared" si="26"/>
        <v>29.124282154994951</v>
      </c>
      <c r="AN167" s="124">
        <f t="shared" si="27"/>
        <v>13.054829013918962</v>
      </c>
      <c r="AO167" s="124">
        <f t="shared" si="28"/>
        <v>34.571506743029978</v>
      </c>
      <c r="AP167" s="124">
        <f t="shared" si="29"/>
        <v>3.945685836155306</v>
      </c>
      <c r="AQ167" s="124">
        <f t="shared" si="30"/>
        <v>1.9708720460316211</v>
      </c>
      <c r="AR167" s="124">
        <f t="shared" si="31"/>
        <v>23.253914181043147</v>
      </c>
      <c r="AS167" s="3">
        <f t="shared" si="37"/>
        <v>115.60951322746415</v>
      </c>
    </row>
    <row r="168" spans="1:45" ht="14">
      <c r="A168">
        <f t="shared" si="38"/>
        <v>10</v>
      </c>
      <c r="B168" s="21">
        <v>90</v>
      </c>
      <c r="C168" s="26">
        <f t="shared" si="33"/>
        <v>97.71917758904894</v>
      </c>
      <c r="D168" s="125">
        <f>(($C$39*$C$118*0.72)*D$40)*('Product half-life and C flows'!B69/100)</f>
        <v>0.35712564439270988</v>
      </c>
      <c r="E168" s="26"/>
      <c r="F168" s="54">
        <f t="shared" ref="F168:G183" si="41">F167</f>
        <v>6.0606231572568161</v>
      </c>
      <c r="G168" s="54">
        <f t="shared" si="41"/>
        <v>0.7542108817919595</v>
      </c>
      <c r="H168" s="125">
        <f>(H$118)*('Product half-life and C flows'!L69/100)</f>
        <v>1.0911012237235533</v>
      </c>
      <c r="I168" s="125">
        <f>(($C$39*$C$118*0.28)*H$41)*('Product half-life and C flows'!N69/100)</f>
        <v>0.63353679482909853</v>
      </c>
      <c r="J168" s="125">
        <f>(($C$39*$C$118*0.28)*H$41)*(+'Product half-life and C flows'!P69/100)</f>
        <v>0.31645194546908006</v>
      </c>
      <c r="K168" s="54">
        <f t="shared" si="16"/>
        <v>1.3434381331919276</v>
      </c>
      <c r="L168" s="26"/>
      <c r="M168" s="83">
        <f>C$158*(0.4*D$14)*('Product half-life and C flows'!B29/100)</f>
        <v>6.040173954175839</v>
      </c>
      <c r="N168" s="83">
        <f t="shared" si="34"/>
        <v>3.9752622463725169</v>
      </c>
      <c r="O168" s="83">
        <f t="shared" si="39"/>
        <v>23.063658997738134</v>
      </c>
      <c r="P168" s="83">
        <f t="shared" si="39"/>
        <v>12.300618132127003</v>
      </c>
      <c r="Q168" s="83">
        <f>C$158*(0.6*C$15)*('Product half-life and C flows'!L29/100)</f>
        <v>32.951971497310232</v>
      </c>
      <c r="R168" s="83">
        <f>C$158*0.6*('Product half-life and C flows'!N29/100)</f>
        <v>3.6619650838348217</v>
      </c>
      <c r="S168" s="83">
        <f>C$158*0.6*('Product half-life and C flows'!P29/100)</f>
        <v>1.8291533885288822</v>
      </c>
      <c r="T168" s="83">
        <f t="shared" si="40"/>
        <v>21.910476047851219</v>
      </c>
      <c r="U168" s="3"/>
      <c r="V168" s="88"/>
      <c r="W168" s="88"/>
      <c r="X168" s="88"/>
      <c r="Y168" s="88"/>
      <c r="Z168" s="88"/>
      <c r="AA168" s="88"/>
      <c r="AB168" s="88"/>
      <c r="AC168" s="88"/>
      <c r="AE168">
        <f t="shared" si="21"/>
        <v>10</v>
      </c>
      <c r="AF168" s="3">
        <f>(C$158*$AF$76)*('Product half-life and C flows'!B29/100)</f>
        <v>45.301304656318784</v>
      </c>
      <c r="AG168" s="3">
        <f t="shared" si="35"/>
        <v>1.4204019780620747</v>
      </c>
      <c r="AH168" s="3"/>
      <c r="AI168" s="3">
        <f t="shared" si="36"/>
        <v>46.721706634380858</v>
      </c>
      <c r="AJ168" s="113">
        <f t="shared" si="22"/>
        <v>97.71917758904894</v>
      </c>
      <c r="AK168" s="124">
        <f t="shared" si="24"/>
        <v>6.3972995985685488</v>
      </c>
      <c r="AL168" s="124">
        <f t="shared" si="25"/>
        <v>3.9752622463725169</v>
      </c>
      <c r="AM168" s="124">
        <f t="shared" si="26"/>
        <v>29.124282154994951</v>
      </c>
      <c r="AN168" s="124">
        <f t="shared" si="27"/>
        <v>13.054829013918962</v>
      </c>
      <c r="AO168" s="124">
        <f t="shared" si="28"/>
        <v>34.043072721033788</v>
      </c>
      <c r="AP168" s="124">
        <f t="shared" si="29"/>
        <v>4.2955018786639201</v>
      </c>
      <c r="AQ168" s="124">
        <f t="shared" si="30"/>
        <v>2.1456053339979624</v>
      </c>
      <c r="AR168" s="124">
        <f t="shared" si="31"/>
        <v>23.253914181043147</v>
      </c>
      <c r="AS168" s="3">
        <f t="shared" si="37"/>
        <v>116.28976712859378</v>
      </c>
    </row>
    <row r="169" spans="1:45" ht="14">
      <c r="A169">
        <f t="shared" si="38"/>
        <v>11</v>
      </c>
      <c r="B169" s="21">
        <v>91</v>
      </c>
      <c r="C169" s="26">
        <f t="shared" si="33"/>
        <v>98.87325830960242</v>
      </c>
      <c r="D169" s="125">
        <f>(($C$39*$C$118*0.72)*D$40)*('Product half-life and C flows'!B70/100)</f>
        <v>0.34496063390961418</v>
      </c>
      <c r="E169" s="26"/>
      <c r="F169" s="54">
        <f t="shared" si="41"/>
        <v>6.0606231572568161</v>
      </c>
      <c r="G169" s="54">
        <f t="shared" si="41"/>
        <v>0.7542108817919595</v>
      </c>
      <c r="H169" s="125">
        <f>(H$118)*('Product half-life and C flows'!L70/100)</f>
        <v>1.0744234719453944</v>
      </c>
      <c r="I169" s="125">
        <f>(($C$39*$C$118*0.28)*H$41)*('Product half-life and C flows'!N70/100)</f>
        <v>0.641884009594067</v>
      </c>
      <c r="J169" s="125">
        <f>(($C$39*$C$118*0.28)*H$41)*(+'Product half-life and C flows'!P70/100)</f>
        <v>0.32062138341361973</v>
      </c>
      <c r="K169" s="54">
        <f t="shared" si="16"/>
        <v>1.3434381331919276</v>
      </c>
      <c r="L169" s="26"/>
      <c r="M169" s="83">
        <f>C$158*(0.4*D$14)*('Product half-life and C flows'!B30/100)</f>
        <v>5.8344234553640772</v>
      </c>
      <c r="N169" s="83">
        <f t="shared" si="34"/>
        <v>5.0038566008813614</v>
      </c>
      <c r="O169" s="83">
        <f t="shared" si="39"/>
        <v>23.063658997738134</v>
      </c>
      <c r="P169" s="83">
        <f t="shared" si="39"/>
        <v>12.300618132127003</v>
      </c>
      <c r="Q169" s="83">
        <f>C$158*(0.6*C$15)*('Product half-life and C flows'!L30/100)</f>
        <v>32.448292471676268</v>
      </c>
      <c r="R169" s="83">
        <f>C$158*0.6*('Product half-life and C flows'!N30/100)</f>
        <v>3.9980868869412203</v>
      </c>
      <c r="S169" s="83">
        <f>C$158*0.6*('Product half-life and C flows'!P30/100)</f>
        <v>1.9970463970735366</v>
      </c>
      <c r="T169" s="83">
        <f t="shared" si="40"/>
        <v>21.910476047851219</v>
      </c>
      <c r="U169" s="3"/>
      <c r="V169" s="88"/>
      <c r="W169" s="88"/>
      <c r="X169" s="88"/>
      <c r="Y169" s="88"/>
      <c r="Z169" s="88"/>
      <c r="AA169" s="88"/>
      <c r="AB169" s="88"/>
      <c r="AC169" s="88"/>
      <c r="AE169">
        <f t="shared" si="21"/>
        <v>11</v>
      </c>
      <c r="AF169" s="3">
        <f>(C$158*$AF$76)*('Product half-life and C flows'!B30/100)</f>
        <v>43.758175915230574</v>
      </c>
      <c r="AG169" s="3">
        <f t="shared" si="35"/>
        <v>1.7879292920401766</v>
      </c>
      <c r="AH169" s="3"/>
      <c r="AI169" s="3">
        <f t="shared" si="36"/>
        <v>45.546105207270749</v>
      </c>
      <c r="AJ169" s="113">
        <f t="shared" si="22"/>
        <v>98.87325830960242</v>
      </c>
      <c r="AK169" s="124">
        <f t="shared" si="24"/>
        <v>6.1793840892736913</v>
      </c>
      <c r="AL169" s="124">
        <f t="shared" si="25"/>
        <v>5.0038566008813614</v>
      </c>
      <c r="AM169" s="124">
        <f t="shared" si="26"/>
        <v>29.124282154994951</v>
      </c>
      <c r="AN169" s="124">
        <f t="shared" si="27"/>
        <v>13.054829013918962</v>
      </c>
      <c r="AO169" s="124">
        <f t="shared" si="28"/>
        <v>33.522715943621662</v>
      </c>
      <c r="AP169" s="124">
        <f t="shared" si="29"/>
        <v>4.6399708965352868</v>
      </c>
      <c r="AQ169" s="124">
        <f t="shared" si="30"/>
        <v>2.3176677804871564</v>
      </c>
      <c r="AR169" s="124">
        <f t="shared" si="31"/>
        <v>23.253914181043147</v>
      </c>
      <c r="AS169" s="3">
        <f t="shared" si="37"/>
        <v>117.09662066075622</v>
      </c>
    </row>
    <row r="170" spans="1:45" ht="14">
      <c r="A170">
        <f t="shared" si="38"/>
        <v>12</v>
      </c>
      <c r="B170" s="21">
        <v>92</v>
      </c>
      <c r="C170" s="26">
        <f t="shared" si="33"/>
        <v>100.0132704287426</v>
      </c>
      <c r="D170" s="125">
        <f>(($C$39*$C$118*0.72)*D$40)*('Product half-life and C flows'!B71/100)</f>
        <v>0.33321000834224013</v>
      </c>
      <c r="E170" s="26"/>
      <c r="F170" s="54">
        <f t="shared" si="41"/>
        <v>6.0606231572568161</v>
      </c>
      <c r="G170" s="54">
        <f t="shared" si="41"/>
        <v>0.7542108817919595</v>
      </c>
      <c r="H170" s="125">
        <f>(H$118)*('Product half-life and C flows'!L71/100)</f>
        <v>1.0580006437236629</v>
      </c>
      <c r="I170" s="125">
        <f>(($C$39*$C$118*0.28)*H$41)*('Product half-life and C flows'!N71/100)</f>
        <v>0.65010363511904368</v>
      </c>
      <c r="J170" s="125">
        <f>(($C$39*$C$118*0.28)*H$41)*(+'Product half-life and C flows'!P71/100)</f>
        <v>0.32472709046905263</v>
      </c>
      <c r="K170" s="54">
        <f t="shared" si="16"/>
        <v>1.3434381331919276</v>
      </c>
      <c r="L170" s="26"/>
      <c r="M170" s="83">
        <f>C$158*(0.4*D$14)*('Product half-life and C flows'!B31/100)</f>
        <v>5.6356815738673891</v>
      </c>
      <c r="N170" s="83">
        <f t="shared" si="34"/>
        <v>6.1461563011223976</v>
      </c>
      <c r="O170" s="83">
        <f t="shared" si="39"/>
        <v>23.063658997738134</v>
      </c>
      <c r="P170" s="83">
        <f t="shared" si="39"/>
        <v>12.300618132127003</v>
      </c>
      <c r="Q170" s="83">
        <f>C$158*(0.6*C$15)*('Product half-life and C flows'!L31/100)</f>
        <v>31.952312304390862</v>
      </c>
      <c r="R170" s="83">
        <f>C$158*0.6*('Product half-life and C flows'!N31/100)</f>
        <v>4.3290709852430149</v>
      </c>
      <c r="S170" s="83">
        <f>C$158*0.6*('Product half-life and C flows'!P31/100)</f>
        <v>2.1623731195020053</v>
      </c>
      <c r="T170" s="83">
        <f t="shared" si="40"/>
        <v>21.910476047851219</v>
      </c>
      <c r="U170" s="3"/>
      <c r="V170" s="88"/>
      <c r="W170" s="88"/>
      <c r="X170" s="88"/>
      <c r="Y170" s="88"/>
      <c r="Z170" s="88"/>
      <c r="AA170" s="88"/>
      <c r="AB170" s="88"/>
      <c r="AC170" s="88"/>
      <c r="AE170">
        <f t="shared" si="21"/>
        <v>12</v>
      </c>
      <c r="AF170" s="3">
        <f>(C$158*$AF$76)*('Product half-life and C flows'!B31/100)</f>
        <v>42.267611804005419</v>
      </c>
      <c r="AG170" s="3">
        <f t="shared" si="35"/>
        <v>2.1960846924147455</v>
      </c>
      <c r="AH170" s="3"/>
      <c r="AI170" s="3">
        <f t="shared" si="36"/>
        <v>44.463696496420162</v>
      </c>
      <c r="AJ170" s="113">
        <f t="shared" si="22"/>
        <v>100.0132704287426</v>
      </c>
      <c r="AK170" s="124">
        <f t="shared" si="24"/>
        <v>5.9688915822096291</v>
      </c>
      <c r="AL170" s="124">
        <f t="shared" si="25"/>
        <v>6.1461563011223976</v>
      </c>
      <c r="AM170" s="124">
        <f t="shared" si="26"/>
        <v>29.124282154994951</v>
      </c>
      <c r="AN170" s="124">
        <f t="shared" si="27"/>
        <v>13.054829013918962</v>
      </c>
      <c r="AO170" s="124">
        <f t="shared" si="28"/>
        <v>33.010312948114525</v>
      </c>
      <c r="AP170" s="124">
        <f t="shared" si="29"/>
        <v>4.979174620362059</v>
      </c>
      <c r="AQ170" s="124">
        <f t="shared" si="30"/>
        <v>2.4871002099710577</v>
      </c>
      <c r="AR170" s="124">
        <f t="shared" si="31"/>
        <v>23.253914181043147</v>
      </c>
      <c r="AS170" s="3">
        <f t="shared" si="37"/>
        <v>118.02466101173673</v>
      </c>
    </row>
    <row r="171" spans="1:45" ht="14">
      <c r="A171">
        <f t="shared" si="38"/>
        <v>13</v>
      </c>
      <c r="B171" s="21">
        <v>93</v>
      </c>
      <c r="C171" s="26">
        <f t="shared" si="33"/>
        <v>101.13918042500804</v>
      </c>
      <c r="D171" s="125">
        <f>(($C$39*$C$118*0.72)*D$40)*('Product half-life and C flows'!B72/100)</f>
        <v>0.32185965221912066</v>
      </c>
      <c r="E171" s="26"/>
      <c r="F171" s="54">
        <f t="shared" si="41"/>
        <v>6.0606231572568161</v>
      </c>
      <c r="G171" s="54">
        <f t="shared" si="41"/>
        <v>0.7542108817919595</v>
      </c>
      <c r="H171" s="125">
        <f>(H$118)*('Product half-life and C flows'!L72/100)</f>
        <v>1.0418288424888158</v>
      </c>
      <c r="I171" s="125">
        <f>(($C$39*$C$118*0.28)*H$41)*('Product half-life and C flows'!N72/100)</f>
        <v>0.65819762163708462</v>
      </c>
      <c r="J171" s="125">
        <f>(($C$39*$C$118*0.28)*H$41)*(+'Product half-life and C flows'!P72/100)</f>
        <v>0.32877004077776445</v>
      </c>
      <c r="K171" s="54">
        <f t="shared" si="16"/>
        <v>1.3434381331919276</v>
      </c>
      <c r="L171" s="26"/>
      <c r="M171" s="83">
        <f>C$158*(0.4*D$14)*('Product half-life and C flows'!B32/100)</f>
        <v>5.4437095704508627</v>
      </c>
      <c r="N171" s="83">
        <f t="shared" si="34"/>
        <v>7.3959627350682862</v>
      </c>
      <c r="O171" s="83">
        <f t="shared" si="39"/>
        <v>23.063658997738134</v>
      </c>
      <c r="P171" s="83">
        <f t="shared" si="39"/>
        <v>12.300618132127003</v>
      </c>
      <c r="Q171" s="83">
        <f>C$158*(0.6*C$15)*('Product half-life and C flows'!L32/100)</f>
        <v>31.463913316502037</v>
      </c>
      <c r="R171" s="83">
        <f>C$158*0.6*('Product half-life and C flows'!N32/100)</f>
        <v>4.6549959098274911</v>
      </c>
      <c r="S171" s="83">
        <f>C$158*0.6*('Product half-life and C flows'!P32/100)</f>
        <v>2.3251727821316144</v>
      </c>
      <c r="T171" s="83">
        <f t="shared" si="40"/>
        <v>21.910476047851219</v>
      </c>
      <c r="U171" s="3"/>
      <c r="V171" s="88"/>
      <c r="W171" s="88"/>
      <c r="X171" s="88"/>
      <c r="Y171" s="88"/>
      <c r="Z171" s="88"/>
      <c r="AA171" s="88"/>
      <c r="AB171" s="88"/>
      <c r="AC171" s="88"/>
      <c r="AE171">
        <f t="shared" si="21"/>
        <v>13</v>
      </c>
      <c r="AF171" s="3">
        <f>(C$158*$AF$76)*('Product half-life and C flows'!B32/100)</f>
        <v>40.827821778381463</v>
      </c>
      <c r="AG171" s="3">
        <f t="shared" si="35"/>
        <v>2.6426533515243094</v>
      </c>
      <c r="AH171" s="3"/>
      <c r="AI171" s="3">
        <f t="shared" si="36"/>
        <v>43.470475129905772</v>
      </c>
      <c r="AJ171" s="113">
        <f t="shared" si="22"/>
        <v>101.13918042500804</v>
      </c>
      <c r="AK171" s="124">
        <f t="shared" si="24"/>
        <v>5.7655692226699831</v>
      </c>
      <c r="AL171" s="124">
        <f t="shared" si="25"/>
        <v>7.3959627350682862</v>
      </c>
      <c r="AM171" s="124">
        <f t="shared" si="26"/>
        <v>29.124282154994951</v>
      </c>
      <c r="AN171" s="124">
        <f t="shared" si="27"/>
        <v>13.054829013918962</v>
      </c>
      <c r="AO171" s="124">
        <f t="shared" si="28"/>
        <v>32.505742158990856</v>
      </c>
      <c r="AP171" s="124">
        <f t="shared" si="29"/>
        <v>5.3131935314645755</v>
      </c>
      <c r="AQ171" s="124">
        <f t="shared" si="30"/>
        <v>2.6539428229093787</v>
      </c>
      <c r="AR171" s="124">
        <f t="shared" si="31"/>
        <v>23.253914181043147</v>
      </c>
      <c r="AS171" s="3">
        <f t="shared" si="37"/>
        <v>119.06743582106014</v>
      </c>
    </row>
    <row r="172" spans="1:45" ht="14">
      <c r="A172">
        <f t="shared" si="38"/>
        <v>14</v>
      </c>
      <c r="B172" s="21">
        <v>94</v>
      </c>
      <c r="C172" s="26">
        <f t="shared" si="33"/>
        <v>102.25096579629684</v>
      </c>
      <c r="D172" s="125">
        <f>(($C$39*$C$118*0.72)*D$40)*('Product half-life and C flows'!B73/100)</f>
        <v>0.31089593089356488</v>
      </c>
      <c r="E172" s="26"/>
      <c r="F172" s="54">
        <f t="shared" si="41"/>
        <v>6.0606231572568161</v>
      </c>
      <c r="G172" s="54">
        <f t="shared" si="41"/>
        <v>0.7542108817919595</v>
      </c>
      <c r="H172" s="125">
        <f>(H$118)*('Product half-life and C flows'!L73/100)</f>
        <v>1.0259042312313387</v>
      </c>
      <c r="I172" s="125">
        <f>(($C$39*$C$118*0.28)*H$41)*('Product half-life and C flows'!N73/100)</f>
        <v>0.66616788957145179</v>
      </c>
      <c r="J172" s="125">
        <f>(($C$39*$C$118*0.28)*H$41)*(+'Product half-life and C flows'!P73/100)</f>
        <v>0.33275119359213368</v>
      </c>
      <c r="K172" s="54">
        <f t="shared" si="16"/>
        <v>1.3434381331919276</v>
      </c>
      <c r="L172" s="26"/>
      <c r="M172" s="83">
        <f>C$158*(0.4*D$14)*('Product half-life and C flows'!B33/100)</f>
        <v>5.2582768382143534</v>
      </c>
      <c r="N172" s="83">
        <f t="shared" si="34"/>
        <v>8.7463117144652891</v>
      </c>
      <c r="O172" s="83">
        <f t="shared" si="39"/>
        <v>23.063658997738134</v>
      </c>
      <c r="P172" s="83">
        <f t="shared" si="39"/>
        <v>12.300618132127003</v>
      </c>
      <c r="Q172" s="83">
        <f>C$158*(0.6*C$15)*('Product half-life and C flows'!L33/100)</f>
        <v>30.982979627809666</v>
      </c>
      <c r="R172" s="83">
        <f>C$158*0.6*('Product half-life and C flows'!N33/100)</f>
        <v>4.9759389914148668</v>
      </c>
      <c r="S172" s="83">
        <f>C$158*0.6*('Product half-life and C flows'!P33/100)</f>
        <v>2.4854840116957377</v>
      </c>
      <c r="T172" s="83">
        <f t="shared" si="40"/>
        <v>21.910476047851219</v>
      </c>
      <c r="U172" s="3"/>
      <c r="V172" s="88"/>
      <c r="W172" s="88"/>
      <c r="X172" s="88"/>
      <c r="Y172" s="88"/>
      <c r="Z172" s="88"/>
      <c r="AA172" s="88"/>
      <c r="AB172" s="88"/>
      <c r="AC172" s="88"/>
      <c r="AE172">
        <f t="shared" si="21"/>
        <v>14</v>
      </c>
      <c r="AF172" s="3">
        <f>(C$158*$AF$76)*('Product half-life and C flows'!B33/100)</f>
        <v>39.437076286607649</v>
      </c>
      <c r="AG172" s="3">
        <f t="shared" si="35"/>
        <v>3.1251468934685782</v>
      </c>
      <c r="AH172" s="3"/>
      <c r="AI172" s="3">
        <f t="shared" si="36"/>
        <v>42.562223180076231</v>
      </c>
      <c r="AJ172" s="113">
        <f t="shared" si="22"/>
        <v>102.25096579629684</v>
      </c>
      <c r="AK172" s="124">
        <f t="shared" si="24"/>
        <v>5.5691727691079187</v>
      </c>
      <c r="AL172" s="124">
        <f t="shared" si="25"/>
        <v>8.7463117144652891</v>
      </c>
      <c r="AM172" s="124">
        <f t="shared" si="26"/>
        <v>29.124282154994951</v>
      </c>
      <c r="AN172" s="124">
        <f t="shared" si="27"/>
        <v>13.054829013918962</v>
      </c>
      <c r="AO172" s="124">
        <f t="shared" si="28"/>
        <v>32.008883859041006</v>
      </c>
      <c r="AP172" s="124">
        <f t="shared" si="29"/>
        <v>5.6421068809863186</v>
      </c>
      <c r="AQ172" s="124">
        <f t="shared" si="30"/>
        <v>2.8182352052878716</v>
      </c>
      <c r="AR172" s="124">
        <f t="shared" si="31"/>
        <v>23.253914181043147</v>
      </c>
      <c r="AS172" s="3">
        <f t="shared" si="37"/>
        <v>120.21773577884547</v>
      </c>
    </row>
    <row r="173" spans="1:45" ht="14">
      <c r="A173">
        <f t="shared" si="38"/>
        <v>15</v>
      </c>
      <c r="B173" s="21">
        <v>95</v>
      </c>
      <c r="C173" s="26">
        <f t="shared" si="33"/>
        <v>103.34861454521752</v>
      </c>
      <c r="D173" s="125">
        <f>(($C$39*$C$118*0.72)*D$40)*('Product half-life and C flows'!B74/100)</f>
        <v>0.30030567416500253</v>
      </c>
      <c r="E173" s="26"/>
      <c r="F173" s="54">
        <f t="shared" si="41"/>
        <v>6.0606231572568161</v>
      </c>
      <c r="G173" s="54">
        <f t="shared" si="41"/>
        <v>0.7542108817919595</v>
      </c>
      <c r="H173" s="125">
        <f>(H$118)*('Product half-life and C flows'!L74/100)</f>
        <v>1.0102230315913552</v>
      </c>
      <c r="I173" s="125">
        <f>(($C$39*$C$118*0.28)*H$41)*('Product half-life and C flows'!N74/100)</f>
        <v>0.6740163299912636</v>
      </c>
      <c r="J173" s="125">
        <f>(($C$39*$C$118*0.28)*H$41)*(+'Product half-life and C flows'!P74/100)</f>
        <v>0.33667149350212955</v>
      </c>
      <c r="K173" s="54">
        <f t="shared" si="16"/>
        <v>1.3434381331919276</v>
      </c>
      <c r="L173" s="26"/>
      <c r="M173" s="83">
        <f>C$158*(0.4*D$14)*('Product half-life and C flows'!B34/100)</f>
        <v>5.0791606255753168</v>
      </c>
      <c r="N173" s="83">
        <f t="shared" si="34"/>
        <v>10.189710224502418</v>
      </c>
      <c r="O173" s="83">
        <f t="shared" si="39"/>
        <v>23.063658997738134</v>
      </c>
      <c r="P173" s="83">
        <f t="shared" si="39"/>
        <v>12.300618132127003</v>
      </c>
      <c r="Q173" s="83">
        <f>C$158*(0.6*C$15)*('Product half-life and C flows'!L34/100)</f>
        <v>30.509397129371113</v>
      </c>
      <c r="R173" s="83">
        <f>C$158*0.6*('Product half-life and C flows'!N34/100)</f>
        <v>5.2919763787061953</v>
      </c>
      <c r="S173" s="83">
        <f>C$158*0.6*('Product half-life and C flows'!P34/100)</f>
        <v>2.6433448445085883</v>
      </c>
      <c r="T173" s="83">
        <f t="shared" si="40"/>
        <v>21.910476047851219</v>
      </c>
      <c r="U173" s="3"/>
      <c r="V173" s="88"/>
      <c r="W173" s="88"/>
      <c r="X173" s="88"/>
      <c r="Y173" s="88"/>
      <c r="Z173" s="88"/>
      <c r="AA173" s="88"/>
      <c r="AB173" s="88"/>
      <c r="AC173" s="88"/>
      <c r="AE173">
        <f t="shared" si="21"/>
        <v>15</v>
      </c>
      <c r="AF173" s="3">
        <f>(C$158*$AF$76)*('Product half-life and C flows'!B34/100)</f>
        <v>38.093704691814871</v>
      </c>
      <c r="AG173" s="3">
        <f t="shared" si="35"/>
        <v>3.6408879871937612</v>
      </c>
      <c r="AH173" s="3"/>
      <c r="AI173" s="3">
        <f t="shared" si="36"/>
        <v>41.734592679008635</v>
      </c>
      <c r="AJ173" s="113">
        <f t="shared" si="22"/>
        <v>103.34861454521752</v>
      </c>
      <c r="AK173" s="124">
        <f t="shared" si="24"/>
        <v>5.3794662997403195</v>
      </c>
      <c r="AL173" s="124">
        <f t="shared" si="25"/>
        <v>10.189710224502418</v>
      </c>
      <c r="AM173" s="124">
        <f t="shared" si="26"/>
        <v>29.124282154994951</v>
      </c>
      <c r="AN173" s="124">
        <f t="shared" si="27"/>
        <v>13.054829013918962</v>
      </c>
      <c r="AO173" s="124">
        <f t="shared" si="28"/>
        <v>31.519620160962468</v>
      </c>
      <c r="AP173" s="124">
        <f t="shared" si="29"/>
        <v>5.9659927086974589</v>
      </c>
      <c r="AQ173" s="124">
        <f t="shared" si="30"/>
        <v>2.9800163380107181</v>
      </c>
      <c r="AR173" s="124">
        <f t="shared" si="31"/>
        <v>23.253914181043147</v>
      </c>
      <c r="AS173" s="3">
        <f t="shared" si="37"/>
        <v>121.46783108187044</v>
      </c>
    </row>
    <row r="174" spans="1:45" ht="14">
      <c r="A174">
        <f t="shared" si="38"/>
        <v>16</v>
      </c>
      <c r="B174" s="21">
        <v>96</v>
      </c>
      <c r="C174" s="26">
        <f t="shared" si="33"/>
        <v>104.43212467987155</v>
      </c>
      <c r="D174" s="125">
        <f>(($C$39*$C$118*0.72)*D$40)*('Product half-life and C flows'!B75/100)</f>
        <v>0.29007616045824347</v>
      </c>
      <c r="E174" s="26"/>
      <c r="F174" s="54">
        <f t="shared" si="41"/>
        <v>6.0606231572568161</v>
      </c>
      <c r="G174" s="54">
        <f t="shared" si="41"/>
        <v>0.7542108817919595</v>
      </c>
      <c r="H174" s="125">
        <f>(H$118)*('Product half-life and C flows'!L75/100)</f>
        <v>0.99478152296215372</v>
      </c>
      <c r="I174" s="125">
        <f>(($C$39*$C$118*0.28)*H$41)*('Product half-life and C flows'!N75/100)</f>
        <v>0.68174480506017898</v>
      </c>
      <c r="J174" s="125">
        <f>(($C$39*$C$118*0.28)*H$41)*(+'Product half-life and C flows'!P75/100)</f>
        <v>0.34053187065942991</v>
      </c>
      <c r="K174" s="54">
        <f t="shared" si="16"/>
        <v>1.3434381331919276</v>
      </c>
      <c r="L174" s="26"/>
      <c r="M174" s="83">
        <f>C$158*(0.4*D$14)*('Product half-life and C flows'!B35/100)</f>
        <v>4.9061457686878436</v>
      </c>
      <c r="N174" s="83">
        <f t="shared" si="34"/>
        <v>11.718333388083606</v>
      </c>
      <c r="O174" s="83">
        <f t="shared" si="39"/>
        <v>23.063658997738134</v>
      </c>
      <c r="P174" s="83">
        <f t="shared" si="39"/>
        <v>12.300618132127003</v>
      </c>
      <c r="Q174" s="83">
        <f>C$158*(0.6*C$15)*('Product half-life and C flows'!L35/100)</f>
        <v>30.043053456427124</v>
      </c>
      <c r="R174" s="83">
        <f>C$158*0.6*('Product half-life and C flows'!N35/100)</f>
        <v>5.6031830564508187</v>
      </c>
      <c r="S174" s="83">
        <f>C$158*0.6*('Product half-life and C flows'!P35/100)</f>
        <v>2.7987927354899194</v>
      </c>
      <c r="T174" s="83">
        <f t="shared" si="40"/>
        <v>21.910476047851219</v>
      </c>
      <c r="U174" s="3"/>
      <c r="V174" s="88"/>
      <c r="W174" s="88"/>
      <c r="X174" s="88"/>
      <c r="Y174" s="88"/>
      <c r="Z174" s="88"/>
      <c r="AA174" s="88"/>
      <c r="AB174" s="88"/>
      <c r="AC174" s="88"/>
      <c r="AE174">
        <f t="shared" si="21"/>
        <v>16</v>
      </c>
      <c r="AF174" s="3">
        <f>(C$158*$AF$76)*('Product half-life and C flows'!B35/100)</f>
        <v>36.796093265158824</v>
      </c>
      <c r="AG174" s="3">
        <f t="shared" si="35"/>
        <v>4.1870807238474326</v>
      </c>
      <c r="AH174" s="3"/>
      <c r="AI174" s="3">
        <f t="shared" si="36"/>
        <v>40.983173989006254</v>
      </c>
      <c r="AJ174" s="113">
        <f t="shared" si="22"/>
        <v>104.43212467987155</v>
      </c>
      <c r="AK174" s="124">
        <f t="shared" si="24"/>
        <v>5.1962219291460867</v>
      </c>
      <c r="AL174" s="124">
        <f t="shared" si="25"/>
        <v>11.718333388083606</v>
      </c>
      <c r="AM174" s="124">
        <f t="shared" si="26"/>
        <v>29.124282154994951</v>
      </c>
      <c r="AN174" s="124">
        <f t="shared" si="27"/>
        <v>13.054829013918962</v>
      </c>
      <c r="AO174" s="124">
        <f t="shared" si="28"/>
        <v>31.037834979389277</v>
      </c>
      <c r="AP174" s="124">
        <f t="shared" si="29"/>
        <v>6.2849278615109974</v>
      </c>
      <c r="AQ174" s="124">
        <f t="shared" si="30"/>
        <v>3.1393246061493492</v>
      </c>
      <c r="AR174" s="124">
        <f t="shared" si="31"/>
        <v>23.253914181043147</v>
      </c>
      <c r="AS174" s="3">
        <f t="shared" si="37"/>
        <v>122.80966811423636</v>
      </c>
    </row>
    <row r="175" spans="1:45" ht="14">
      <c r="A175">
        <f t="shared" si="38"/>
        <v>17</v>
      </c>
      <c r="B175" s="21">
        <v>97</v>
      </c>
      <c r="C175" s="26">
        <f t="shared" si="33"/>
        <v>105.50150372992968</v>
      </c>
      <c r="D175" s="125">
        <f>(($C$39*$C$118*0.72)*D$40)*('Product half-life and C flows'!B76/100)</f>
        <v>0.28019510154165006</v>
      </c>
      <c r="E175" s="26"/>
      <c r="F175" s="54">
        <f t="shared" si="41"/>
        <v>6.0606231572568161</v>
      </c>
      <c r="G175" s="54">
        <f t="shared" si="41"/>
        <v>0.7542108817919595</v>
      </c>
      <c r="H175" s="125">
        <f>(H$118)*('Product half-life and C flows'!L76/100)</f>
        <v>0.97957604160741441</v>
      </c>
      <c r="I175" s="125">
        <f>(($C$39*$C$118*0.28)*H$41)*('Product half-life and C flows'!N76/100)</f>
        <v>0.68935514847822599</v>
      </c>
      <c r="J175" s="125">
        <f>(($C$39*$C$118*0.28)*H$41)*(+'Product half-life and C flows'!P76/100)</f>
        <v>0.34433324099811474</v>
      </c>
      <c r="K175" s="54">
        <f t="shared" si="16"/>
        <v>1.3434381331919276</v>
      </c>
      <c r="L175" s="26"/>
      <c r="M175" s="83">
        <f>C$158*(0.4*D$14)*('Product half-life and C flows'!B36/100)</f>
        <v>4.7390244329765006</v>
      </c>
      <c r="N175" s="83">
        <f t="shared" si="34"/>
        <v>13.324187201714368</v>
      </c>
      <c r="O175" s="83">
        <f t="shared" si="39"/>
        <v>23.063658997738134</v>
      </c>
      <c r="P175" s="83">
        <f t="shared" si="39"/>
        <v>12.300618132127003</v>
      </c>
      <c r="Q175" s="83">
        <f>C$158*(0.6*C$15)*('Product half-life and C flows'!L36/100)</f>
        <v>29.583837961741541</v>
      </c>
      <c r="R175" s="83">
        <f>C$158*0.6*('Product half-life and C flows'!N36/100)</f>
        <v>5.9096328632376611</v>
      </c>
      <c r="S175" s="83">
        <f>C$158*0.6*('Product half-life and C flows'!P36/100)</f>
        <v>2.9518645670517789</v>
      </c>
      <c r="T175" s="83">
        <f t="shared" si="40"/>
        <v>21.910476047851219</v>
      </c>
      <c r="U175" s="3"/>
      <c r="V175" s="88"/>
      <c r="W175" s="88"/>
      <c r="X175" s="88"/>
      <c r="Y175" s="88"/>
      <c r="Z175" s="88"/>
      <c r="AA175" s="88"/>
      <c r="AB175" s="88"/>
      <c r="AC175" s="88"/>
      <c r="AE175">
        <f t="shared" si="21"/>
        <v>17</v>
      </c>
      <c r="AF175" s="3">
        <f>(C$158*$AF$76)*('Product half-life and C flows'!B36/100)</f>
        <v>35.542683247323751</v>
      </c>
      <c r="AG175" s="3">
        <f t="shared" si="35"/>
        <v>4.760868763980147</v>
      </c>
      <c r="AH175" s="3"/>
      <c r="AI175" s="3">
        <f t="shared" si="36"/>
        <v>40.3035520113039</v>
      </c>
      <c r="AJ175" s="113">
        <f t="shared" si="22"/>
        <v>105.50150372992968</v>
      </c>
      <c r="AK175" s="124">
        <f t="shared" si="24"/>
        <v>5.0192195345181503</v>
      </c>
      <c r="AL175" s="124">
        <f t="shared" si="25"/>
        <v>13.324187201714368</v>
      </c>
      <c r="AM175" s="124">
        <f t="shared" si="26"/>
        <v>29.124282154994951</v>
      </c>
      <c r="AN175" s="124">
        <f t="shared" si="27"/>
        <v>13.054829013918962</v>
      </c>
      <c r="AO175" s="124">
        <f t="shared" si="28"/>
        <v>30.563414003348957</v>
      </c>
      <c r="AP175" s="124">
        <f t="shared" si="29"/>
        <v>6.5989880117158872</v>
      </c>
      <c r="AQ175" s="124">
        <f t="shared" si="30"/>
        <v>3.2961978080498935</v>
      </c>
      <c r="AR175" s="124">
        <f t="shared" si="31"/>
        <v>23.253914181043147</v>
      </c>
      <c r="AS175" s="3">
        <f t="shared" si="37"/>
        <v>124.23503190930431</v>
      </c>
    </row>
    <row r="176" spans="1:45" ht="14">
      <c r="A176">
        <f t="shared" si="38"/>
        <v>18</v>
      </c>
      <c r="B176" s="21">
        <v>98</v>
      </c>
      <c r="C176" s="26">
        <f t="shared" si="33"/>
        <v>106.55676827783559</v>
      </c>
      <c r="D176" s="125">
        <f>(($C$39*$C$118*0.72)*D$40)*('Product half-life and C flows'!B77/100)</f>
        <v>0.27065062776586585</v>
      </c>
      <c r="E176" s="26"/>
      <c r="F176" s="54">
        <f t="shared" si="41"/>
        <v>6.0606231572568161</v>
      </c>
      <c r="G176" s="54">
        <f t="shared" si="41"/>
        <v>0.7542108817919595</v>
      </c>
      <c r="H176" s="125">
        <f>(H$118)*('Product half-life and C flows'!L77/100)</f>
        <v>0.96460297979193321</v>
      </c>
      <c r="I176" s="125">
        <f>(($C$39*$C$118*0.28)*H$41)*('Product half-life and C flows'!N77/100)</f>
        <v>0.6968491659168744</v>
      </c>
      <c r="J176" s="125">
        <f>(($C$39*$C$118*0.28)*H$41)*(+'Product half-life and C flows'!P77/100)</f>
        <v>0.34807650645198501</v>
      </c>
      <c r="K176" s="54">
        <f t="shared" si="16"/>
        <v>1.3434381331919276</v>
      </c>
      <c r="L176" s="26"/>
      <c r="M176" s="83">
        <f>C$158*(0.4*D$14)*('Product half-life and C flows'!B37/100)</f>
        <v>4.5775958634744676</v>
      </c>
      <c r="N176" s="83">
        <f t="shared" si="34"/>
        <v>14.999241888023334</v>
      </c>
      <c r="O176" s="83">
        <f t="shared" ref="O176:P191" si="42">O175</f>
        <v>23.063658997738134</v>
      </c>
      <c r="P176" s="83">
        <f t="shared" si="42"/>
        <v>12.300618132127003</v>
      </c>
      <c r="Q176" s="83">
        <f>C$158*(0.6*C$15)*('Product half-life and C flows'!L37/100)</f>
        <v>29.131641689348573</v>
      </c>
      <c r="R176" s="83">
        <f>C$158*0.6*('Product half-life and C flows'!N37/100)</f>
        <v>6.21139850901457</v>
      </c>
      <c r="S176" s="83">
        <f>C$158*0.6*('Product half-life and C flows'!P37/100)</f>
        <v>3.1025966578494355</v>
      </c>
      <c r="T176" s="83">
        <f t="shared" si="40"/>
        <v>21.910476047851219</v>
      </c>
      <c r="U176" s="3"/>
      <c r="V176" s="88"/>
      <c r="W176" s="88"/>
      <c r="X176" s="88"/>
      <c r="Y176" s="88"/>
      <c r="Z176" s="88"/>
      <c r="AA176" s="88"/>
      <c r="AB176" s="88"/>
      <c r="AC176" s="88"/>
      <c r="AE176">
        <f t="shared" si="21"/>
        <v>18</v>
      </c>
      <c r="AF176" s="3">
        <f>(C$158*$AF$76)*('Product half-life and C flows'!B37/100)</f>
        <v>34.331968976058505</v>
      </c>
      <c r="AG176" s="3">
        <f t="shared" si="35"/>
        <v>5.3593829857692894</v>
      </c>
      <c r="AH176" s="3"/>
      <c r="AI176" s="3">
        <f t="shared" si="36"/>
        <v>39.691351961827792</v>
      </c>
      <c r="AJ176" s="113">
        <f t="shared" si="22"/>
        <v>106.55676827783559</v>
      </c>
      <c r="AK176" s="124">
        <f t="shared" si="24"/>
        <v>4.8482464912403334</v>
      </c>
      <c r="AL176" s="124">
        <f t="shared" si="25"/>
        <v>14.999241888023334</v>
      </c>
      <c r="AM176" s="124">
        <f t="shared" si="26"/>
        <v>29.124282154994951</v>
      </c>
      <c r="AN176" s="124">
        <f t="shared" si="27"/>
        <v>13.054829013918962</v>
      </c>
      <c r="AO176" s="124">
        <f t="shared" si="28"/>
        <v>30.096244669140507</v>
      </c>
      <c r="AP176" s="124">
        <f t="shared" si="29"/>
        <v>6.9082476749314443</v>
      </c>
      <c r="AQ176" s="124">
        <f t="shared" si="30"/>
        <v>3.4506731643014206</v>
      </c>
      <c r="AR176" s="124">
        <f t="shared" si="31"/>
        <v>23.253914181043147</v>
      </c>
      <c r="AS176" s="3">
        <f t="shared" si="37"/>
        <v>125.7356792375941</v>
      </c>
    </row>
    <row r="177" spans="1:45" ht="14">
      <c r="A177">
        <f t="shared" si="38"/>
        <v>19</v>
      </c>
      <c r="B177" s="21">
        <v>99</v>
      </c>
      <c r="C177" s="26">
        <f t="shared" si="33"/>
        <v>107.59794350495081</v>
      </c>
      <c r="D177" s="125">
        <f>(($C$39*$C$118*0.72)*D$40)*('Product half-life and C flows'!B78/100)</f>
        <v>0.26143127380536518</v>
      </c>
      <c r="E177" s="26"/>
      <c r="F177" s="54">
        <f t="shared" si="41"/>
        <v>6.0606231572568161</v>
      </c>
      <c r="G177" s="54">
        <f t="shared" si="41"/>
        <v>0.7542108817919595</v>
      </c>
      <c r="H177" s="125">
        <f>(H$118)*('Product half-life and C flows'!L78/100)</f>
        <v>0.9498587849256297</v>
      </c>
      <c r="I177" s="125">
        <f>(($C$39*$C$118*0.28)*H$41)*('Product half-life and C flows'!N78/100)</f>
        <v>0.70422863544745928</v>
      </c>
      <c r="J177" s="125">
        <f>(($C$39*$C$118*0.28)*H$41)*(+'Product half-life and C flows'!P78/100)</f>
        <v>0.35176255516856092</v>
      </c>
      <c r="K177" s="54">
        <f t="shared" si="16"/>
        <v>1.3434381331919276</v>
      </c>
      <c r="L177" s="26"/>
      <c r="M177" s="83">
        <f>C$158*(0.4*D$14)*('Product half-life and C flows'!B38/100)</f>
        <v>4.4216661436660862</v>
      </c>
      <c r="N177" s="83">
        <f t="shared" si="34"/>
        <v>16.7355400849764</v>
      </c>
      <c r="O177" s="83">
        <f t="shared" si="42"/>
        <v>23.063658997738134</v>
      </c>
      <c r="P177" s="83">
        <f t="shared" si="42"/>
        <v>12.300618132127003</v>
      </c>
      <c r="Q177" s="83">
        <f>C$158*(0.6*C$15)*('Product half-life and C flows'!L38/100)</f>
        <v>28.686357348701257</v>
      </c>
      <c r="R177" s="83">
        <f>C$158*0.6*('Product half-life and C flows'!N38/100)</f>
        <v>6.5085515923398818</v>
      </c>
      <c r="S177" s="83">
        <f>C$158*0.6*('Product half-life and C flows'!P38/100)</f>
        <v>3.2510247713985421</v>
      </c>
      <c r="T177" s="83">
        <f t="shared" si="40"/>
        <v>21.910476047851219</v>
      </c>
      <c r="U177" s="3"/>
      <c r="V177" s="88"/>
      <c r="W177" s="88"/>
      <c r="X177" s="88"/>
      <c r="Y177" s="88"/>
      <c r="Z177" s="88"/>
      <c r="AA177" s="88"/>
      <c r="AB177" s="88"/>
      <c r="AC177" s="88"/>
      <c r="AE177">
        <f t="shared" si="21"/>
        <v>19</v>
      </c>
      <c r="AF177" s="3">
        <f>(C$158*$AF$76)*('Product half-life and C flows'!B38/100)</f>
        <v>33.162496077495646</v>
      </c>
      <c r="AG177" s="3">
        <f t="shared" si="35"/>
        <v>5.9797801421350689</v>
      </c>
      <c r="AH177" s="3"/>
      <c r="AI177" s="3">
        <f t="shared" si="36"/>
        <v>39.142276219630716</v>
      </c>
      <c r="AJ177" s="113">
        <f t="shared" si="22"/>
        <v>107.59794350495081</v>
      </c>
      <c r="AK177" s="124">
        <f t="shared" si="24"/>
        <v>4.6830974174714513</v>
      </c>
      <c r="AL177" s="124">
        <f t="shared" si="25"/>
        <v>16.7355400849764</v>
      </c>
      <c r="AM177" s="124">
        <f t="shared" si="26"/>
        <v>29.124282154994951</v>
      </c>
      <c r="AN177" s="124">
        <f t="shared" si="27"/>
        <v>13.054829013918962</v>
      </c>
      <c r="AO177" s="124">
        <f t="shared" si="28"/>
        <v>29.636216133626888</v>
      </c>
      <c r="AP177" s="124">
        <f t="shared" si="29"/>
        <v>7.2127802277873414</v>
      </c>
      <c r="AQ177" s="124">
        <f t="shared" si="30"/>
        <v>3.6027873265671029</v>
      </c>
      <c r="AR177" s="124">
        <f t="shared" si="31"/>
        <v>23.253914181043147</v>
      </c>
      <c r="AS177" s="3">
        <f t="shared" si="37"/>
        <v>127.30344654038623</v>
      </c>
    </row>
    <row r="178" spans="1:45" ht="14">
      <c r="A178">
        <f t="shared" si="38"/>
        <v>20</v>
      </c>
      <c r="B178" s="21">
        <v>100</v>
      </c>
      <c r="C178" s="26">
        <f t="shared" si="33"/>
        <v>108.62506275243267</v>
      </c>
      <c r="D178" s="125">
        <f>(($C$39*$C$118*0.72)*D$40)*('Product half-life and C flows'!B79/100)</f>
        <v>0.25252596488570067</v>
      </c>
      <c r="E178" s="26"/>
      <c r="F178" s="54">
        <f t="shared" si="41"/>
        <v>6.0606231572568161</v>
      </c>
      <c r="G178" s="54">
        <f t="shared" si="41"/>
        <v>0.7542108817919595</v>
      </c>
      <c r="H178" s="125">
        <f>(H$118)*('Product half-life and C flows'!L79/100)</f>
        <v>0.93533995872064057</v>
      </c>
      <c r="I178" s="125">
        <f>(($C$39*$C$118*0.28)*H$41)*('Product half-life and C flows'!N79/100)</f>
        <v>0.71149530796305638</v>
      </c>
      <c r="J178" s="125">
        <f>(($C$39*$C$118*0.28)*H$41)*(+'Product half-life and C flows'!P79/100)</f>
        <v>0.3553922617198082</v>
      </c>
      <c r="K178" s="54">
        <f t="shared" si="16"/>
        <v>1.3434381331919276</v>
      </c>
      <c r="L178" s="26"/>
      <c r="M178" s="83">
        <f>C$158*(0.4*D$14)*('Product half-life and C flows'!B39/100)</f>
        <v>4.271047962544098</v>
      </c>
      <c r="N178" s="83">
        <f t="shared" si="34"/>
        <v>18.5252835435601</v>
      </c>
      <c r="O178" s="83">
        <f t="shared" si="42"/>
        <v>23.063658997738134</v>
      </c>
      <c r="P178" s="83">
        <f t="shared" si="42"/>
        <v>12.300618132127003</v>
      </c>
      <c r="Q178" s="83">
        <f>C$158*(0.6*C$15)*('Product half-life and C flows'!L39/100)</f>
        <v>28.24787928921516</v>
      </c>
      <c r="R178" s="83">
        <f>C$158*0.6*('Product half-life and C flows'!N39/100)</f>
        <v>6.8011626173702675</v>
      </c>
      <c r="S178" s="83">
        <f>C$158*0.6*('Product half-life and C flows'!P39/100)</f>
        <v>3.3971841245605732</v>
      </c>
      <c r="T178" s="83">
        <f t="shared" si="40"/>
        <v>21.910476047851219</v>
      </c>
      <c r="U178" s="3"/>
      <c r="V178" s="88"/>
      <c r="W178" s="88"/>
      <c r="X178" s="88"/>
      <c r="Y178" s="88"/>
      <c r="Z178" s="88"/>
      <c r="AA178" s="88"/>
      <c r="AB178" s="88"/>
      <c r="AC178" s="88"/>
      <c r="AE178">
        <f t="shared" si="21"/>
        <v>20</v>
      </c>
      <c r="AF178" s="3">
        <f>(C$158*$AF$76)*('Product half-life and C flows'!B39/100)</f>
        <v>32.032859719080733</v>
      </c>
      <c r="AG178" s="3">
        <f t="shared" si="35"/>
        <v>6.6192738387121182</v>
      </c>
      <c r="AH178" s="3"/>
      <c r="AI178" s="3">
        <f t="shared" si="36"/>
        <v>38.652133557792851</v>
      </c>
      <c r="AJ178" s="113">
        <f t="shared" si="22"/>
        <v>108.62506275243267</v>
      </c>
      <c r="AK178" s="124">
        <f t="shared" si="24"/>
        <v>4.5235739274297986</v>
      </c>
      <c r="AL178" s="124">
        <f t="shared" si="25"/>
        <v>18.5252835435601</v>
      </c>
      <c r="AM178" s="124">
        <f t="shared" si="26"/>
        <v>29.124282154994951</v>
      </c>
      <c r="AN178" s="124">
        <f t="shared" si="27"/>
        <v>13.054829013918962</v>
      </c>
      <c r="AO178" s="124">
        <f t="shared" si="28"/>
        <v>29.183219247935799</v>
      </c>
      <c r="AP178" s="124">
        <f t="shared" si="29"/>
        <v>7.5126579253333237</v>
      </c>
      <c r="AQ178" s="124">
        <f t="shared" si="30"/>
        <v>3.7525763862803814</v>
      </c>
      <c r="AR178" s="124">
        <f t="shared" si="31"/>
        <v>23.253914181043147</v>
      </c>
      <c r="AS178" s="3">
        <f t="shared" si="37"/>
        <v>128.93033638049647</v>
      </c>
    </row>
    <row r="179" spans="1:45" ht="14">
      <c r="A179">
        <f t="shared" si="38"/>
        <v>21</v>
      </c>
      <c r="B179" s="19">
        <f>B178+1</f>
        <v>101</v>
      </c>
      <c r="C179" s="26">
        <f t="shared" si="33"/>
        <v>109.63816709662152</v>
      </c>
      <c r="D179" s="125">
        <f>(($C$39*$C$118*0.72)*D$40)*('Product half-life and C flows'!B80/100)</f>
        <v>0.24392400347989823</v>
      </c>
      <c r="E179" s="26"/>
      <c r="F179" s="54">
        <f t="shared" si="41"/>
        <v>6.0606231572568161</v>
      </c>
      <c r="G179" s="54">
        <f t="shared" si="41"/>
        <v>0.7542108817919595</v>
      </c>
      <c r="H179" s="125">
        <f>(H$118)*('Product half-life and C flows'!L80/100)</f>
        <v>0.9210430563612968</v>
      </c>
      <c r="I179" s="125">
        <f>(($C$39*$C$118*0.28)*H$41)*('Product half-life and C flows'!N80/100)</f>
        <v>0.71865090759390804</v>
      </c>
      <c r="J179" s="125">
        <f>(($C$39*$C$118*0.28)*H$41)*(+'Product half-life and C flows'!P80/100)</f>
        <v>0.3589664873096442</v>
      </c>
      <c r="K179" s="54">
        <f t="shared" si="16"/>
        <v>1.3434381331919276</v>
      </c>
      <c r="L179" s="26"/>
      <c r="M179" s="83">
        <f>C$158*(0.4*D$14)*('Product half-life and C flows'!B40/100)</f>
        <v>4.1255603896017874</v>
      </c>
      <c r="N179" s="83">
        <f t="shared" si="34"/>
        <v>20.360901524976995</v>
      </c>
      <c r="O179" s="83">
        <f t="shared" si="42"/>
        <v>23.063658997738134</v>
      </c>
      <c r="P179" s="83">
        <f t="shared" si="42"/>
        <v>12.300618132127003</v>
      </c>
      <c r="Q179" s="83">
        <f>C$158*(0.6*C$15)*('Product half-life and C flows'!L40/100)</f>
        <v>27.816103475201142</v>
      </c>
      <c r="R179" s="83">
        <f>C$158*0.6*('Product half-life and C flows'!N40/100)</f>
        <v>7.0893010105889553</v>
      </c>
      <c r="S179" s="83">
        <f>C$158*0.6*('Product half-life and C flows'!P40/100)</f>
        <v>3.5411093958985784</v>
      </c>
      <c r="T179" s="83">
        <f t="shared" si="40"/>
        <v>21.910476047851219</v>
      </c>
      <c r="U179" s="3"/>
      <c r="V179" s="88"/>
      <c r="W179" s="88"/>
      <c r="X179" s="88"/>
      <c r="Y179" s="88"/>
      <c r="Z179" s="88"/>
      <c r="AA179" s="88"/>
      <c r="AB179" s="88"/>
      <c r="AC179" s="88"/>
      <c r="AE179">
        <f t="shared" si="21"/>
        <v>21</v>
      </c>
      <c r="AF179" s="3">
        <f>(C$158*$AF$76)*('Product half-life and C flows'!B40/100)</f>
        <v>30.941702922013405</v>
      </c>
      <c r="AG179" s="3">
        <f t="shared" si="35"/>
        <v>7.2751589728690114</v>
      </c>
      <c r="AH179" s="3"/>
      <c r="AI179" s="3">
        <f t="shared" si="36"/>
        <v>38.216861894882413</v>
      </c>
      <c r="AJ179" s="113">
        <f t="shared" si="22"/>
        <v>109.63816709662152</v>
      </c>
      <c r="AK179" s="124">
        <f t="shared" si="24"/>
        <v>4.3694843930816853</v>
      </c>
      <c r="AL179" s="124">
        <f t="shared" si="25"/>
        <v>20.360901524976995</v>
      </c>
      <c r="AM179" s="124">
        <f t="shared" si="26"/>
        <v>29.124282154994951</v>
      </c>
      <c r="AN179" s="124">
        <f t="shared" si="27"/>
        <v>13.054829013918962</v>
      </c>
      <c r="AO179" s="124">
        <f t="shared" si="28"/>
        <v>28.737146531562438</v>
      </c>
      <c r="AP179" s="124">
        <f t="shared" si="29"/>
        <v>7.8079519181828632</v>
      </c>
      <c r="AQ179" s="124">
        <f t="shared" si="30"/>
        <v>3.9000758832082227</v>
      </c>
      <c r="AR179" s="124">
        <f t="shared" si="31"/>
        <v>23.253914181043147</v>
      </c>
      <c r="AS179" s="3">
        <f t="shared" si="37"/>
        <v>130.60858560096926</v>
      </c>
    </row>
    <row r="180" spans="1:45" ht="14">
      <c r="A180">
        <f t="shared" si="38"/>
        <v>22</v>
      </c>
      <c r="B180" s="19">
        <f t="shared" si="38"/>
        <v>102</v>
      </c>
      <c r="C180" s="26">
        <f t="shared" si="33"/>
        <v>110.63730493869643</v>
      </c>
      <c r="D180" s="125">
        <f>(($C$39*$C$118*0.72)*D$40)*('Product half-life and C flows'!B81/100)</f>
        <v>0.23561505645802411</v>
      </c>
      <c r="E180" s="26"/>
      <c r="F180" s="54">
        <f t="shared" si="41"/>
        <v>6.0606231572568161</v>
      </c>
      <c r="G180" s="54">
        <f t="shared" si="41"/>
        <v>0.7542108817919595</v>
      </c>
      <c r="H180" s="125">
        <f>(H$118)*('Product half-life and C flows'!L81/100)</f>
        <v>0.90696468568678767</v>
      </c>
      <c r="I180" s="125">
        <f>(($C$39*$C$118*0.28)*H$41)*('Product half-life and C flows'!N81/100)</f>
        <v>0.72569713211649967</v>
      </c>
      <c r="J180" s="125">
        <f>(($C$39*$C$118*0.28)*H$41)*(+'Product half-life and C flows'!P81/100)</f>
        <v>0.36248607997827142</v>
      </c>
      <c r="K180" s="54">
        <f t="shared" si="16"/>
        <v>1.3434381331919276</v>
      </c>
      <c r="L180" s="26"/>
      <c r="M180" s="83">
        <f>C$158*(0.4*D$14)*('Product half-life and C flows'!B41/100)</f>
        <v>3.985028657489706</v>
      </c>
      <c r="N180" s="83">
        <f t="shared" si="34"/>
        <v>22.235103667138301</v>
      </c>
      <c r="O180" s="83">
        <f t="shared" si="42"/>
        <v>23.063658997738134</v>
      </c>
      <c r="P180" s="83">
        <f t="shared" si="42"/>
        <v>12.300618132127003</v>
      </c>
      <c r="Q180" s="83">
        <f>C$158*(0.6*C$15)*('Product half-life and C flows'!L41/100)</f>
        <v>27.390927461181274</v>
      </c>
      <c r="R180" s="83">
        <f>C$158*0.6*('Product half-life and C flows'!N41/100)</f>
        <v>7.3730351372782161</v>
      </c>
      <c r="S180" s="83">
        <f>C$158*0.6*('Product half-life and C flows'!P41/100)</f>
        <v>3.6828347339052026</v>
      </c>
      <c r="T180" s="83">
        <f t="shared" si="40"/>
        <v>21.910476047851219</v>
      </c>
      <c r="U180" s="3"/>
      <c r="V180" s="88"/>
      <c r="W180" s="88"/>
      <c r="X180" s="88"/>
      <c r="Y180" s="88"/>
      <c r="Z180" s="88"/>
      <c r="AA180" s="88"/>
      <c r="AB180" s="88"/>
      <c r="AC180" s="88"/>
      <c r="AE180">
        <f t="shared" si="21"/>
        <v>22</v>
      </c>
      <c r="AF180" s="3">
        <f>(C$158*$AF$76)*('Product half-life and C flows'!B41/100)</f>
        <v>29.887714931172791</v>
      </c>
      <c r="AG180" s="3">
        <f t="shared" si="35"/>
        <v>7.9448306234483717</v>
      </c>
      <c r="AH180" s="3"/>
      <c r="AI180" s="3">
        <f t="shared" si="36"/>
        <v>37.832545554621163</v>
      </c>
      <c r="AJ180" s="113">
        <f t="shared" si="22"/>
        <v>110.63730493869643</v>
      </c>
      <c r="AK180" s="124">
        <f t="shared" si="24"/>
        <v>4.2206437139477302</v>
      </c>
      <c r="AL180" s="124">
        <f t="shared" si="25"/>
        <v>22.235103667138301</v>
      </c>
      <c r="AM180" s="124">
        <f t="shared" si="26"/>
        <v>29.124282154994951</v>
      </c>
      <c r="AN180" s="124">
        <f t="shared" si="27"/>
        <v>13.054829013918962</v>
      </c>
      <c r="AO180" s="124">
        <f t="shared" si="28"/>
        <v>28.297892146868062</v>
      </c>
      <c r="AP180" s="124">
        <f t="shared" si="29"/>
        <v>8.0987322693947164</v>
      </c>
      <c r="AQ180" s="124">
        <f t="shared" si="30"/>
        <v>4.0453208138834738</v>
      </c>
      <c r="AR180" s="124">
        <f t="shared" si="31"/>
        <v>23.253914181043147</v>
      </c>
      <c r="AS180" s="3">
        <f t="shared" si="37"/>
        <v>132.33071796118935</v>
      </c>
    </row>
    <row r="181" spans="1:45" ht="14">
      <c r="A181">
        <f t="shared" ref="A181:B196" si="43">A180+1</f>
        <v>23</v>
      </c>
      <c r="B181" s="19">
        <f t="shared" si="43"/>
        <v>103</v>
      </c>
      <c r="C181" s="26">
        <f t="shared" si="33"/>
        <v>111.62253160834713</v>
      </c>
      <c r="D181" s="125">
        <f>(($C$39*$C$118*0.72)*D$40)*('Product half-life and C flows'!B82/100)</f>
        <v>0.22758914267448405</v>
      </c>
      <c r="E181" s="26"/>
      <c r="F181" s="54">
        <f t="shared" si="41"/>
        <v>6.0606231572568161</v>
      </c>
      <c r="G181" s="54">
        <f t="shared" si="41"/>
        <v>0.7542108817919595</v>
      </c>
      <c r="H181" s="125">
        <f>(H$118)*('Product half-life and C flows'!L82/100)</f>
        <v>0.89310150638631924</v>
      </c>
      <c r="I181" s="125">
        <f>(($C$39*$C$118*0.28)*H$41)*('Product half-life and C flows'!N82/100)</f>
        <v>0.73263565335638414</v>
      </c>
      <c r="J181" s="125">
        <f>(($C$39*$C$118*0.28)*H$41)*(+'Product half-life and C flows'!P82/100)</f>
        <v>0.36595187480338848</v>
      </c>
      <c r="K181" s="54">
        <f t="shared" si="16"/>
        <v>1.3434381331919276</v>
      </c>
      <c r="L181" s="26"/>
      <c r="M181" s="83">
        <f>C$158*(0.4*D$14)*('Product half-life and C flows'!B42/100)</f>
        <v>3.8492839520759126</v>
      </c>
      <c r="N181" s="83">
        <f t="shared" si="34"/>
        <v>24.140919721338808</v>
      </c>
      <c r="O181" s="83">
        <f t="shared" si="42"/>
        <v>23.063658997738134</v>
      </c>
      <c r="P181" s="83">
        <f t="shared" si="42"/>
        <v>12.300618132127003</v>
      </c>
      <c r="Q181" s="83">
        <f>C$158*(0.6*C$15)*('Product half-life and C flows'!L42/100)</f>
        <v>26.972250367582042</v>
      </c>
      <c r="R181" s="83">
        <f>C$158*0.6*('Product half-life and C flows'!N42/100)</f>
        <v>7.6524323177401028</v>
      </c>
      <c r="S181" s="83">
        <f>C$158*0.6*('Product half-life and C flows'!P42/100)</f>
        <v>3.8223937651049456</v>
      </c>
      <c r="T181" s="83">
        <f t="shared" si="40"/>
        <v>21.910476047851219</v>
      </c>
      <c r="U181" s="3"/>
      <c r="V181" s="88"/>
      <c r="W181" s="88"/>
      <c r="X181" s="88"/>
      <c r="Y181" s="88"/>
      <c r="Z181" s="88"/>
      <c r="AA181" s="88"/>
      <c r="AB181" s="88"/>
      <c r="AC181" s="88"/>
      <c r="AE181">
        <f t="shared" si="21"/>
        <v>23</v>
      </c>
      <c r="AF181" s="3">
        <f>(C$158*$AF$76)*('Product half-life and C flows'!B42/100)</f>
        <v>28.869629640569343</v>
      </c>
      <c r="AG181" s="3">
        <f t="shared" si="35"/>
        <v>8.6257982490884295</v>
      </c>
      <c r="AH181" s="3"/>
      <c r="AI181" s="3">
        <f t="shared" si="36"/>
        <v>37.495427889657776</v>
      </c>
      <c r="AJ181" s="113">
        <f t="shared" si="22"/>
        <v>111.62253160834713</v>
      </c>
      <c r="AK181" s="124">
        <f t="shared" si="24"/>
        <v>4.0768730947503968</v>
      </c>
      <c r="AL181" s="124">
        <f t="shared" si="25"/>
        <v>24.140919721338808</v>
      </c>
      <c r="AM181" s="124">
        <f t="shared" si="26"/>
        <v>29.124282154994951</v>
      </c>
      <c r="AN181" s="124">
        <f t="shared" si="27"/>
        <v>13.054829013918962</v>
      </c>
      <c r="AO181" s="124">
        <f t="shared" si="28"/>
        <v>27.865351873968361</v>
      </c>
      <c r="AP181" s="124">
        <f t="shared" si="29"/>
        <v>8.3850679710964862</v>
      </c>
      <c r="AQ181" s="124">
        <f t="shared" si="30"/>
        <v>4.1883456399083343</v>
      </c>
      <c r="AR181" s="124">
        <f t="shared" si="31"/>
        <v>23.253914181043147</v>
      </c>
      <c r="AS181" s="3">
        <f t="shared" si="37"/>
        <v>134.08958365101947</v>
      </c>
    </row>
    <row r="182" spans="1:45" ht="14">
      <c r="A182">
        <f t="shared" si="43"/>
        <v>24</v>
      </c>
      <c r="B182" s="19">
        <f t="shared" si="43"/>
        <v>104</v>
      </c>
      <c r="C182" s="26">
        <f t="shared" si="33"/>
        <v>112.59390898119706</v>
      </c>
      <c r="D182" s="125">
        <f>(($C$39*$C$118*0.72)*D$40)*('Product half-life and C flows'!B83/100)</f>
        <v>0.21983662097814402</v>
      </c>
      <c r="E182" s="26"/>
      <c r="F182" s="54">
        <f t="shared" si="41"/>
        <v>6.0606231572568161</v>
      </c>
      <c r="G182" s="54">
        <f t="shared" si="41"/>
        <v>0.7542108817919595</v>
      </c>
      <c r="H182" s="125">
        <f>(H$118)*('Product half-life and C flows'!L83/100)</f>
        <v>0.87945022920657268</v>
      </c>
      <c r="I182" s="125">
        <f>(($C$39*$C$118*0.28)*H$41)*('Product half-life and C flows'!N83/100)</f>
        <v>0.73946811758484732</v>
      </c>
      <c r="J182" s="125">
        <f>(($C$39*$C$118*0.28)*H$41)*(+'Product half-life and C flows'!P83/100)</f>
        <v>0.36936469409832517</v>
      </c>
      <c r="K182" s="54">
        <f t="shared" si="16"/>
        <v>1.3434381331919276</v>
      </c>
      <c r="L182" s="26"/>
      <c r="M182" s="83">
        <f>C$158*(0.4*D$14)*('Product half-life and C flows'!B43/100)</f>
        <v>3.7181632096575279</v>
      </c>
      <c r="N182" s="83">
        <f t="shared" si="34"/>
        <v>26.071728237167552</v>
      </c>
      <c r="O182" s="83">
        <f t="shared" si="42"/>
        <v>23.063658997738134</v>
      </c>
      <c r="P182" s="83">
        <f t="shared" si="42"/>
        <v>12.300618132127003</v>
      </c>
      <c r="Q182" s="83">
        <f>C$158*(0.6*C$15)*('Product half-life and C flows'!L43/100)</f>
        <v>26.559972856799167</v>
      </c>
      <c r="R182" s="83">
        <f>C$158*0.6*('Product half-life and C flows'!N43/100)</f>
        <v>7.9275588432692068</v>
      </c>
      <c r="S182" s="83">
        <f>C$158*0.6*('Product half-life and C flows'!P43/100)</f>
        <v>3.9598196020325704</v>
      </c>
      <c r="T182" s="83">
        <f t="shared" si="40"/>
        <v>21.910476047851219</v>
      </c>
      <c r="U182" s="3"/>
      <c r="V182" s="88"/>
      <c r="W182" s="88"/>
      <c r="X182" s="88"/>
      <c r="Y182" s="88"/>
      <c r="Z182" s="88"/>
      <c r="AA182" s="88"/>
      <c r="AB182" s="88"/>
      <c r="AC182" s="88"/>
      <c r="AE182">
        <f t="shared" si="21"/>
        <v>24</v>
      </c>
      <c r="AF182" s="3">
        <f>(C$158*$AF$76)*('Product half-life and C flows'!B43/100)</f>
        <v>27.886224072431457</v>
      </c>
      <c r="AG182" s="3">
        <f t="shared" si="35"/>
        <v>9.315695937635855</v>
      </c>
      <c r="AH182" s="3"/>
      <c r="AI182" s="3">
        <f t="shared" si="36"/>
        <v>37.201920010067312</v>
      </c>
      <c r="AJ182" s="113">
        <f t="shared" si="22"/>
        <v>112.59390898119706</v>
      </c>
      <c r="AK182" s="124">
        <f t="shared" ref="AK182:AK216" si="44">D182+M182+V182</f>
        <v>3.9379998306356718</v>
      </c>
      <c r="AL182" s="124">
        <f t="shared" ref="AL182:AL216" si="45">E182+N182+W182</f>
        <v>26.071728237167552</v>
      </c>
      <c r="AM182" s="124">
        <f t="shared" ref="AM182:AM216" si="46">F182+O182+X182</f>
        <v>29.124282154994951</v>
      </c>
      <c r="AN182" s="124">
        <f t="shared" ref="AN182:AN216" si="47">G182+P182+Y182</f>
        <v>13.054829013918962</v>
      </c>
      <c r="AO182" s="124">
        <f t="shared" ref="AO182:AO216" si="48">H182+Q182+Z182</f>
        <v>27.439423086005739</v>
      </c>
      <c r="AP182" s="124">
        <f t="shared" ref="AP182:AP216" si="49">I182+R182+AA182</f>
        <v>8.667026960854054</v>
      </c>
      <c r="AQ182" s="124">
        <f t="shared" ref="AQ182:AQ216" si="50">J182+S182+AB182</f>
        <v>4.3291842961308955</v>
      </c>
      <c r="AR182" s="124">
        <f t="shared" ref="AR182:AR216" si="51">K182+T182+AC182</f>
        <v>23.253914181043147</v>
      </c>
      <c r="AS182" s="3">
        <f t="shared" si="37"/>
        <v>135.878387760751</v>
      </c>
    </row>
    <row r="183" spans="1:45" ht="14">
      <c r="A183">
        <f t="shared" si="43"/>
        <v>25</v>
      </c>
      <c r="B183" s="19">
        <f t="shared" si="43"/>
        <v>105</v>
      </c>
      <c r="C183" s="26">
        <f t="shared" si="33"/>
        <v>113.55150510970481</v>
      </c>
      <c r="D183" s="125">
        <f>(($C$39*$C$118*0.72)*D$40)*('Product half-life and C flows'!B84/100)</f>
        <v>0.21234817863087113</v>
      </c>
      <c r="E183" s="26"/>
      <c r="F183" s="54">
        <f t="shared" si="41"/>
        <v>6.0606231572568161</v>
      </c>
      <c r="G183" s="54">
        <f t="shared" si="41"/>
        <v>0.7542108817919595</v>
      </c>
      <c r="H183" s="125">
        <f>(H$118)*('Product half-life and C flows'!L84/100)</f>
        <v>0.86600761517127911</v>
      </c>
      <c r="I183" s="125">
        <f>(($C$39*$C$118*0.28)*H$41)*('Product half-life and C flows'!N84/100)</f>
        <v>0.74619614590951167</v>
      </c>
      <c r="J183" s="125">
        <f>(($C$39*$C$118*0.28)*H$41)*(+'Product half-life and C flows'!P84/100)</f>
        <v>0.37272534760714859</v>
      </c>
      <c r="K183" s="54">
        <f t="shared" si="16"/>
        <v>1.3434381331919276</v>
      </c>
      <c r="L183" s="26"/>
      <c r="M183" s="83">
        <f>C$158*(0.4*D$14)*('Product half-life and C flows'!B44/100)</f>
        <v>3.5915089210800133</v>
      </c>
      <c r="N183" s="83">
        <f t="shared" si="34"/>
        <v>28.021275991399175</v>
      </c>
      <c r="O183" s="83">
        <f t="shared" si="42"/>
        <v>23.063658997738134</v>
      </c>
      <c r="P183" s="83">
        <f t="shared" si="42"/>
        <v>12.300618132127003</v>
      </c>
      <c r="Q183" s="83">
        <f>C$158*(0.6*C$15)*('Product half-life and C flows'!L44/100)</f>
        <v>26.153997109628197</v>
      </c>
      <c r="R183" s="83">
        <f>C$158*0.6*('Product half-life and C flows'!N44/100)</f>
        <v>8.1984799918813032</v>
      </c>
      <c r="S183" s="83">
        <f>C$158*0.6*('Product half-life and C flows'!P44/100)</f>
        <v>4.0951448510895618</v>
      </c>
      <c r="T183" s="83">
        <f t="shared" si="40"/>
        <v>21.910476047851219</v>
      </c>
      <c r="U183" s="3"/>
      <c r="V183" s="88"/>
      <c r="W183" s="88"/>
      <c r="X183" s="88"/>
      <c r="Y183" s="88"/>
      <c r="Z183" s="88"/>
      <c r="AA183" s="88"/>
      <c r="AB183" s="88"/>
      <c r="AC183" s="88"/>
      <c r="AE183">
        <f t="shared" si="21"/>
        <v>25</v>
      </c>
      <c r="AF183" s="3">
        <f>(C$158*$AF$76)*('Product half-life and C flows'!B44/100)</f>
        <v>26.936316908100096</v>
      </c>
      <c r="AG183" s="3">
        <f t="shared" si="35"/>
        <v>10.012289348287933</v>
      </c>
      <c r="AH183" s="3"/>
      <c r="AI183" s="3">
        <f t="shared" si="36"/>
        <v>36.948606256388032</v>
      </c>
      <c r="AJ183" s="113">
        <f t="shared" si="22"/>
        <v>113.55150510970481</v>
      </c>
      <c r="AK183" s="124">
        <f t="shared" si="44"/>
        <v>3.8038570997108843</v>
      </c>
      <c r="AL183" s="124">
        <f t="shared" si="45"/>
        <v>28.021275991399175</v>
      </c>
      <c r="AM183" s="124">
        <f t="shared" si="46"/>
        <v>29.124282154994951</v>
      </c>
      <c r="AN183" s="124">
        <f t="shared" si="47"/>
        <v>13.054829013918962</v>
      </c>
      <c r="AO183" s="124">
        <f t="shared" si="48"/>
        <v>27.020004724799477</v>
      </c>
      <c r="AP183" s="124">
        <f t="shared" si="49"/>
        <v>8.9446761377908146</v>
      </c>
      <c r="AQ183" s="124">
        <f t="shared" si="50"/>
        <v>4.4678701986967102</v>
      </c>
      <c r="AR183" s="124">
        <f t="shared" si="51"/>
        <v>23.253914181043147</v>
      </c>
      <c r="AS183" s="3">
        <f t="shared" si="37"/>
        <v>137.69070950235411</v>
      </c>
    </row>
    <row r="184" spans="1:45" ht="14">
      <c r="A184">
        <f t="shared" si="43"/>
        <v>26</v>
      </c>
      <c r="B184" s="19">
        <f t="shared" si="43"/>
        <v>106</v>
      </c>
      <c r="C184" s="26">
        <f t="shared" si="33"/>
        <v>114.4953938672609</v>
      </c>
      <c r="D184" s="125">
        <f>(($C$39*$C$118*0.72)*D$40)*('Product half-life and C flows'!B85/100)</f>
        <v>0.20511482012058099</v>
      </c>
      <c r="E184" s="26"/>
      <c r="F184" s="54">
        <f t="shared" ref="F184:G199" si="52">F183</f>
        <v>6.0606231572568161</v>
      </c>
      <c r="G184" s="54">
        <f t="shared" si="52"/>
        <v>0.7542108817919595</v>
      </c>
      <c r="H184" s="125">
        <f>(H$118)*('Product half-life and C flows'!L85/100)</f>
        <v>0.85277047481272206</v>
      </c>
      <c r="I184" s="125">
        <f>(($C$39*$C$118*0.28)*H$41)*('Product half-life and C flows'!N85/100)</f>
        <v>0.7528213346589695</v>
      </c>
      <c r="J184" s="125">
        <f>(($C$39*$C$118*0.28)*H$41)*(+'Product half-life and C flows'!P85/100)</f>
        <v>0.37603463269678783</v>
      </c>
      <c r="K184" s="54">
        <f t="shared" ref="K184:K238" si="53">K183</f>
        <v>1.3434381331919276</v>
      </c>
      <c r="L184" s="26"/>
      <c r="M184" s="83">
        <f>C$158*(0.4*D$14)*('Product half-life and C flows'!B45/100)</f>
        <v>3.4691689425288605</v>
      </c>
      <c r="N184" s="83">
        <f t="shared" si="34"/>
        <v>29.983689709930267</v>
      </c>
      <c r="O184" s="83">
        <f t="shared" si="42"/>
        <v>23.063658997738134</v>
      </c>
      <c r="P184" s="83">
        <f t="shared" si="42"/>
        <v>12.300618132127003</v>
      </c>
      <c r="Q184" s="83">
        <f>C$158*(0.6*C$15)*('Product half-life and C flows'!L45/100)</f>
        <v>25.754226802055364</v>
      </c>
      <c r="R184" s="83">
        <f>C$158*0.6*('Product half-life and C flows'!N45/100)</f>
        <v>8.4652600438015728</v>
      </c>
      <c r="S184" s="83">
        <f>C$158*0.6*('Product half-life and C flows'!P45/100)</f>
        <v>4.2284016202805059</v>
      </c>
      <c r="T184" s="83">
        <f t="shared" si="40"/>
        <v>21.910476047851219</v>
      </c>
      <c r="U184" s="3"/>
      <c r="V184" s="88"/>
      <c r="W184" s="88"/>
      <c r="X184" s="88"/>
      <c r="Y184" s="88"/>
      <c r="Z184" s="88"/>
      <c r="AA184" s="88"/>
      <c r="AB184" s="88"/>
      <c r="AC184" s="88"/>
      <c r="AE184">
        <f t="shared" si="21"/>
        <v>26</v>
      </c>
      <c r="AF184" s="3">
        <f>(C$158*$AF$76)*('Product half-life and C flows'!B45/100)</f>
        <v>26.018767068966454</v>
      </c>
      <c r="AG184" s="3">
        <f t="shared" si="35"/>
        <v>10.713479899960662</v>
      </c>
      <c r="AH184" s="3"/>
      <c r="AI184" s="3">
        <f t="shared" si="36"/>
        <v>36.732246968927114</v>
      </c>
      <c r="AJ184" s="113">
        <f t="shared" si="22"/>
        <v>114.4953938672609</v>
      </c>
      <c r="AK184" s="124">
        <f t="shared" si="44"/>
        <v>3.6742837626494413</v>
      </c>
      <c r="AL184" s="124">
        <f t="shared" si="45"/>
        <v>29.983689709930267</v>
      </c>
      <c r="AM184" s="124">
        <f t="shared" si="46"/>
        <v>29.124282154994951</v>
      </c>
      <c r="AN184" s="124">
        <f t="shared" si="47"/>
        <v>13.054829013918962</v>
      </c>
      <c r="AO184" s="124">
        <f t="shared" si="48"/>
        <v>26.606997276868086</v>
      </c>
      <c r="AP184" s="124">
        <f t="shared" si="49"/>
        <v>9.2180813784605427</v>
      </c>
      <c r="AQ184" s="124">
        <f t="shared" si="50"/>
        <v>4.604436252977294</v>
      </c>
      <c r="AR184" s="124">
        <f t="shared" si="51"/>
        <v>23.253914181043147</v>
      </c>
      <c r="AS184" s="3">
        <f t="shared" si="37"/>
        <v>139.52051373084268</v>
      </c>
    </row>
    <row r="185" spans="1:45" ht="14">
      <c r="A185">
        <f t="shared" si="43"/>
        <v>27</v>
      </c>
      <c r="B185" s="19">
        <f t="shared" si="43"/>
        <v>107</v>
      </c>
      <c r="C185" s="26">
        <f t="shared" si="33"/>
        <v>115.42565460519332</v>
      </c>
      <c r="D185" s="125">
        <f>(($C$39*$C$118*0.72)*D$40)*('Product half-life and C flows'!B86/100)</f>
        <v>0.19812785635535404</v>
      </c>
      <c r="E185" s="26"/>
      <c r="F185" s="54">
        <f t="shared" si="52"/>
        <v>6.0606231572568161</v>
      </c>
      <c r="G185" s="54">
        <f t="shared" si="52"/>
        <v>0.7542108817919595</v>
      </c>
      <c r="H185" s="125">
        <f>(H$118)*('Product half-life and C flows'!L86/100)</f>
        <v>0.8397356674149874</v>
      </c>
      <c r="I185" s="125">
        <f>(($C$39*$C$118*0.28)*H$41)*('Product half-life and C flows'!N86/100)</f>
        <v>0.75934525576153566</v>
      </c>
      <c r="J185" s="125">
        <f>(($C$39*$C$118*0.28)*H$41)*(+'Product half-life and C flows'!P86/100)</f>
        <v>0.37929333454622149</v>
      </c>
      <c r="K185" s="54">
        <f t="shared" si="53"/>
        <v>1.3434381331919276</v>
      </c>
      <c r="L185" s="26"/>
      <c r="M185" s="83">
        <f>C$158*(0.4*D$14)*('Product half-life and C flows'!B46/100)</f>
        <v>3.3509963127664166</v>
      </c>
      <c r="N185" s="83">
        <f t="shared" si="34"/>
        <v>31.953481416457699</v>
      </c>
      <c r="O185" s="83">
        <f t="shared" si="42"/>
        <v>23.063658997738134</v>
      </c>
      <c r="P185" s="83">
        <f t="shared" si="42"/>
        <v>12.300618132127003</v>
      </c>
      <c r="Q185" s="83">
        <f>C$158*(0.6*C$15)*('Product half-life and C flows'!L46/100)</f>
        <v>25.36056708240325</v>
      </c>
      <c r="R185" s="83">
        <f>C$158*0.6*('Product half-life and C flows'!N46/100)</f>
        <v>8.7279622967160861</v>
      </c>
      <c r="S185" s="83">
        <f>C$158*0.6*('Product half-life and C flows'!P46/100)</f>
        <v>4.3596215268312113</v>
      </c>
      <c r="T185" s="83">
        <f t="shared" si="40"/>
        <v>21.910476047851219</v>
      </c>
      <c r="U185" s="3"/>
      <c r="V185" s="88"/>
      <c r="W185" s="88"/>
      <c r="X185" s="88"/>
      <c r="Y185" s="88"/>
      <c r="Z185" s="88"/>
      <c r="AA185" s="88"/>
      <c r="AB185" s="88"/>
      <c r="AC185" s="88"/>
      <c r="AE185">
        <f t="shared" si="21"/>
        <v>27</v>
      </c>
      <c r="AF185" s="3">
        <f>(C$158*$AF$76)*('Product half-life and C flows'!B46/100)</f>
        <v>25.132472345748123</v>
      </c>
      <c r="AG185" s="3">
        <f t="shared" si="35"/>
        <v>11.417306682426386</v>
      </c>
      <c r="AH185" s="3"/>
      <c r="AI185" s="3">
        <f t="shared" si="36"/>
        <v>36.549779028174513</v>
      </c>
      <c r="AJ185" s="113">
        <f t="shared" si="22"/>
        <v>115.42565460519332</v>
      </c>
      <c r="AK185" s="124">
        <f t="shared" si="44"/>
        <v>3.5491241691217708</v>
      </c>
      <c r="AL185" s="124">
        <f t="shared" si="45"/>
        <v>31.953481416457699</v>
      </c>
      <c r="AM185" s="124">
        <f t="shared" si="46"/>
        <v>29.124282154994951</v>
      </c>
      <c r="AN185" s="124">
        <f t="shared" si="47"/>
        <v>13.054829013918962</v>
      </c>
      <c r="AO185" s="124">
        <f t="shared" si="48"/>
        <v>26.200302749818238</v>
      </c>
      <c r="AP185" s="124">
        <f t="shared" si="49"/>
        <v>9.4873075524776223</v>
      </c>
      <c r="AQ185" s="124">
        <f t="shared" si="50"/>
        <v>4.7389148613774328</v>
      </c>
      <c r="AR185" s="124">
        <f t="shared" si="51"/>
        <v>23.253914181043147</v>
      </c>
      <c r="AS185" s="3">
        <f t="shared" si="37"/>
        <v>141.36215609920981</v>
      </c>
    </row>
    <row r="186" spans="1:45" ht="14">
      <c r="A186">
        <f t="shared" si="43"/>
        <v>28</v>
      </c>
      <c r="B186" s="19">
        <f t="shared" si="43"/>
        <v>108</v>
      </c>
      <c r="C186" s="26">
        <f t="shared" si="33"/>
        <v>116.34237182238667</v>
      </c>
      <c r="D186" s="125">
        <f>(($C$39*$C$118*0.72)*D$40)*('Product half-life and C flows'!B87/100)</f>
        <v>0.19137889422563981</v>
      </c>
      <c r="E186" s="26"/>
      <c r="F186" s="54">
        <f t="shared" si="52"/>
        <v>6.0606231572568161</v>
      </c>
      <c r="G186" s="54">
        <f t="shared" si="52"/>
        <v>0.7542108817919595</v>
      </c>
      <c r="H186" s="125">
        <f>(H$118)*('Product half-life and C flows'!L87/100)</f>
        <v>0.82690010026877914</v>
      </c>
      <c r="I186" s="125">
        <f>(($C$39*$C$118*0.28)*H$41)*('Product half-life and C flows'!N87/100)</f>
        <v>0.76576945711821298</v>
      </c>
      <c r="J186" s="125">
        <f>(($C$39*$C$118*0.28)*H$41)*(+'Product half-life and C flows'!P87/100)</f>
        <v>0.38250222633277359</v>
      </c>
      <c r="K186" s="54">
        <f t="shared" si="53"/>
        <v>1.3434381331919276</v>
      </c>
      <c r="L186" s="26"/>
      <c r="M186" s="83">
        <f>C$158*(0.4*D$14)*('Product half-life and C flows'!B47/100)</f>
        <v>3.2368490765942859</v>
      </c>
      <c r="N186" s="83">
        <f t="shared" si="34"/>
        <v>33.925548553733627</v>
      </c>
      <c r="O186" s="83">
        <f t="shared" si="42"/>
        <v>23.063658997738134</v>
      </c>
      <c r="P186" s="83">
        <f t="shared" si="42"/>
        <v>12.300618132127003</v>
      </c>
      <c r="Q186" s="83">
        <f>C$158*(0.6*C$15)*('Product half-life and C flows'!L47/100)</f>
        <v>24.972924548825787</v>
      </c>
      <c r="R186" s="83">
        <f>C$158*0.6*('Product half-life and C flows'!N47/100)</f>
        <v>8.9866490807901087</v>
      </c>
      <c r="S186" s="83">
        <f>C$158*0.6*('Product half-life and C flows'!P47/100)</f>
        <v>4.4888357046903637</v>
      </c>
      <c r="T186" s="83">
        <f t="shared" si="40"/>
        <v>21.910476047851219</v>
      </c>
      <c r="U186" s="3"/>
      <c r="V186" s="88"/>
      <c r="W186" s="88"/>
      <c r="X186" s="88"/>
      <c r="Y186" s="88"/>
      <c r="Z186" s="88"/>
      <c r="AA186" s="88"/>
      <c r="AB186" s="88"/>
      <c r="AC186" s="88"/>
      <c r="AE186">
        <f t="shared" si="21"/>
        <v>28</v>
      </c>
      <c r="AF186" s="3">
        <f>(C$158*$AF$76)*('Product half-life and C flows'!B47/100)</f>
        <v>24.276368074457142</v>
      </c>
      <c r="AG186" s="3">
        <f t="shared" si="35"/>
        <v>12.121946499639455</v>
      </c>
      <c r="AH186" s="3"/>
      <c r="AI186" s="3">
        <f t="shared" si="36"/>
        <v>36.398314574096595</v>
      </c>
      <c r="AJ186" s="113">
        <f t="shared" si="22"/>
        <v>116.34237182238667</v>
      </c>
      <c r="AK186" s="124">
        <f t="shared" si="44"/>
        <v>3.4282279708199255</v>
      </c>
      <c r="AL186" s="124">
        <f t="shared" si="45"/>
        <v>33.925548553733627</v>
      </c>
      <c r="AM186" s="124">
        <f t="shared" si="46"/>
        <v>29.124282154994951</v>
      </c>
      <c r="AN186" s="124">
        <f t="shared" si="47"/>
        <v>13.054829013918962</v>
      </c>
      <c r="AO186" s="124">
        <f t="shared" si="48"/>
        <v>25.799824649094568</v>
      </c>
      <c r="AP186" s="124">
        <f t="shared" si="49"/>
        <v>9.752418537908321</v>
      </c>
      <c r="AQ186" s="124">
        <f t="shared" si="50"/>
        <v>4.8713379310231373</v>
      </c>
      <c r="AR186" s="124">
        <f t="shared" si="51"/>
        <v>23.253914181043147</v>
      </c>
      <c r="AS186" s="3">
        <f t="shared" si="37"/>
        <v>143.21038299253664</v>
      </c>
    </row>
    <row r="187" spans="1:45" ht="14">
      <c r="A187">
        <f t="shared" si="43"/>
        <v>29</v>
      </c>
      <c r="B187" s="19">
        <f t="shared" si="43"/>
        <v>109</v>
      </c>
      <c r="C187" s="26">
        <f t="shared" si="33"/>
        <v>117.24563484721969</v>
      </c>
      <c r="D187" s="125">
        <f>(($C$39*$C$118*0.72)*D$40)*('Product half-life and C flows'!B88/100)</f>
        <v>0.18485982652201088</v>
      </c>
      <c r="E187" s="26"/>
      <c r="F187" s="54">
        <f t="shared" si="52"/>
        <v>6.0606231572568161</v>
      </c>
      <c r="G187" s="54">
        <f t="shared" si="52"/>
        <v>0.7542108817919595</v>
      </c>
      <c r="H187" s="125">
        <f>(H$118)*('Product half-life and C flows'!L88/100)</f>
        <v>0.81426072793762694</v>
      </c>
      <c r="I187" s="125">
        <f>(($C$39*$C$118*0.28)*H$41)*('Product half-life and C flows'!N88/100)</f>
        <v>0.77209546296995457</v>
      </c>
      <c r="J187" s="125">
        <f>(($C$39*$C$118*0.28)*H$41)*(+'Product half-life and C flows'!P88/100)</f>
        <v>0.38566206941556164</v>
      </c>
      <c r="K187" s="54">
        <f t="shared" si="53"/>
        <v>1.3434381331919276</v>
      </c>
      <c r="L187" s="26"/>
      <c r="M187" s="83">
        <f>C$158*(0.4*D$14)*('Product half-life and C flows'!B48/100)</f>
        <v>3.1265901143292618</v>
      </c>
      <c r="N187" s="83">
        <f t="shared" si="34"/>
        <v>35.895169859521509</v>
      </c>
      <c r="O187" s="83">
        <f t="shared" si="42"/>
        <v>23.063658997738134</v>
      </c>
      <c r="P187" s="83">
        <f t="shared" si="42"/>
        <v>12.300618132127003</v>
      </c>
      <c r="Q187" s="83">
        <f>C$158*(0.6*C$15)*('Product half-life and C flows'!L48/100)</f>
        <v>24.591207227147176</v>
      </c>
      <c r="R187" s="83">
        <f>C$158*0.6*('Product half-life and C flows'!N48/100)</f>
        <v>9.2413817734569701</v>
      </c>
      <c r="S187" s="83">
        <f>C$158*0.6*('Product half-life and C flows'!P48/100)</f>
        <v>4.616074811916568</v>
      </c>
      <c r="T187" s="83">
        <f t="shared" si="40"/>
        <v>21.910476047851219</v>
      </c>
      <c r="U187" s="3"/>
      <c r="V187" s="88"/>
      <c r="W187" s="88"/>
      <c r="X187" s="88"/>
      <c r="Y187" s="88"/>
      <c r="Z187" s="88"/>
      <c r="AA187" s="88"/>
      <c r="AB187" s="88"/>
      <c r="AC187" s="88"/>
      <c r="AE187">
        <f t="shared" si="21"/>
        <v>29</v>
      </c>
      <c r="AF187" s="3">
        <f>(C$158*$AF$76)*('Product half-life and C flows'!B48/100)</f>
        <v>23.449425857469461</v>
      </c>
      <c r="AG187" s="3">
        <f t="shared" si="35"/>
        <v>12.825712396173001</v>
      </c>
      <c r="AH187" s="3"/>
      <c r="AI187" s="3">
        <f t="shared" si="36"/>
        <v>36.27513825364246</v>
      </c>
      <c r="AJ187" s="113">
        <f t="shared" si="22"/>
        <v>117.24563484721969</v>
      </c>
      <c r="AK187" s="124">
        <f t="shared" si="44"/>
        <v>3.3114499408512725</v>
      </c>
      <c r="AL187" s="124">
        <f t="shared" si="45"/>
        <v>35.895169859521509</v>
      </c>
      <c r="AM187" s="124">
        <f t="shared" si="46"/>
        <v>29.124282154994951</v>
      </c>
      <c r="AN187" s="124">
        <f t="shared" si="47"/>
        <v>13.054829013918962</v>
      </c>
      <c r="AO187" s="124">
        <f t="shared" si="48"/>
        <v>25.405467955084802</v>
      </c>
      <c r="AP187" s="124">
        <f t="shared" si="49"/>
        <v>10.013477236426924</v>
      </c>
      <c r="AQ187" s="124">
        <f t="shared" si="50"/>
        <v>5.0017368813321292</v>
      </c>
      <c r="AR187" s="124">
        <f t="shared" si="51"/>
        <v>23.253914181043147</v>
      </c>
      <c r="AS187" s="3">
        <f t="shared" si="37"/>
        <v>145.06032722317372</v>
      </c>
    </row>
    <row r="188" spans="1:45" ht="14">
      <c r="A188">
        <f t="shared" si="43"/>
        <v>30</v>
      </c>
      <c r="B188" s="19">
        <f t="shared" si="43"/>
        <v>110</v>
      </c>
      <c r="C188" s="26">
        <f t="shared" si="33"/>
        <v>118.1355375315197</v>
      </c>
      <c r="D188" s="125">
        <f>(($C$39*$C$118*0.72)*D$40)*('Product half-life and C flows'!B89/100)</f>
        <v>0.17856282219635494</v>
      </c>
      <c r="E188" s="26"/>
      <c r="F188" s="54">
        <f t="shared" si="52"/>
        <v>6.0606231572568161</v>
      </c>
      <c r="G188" s="54">
        <f t="shared" si="52"/>
        <v>0.7542108817919595</v>
      </c>
      <c r="H188" s="125">
        <f>(H$118)*('Product half-life and C flows'!L89/100)</f>
        <v>0.80181455153531056</v>
      </c>
      <c r="I188" s="125">
        <f>(($C$39*$C$118*0.28)*H$41)*('Product half-life and C flows'!N89/100)</f>
        <v>0.7783247742593139</v>
      </c>
      <c r="J188" s="125">
        <f>(($C$39*$C$118*0.28)*H$41)*(+'Product half-life and C flows'!P89/100)</f>
        <v>0.38877361351614065</v>
      </c>
      <c r="K188" s="54">
        <f t="shared" si="53"/>
        <v>1.3434381331919276</v>
      </c>
      <c r="L188" s="26"/>
      <c r="M188" s="83">
        <f>C$158*(0.4*D$14)*('Product half-life and C flows'!B49/100)</f>
        <v>3.0200869770879195</v>
      </c>
      <c r="N188" s="83">
        <f t="shared" si="34"/>
        <v>37.85799783686052</v>
      </c>
      <c r="O188" s="83">
        <f t="shared" si="42"/>
        <v>23.063658997738134</v>
      </c>
      <c r="P188" s="83">
        <f t="shared" si="42"/>
        <v>12.300618132127003</v>
      </c>
      <c r="Q188" s="83">
        <f>C$158*(0.6*C$15)*('Product half-life and C flows'!L49/100)</f>
        <v>24.215324549039632</v>
      </c>
      <c r="R188" s="83">
        <f>C$158*0.6*('Product half-life and C flows'!N49/100)</f>
        <v>9.4922208139807385</v>
      </c>
      <c r="S188" s="83">
        <f>C$158*0.6*('Product half-life and C flows'!P49/100)</f>
        <v>4.741369037952416</v>
      </c>
      <c r="T188" s="83">
        <f t="shared" si="40"/>
        <v>21.910476047851219</v>
      </c>
      <c r="U188" s="3"/>
      <c r="V188" s="88"/>
      <c r="W188" s="88"/>
      <c r="X188" s="88"/>
      <c r="Y188" s="88"/>
      <c r="Z188" s="88"/>
      <c r="AA188" s="88"/>
      <c r="AB188" s="88"/>
      <c r="AC188" s="88"/>
      <c r="AE188">
        <f t="shared" si="21"/>
        <v>30</v>
      </c>
      <c r="AF188" s="3">
        <f>(C$158*$AF$76)*('Product half-life and C flows'!B49/100)</f>
        <v>22.650652328159392</v>
      </c>
      <c r="AG188" s="3">
        <f t="shared" si="35"/>
        <v>13.527050966767179</v>
      </c>
      <c r="AH188" s="3"/>
      <c r="AI188" s="3">
        <f t="shared" si="36"/>
        <v>36.177703294926573</v>
      </c>
      <c r="AJ188" s="113">
        <f t="shared" si="22"/>
        <v>118.1355375315197</v>
      </c>
      <c r="AK188" s="124">
        <f t="shared" si="44"/>
        <v>3.1986497992842744</v>
      </c>
      <c r="AL188" s="124">
        <f t="shared" si="45"/>
        <v>37.85799783686052</v>
      </c>
      <c r="AM188" s="124">
        <f t="shared" si="46"/>
        <v>29.124282154994951</v>
      </c>
      <c r="AN188" s="124">
        <f t="shared" si="47"/>
        <v>13.054829013918962</v>
      </c>
      <c r="AO188" s="124">
        <f t="shared" si="48"/>
        <v>25.017139100574944</v>
      </c>
      <c r="AP188" s="124">
        <f t="shared" si="49"/>
        <v>10.270545588240052</v>
      </c>
      <c r="AQ188" s="124">
        <f t="shared" si="50"/>
        <v>5.1301426514685566</v>
      </c>
      <c r="AR188" s="124">
        <f t="shared" si="51"/>
        <v>23.253914181043147</v>
      </c>
      <c r="AS188" s="3">
        <f t="shared" si="37"/>
        <v>146.90750032638542</v>
      </c>
    </row>
    <row r="189" spans="1:45" ht="14">
      <c r="A189">
        <f t="shared" si="43"/>
        <v>31</v>
      </c>
      <c r="B189" s="19">
        <f t="shared" si="43"/>
        <v>111</v>
      </c>
      <c r="C189" s="26">
        <f t="shared" si="33"/>
        <v>119.01217795623283</v>
      </c>
      <c r="D189" s="125">
        <f>(($C$39*$C$118*0.72)*D$40)*('Product half-life and C flows'!B90/100)</f>
        <v>0.17248031695480703</v>
      </c>
      <c r="E189" s="26"/>
      <c r="F189" s="54">
        <f t="shared" si="52"/>
        <v>6.0606231572568161</v>
      </c>
      <c r="G189" s="54">
        <f t="shared" si="52"/>
        <v>0.7542108817919595</v>
      </c>
      <c r="H189" s="125">
        <f>(H$118)*('Product half-life and C flows'!L90/100)</f>
        <v>0.78955861801432536</v>
      </c>
      <c r="I189" s="125">
        <f>(($C$39*$C$118*0.28)*H$41)*('Product half-life and C flows'!N90/100)</f>
        <v>0.78445886898656703</v>
      </c>
      <c r="J189" s="125">
        <f>(($C$39*$C$118*0.28)*H$41)*(+'Product half-life and C flows'!P90/100)</f>
        <v>0.39183759689638703</v>
      </c>
      <c r="K189" s="54">
        <f t="shared" si="53"/>
        <v>1.3434381331919276</v>
      </c>
      <c r="L189" s="26"/>
      <c r="M189" s="83">
        <f>C$158*(0.4*D$14)*('Product half-life and C flows'!B50/100)</f>
        <v>2.9172117276820391</v>
      </c>
      <c r="N189" s="83">
        <f t="shared" si="34"/>
        <v>39.810048534318845</v>
      </c>
      <c r="O189" s="83">
        <f t="shared" si="42"/>
        <v>23.063658997738134</v>
      </c>
      <c r="P189" s="83">
        <f t="shared" si="42"/>
        <v>12.300618132127003</v>
      </c>
      <c r="Q189" s="83">
        <f>C$158*(0.6*C$15)*('Product half-life and C flows'!L50/100)</f>
        <v>23.845187330534632</v>
      </c>
      <c r="R189" s="83">
        <f>C$158*0.6*('Product half-life and C flows'!N50/100)</f>
        <v>9.7392257177964101</v>
      </c>
      <c r="S189" s="83">
        <f>C$158*0.6*('Product half-life and C flows'!P50/100)</f>
        <v>4.8647481107874171</v>
      </c>
      <c r="T189" s="83">
        <f t="shared" si="40"/>
        <v>21.910476047851219</v>
      </c>
      <c r="U189" s="3"/>
      <c r="V189" s="88"/>
      <c r="W189" s="88"/>
      <c r="X189" s="88"/>
      <c r="Y189" s="88"/>
      <c r="Z189" s="88"/>
      <c r="AA189" s="88"/>
      <c r="AB189" s="88"/>
      <c r="AC189" s="88"/>
      <c r="AE189">
        <f t="shared" si="21"/>
        <v>31</v>
      </c>
      <c r="AF189" s="3">
        <f>(C$158*$AF$76)*('Product half-life and C flows'!B50/100)</f>
        <v>21.87908795761529</v>
      </c>
      <c r="AG189" s="3">
        <f t="shared" si="35"/>
        <v>14.224538704708843</v>
      </c>
      <c r="AH189" s="3"/>
      <c r="AI189" s="3">
        <f t="shared" si="36"/>
        <v>36.103626662324132</v>
      </c>
      <c r="AJ189" s="113">
        <f t="shared" si="22"/>
        <v>119.01217795623283</v>
      </c>
      <c r="AK189" s="124">
        <f t="shared" si="44"/>
        <v>3.0896920446368461</v>
      </c>
      <c r="AL189" s="124">
        <f t="shared" si="45"/>
        <v>39.810048534318845</v>
      </c>
      <c r="AM189" s="124">
        <f t="shared" si="46"/>
        <v>29.124282154994951</v>
      </c>
      <c r="AN189" s="124">
        <f t="shared" si="47"/>
        <v>13.054829013918962</v>
      </c>
      <c r="AO189" s="124">
        <f t="shared" si="48"/>
        <v>24.634745948548957</v>
      </c>
      <c r="AP189" s="124">
        <f t="shared" si="49"/>
        <v>10.523684586782977</v>
      </c>
      <c r="AQ189" s="124">
        <f t="shared" si="50"/>
        <v>5.2565857076838043</v>
      </c>
      <c r="AR189" s="124">
        <f t="shared" si="51"/>
        <v>23.253914181043147</v>
      </c>
      <c r="AS189" s="3">
        <f t="shared" si="37"/>
        <v>148.74778217192849</v>
      </c>
    </row>
    <row r="190" spans="1:45" ht="14">
      <c r="A190">
        <f t="shared" si="43"/>
        <v>32</v>
      </c>
      <c r="B190" s="19">
        <f t="shared" si="43"/>
        <v>112</v>
      </c>
      <c r="C190" s="26">
        <f t="shared" ref="C190:C221" si="54">B$8*(1-EXP(-B$9*$B190))^3</f>
        <v>119.8756581485074</v>
      </c>
      <c r="D190" s="125">
        <f>(($C$39*$C$118*0.72)*D$40)*('Product half-life and C flows'!B91/100)</f>
        <v>0.16660500417112009</v>
      </c>
      <c r="E190" s="26"/>
      <c r="F190" s="54">
        <f t="shared" si="52"/>
        <v>6.0606231572568161</v>
      </c>
      <c r="G190" s="54">
        <f t="shared" si="52"/>
        <v>0.7542108817919595</v>
      </c>
      <c r="H190" s="125">
        <f>(H$118)*('Product half-life and C flows'!L91/100)</f>
        <v>0.77749001946522722</v>
      </c>
      <c r="I190" s="125">
        <f>(($C$39*$C$118*0.28)*H$41)*('Product half-life and C flows'!N91/100)</f>
        <v>0.79049920256039063</v>
      </c>
      <c r="J190" s="125">
        <f>(($C$39*$C$118*0.28)*H$41)*(+'Product half-life and C flows'!P91/100)</f>
        <v>0.39485474653366154</v>
      </c>
      <c r="K190" s="54">
        <f t="shared" si="53"/>
        <v>1.3434381331919276</v>
      </c>
      <c r="L190" s="26"/>
      <c r="M190" s="83">
        <f>C$158*(0.4*D$14)*('Product half-life and C flows'!B51/100)</f>
        <v>2.817840786933695</v>
      </c>
      <c r="N190" s="83">
        <f t="shared" ref="N190:N221" si="55">C$8*(1-EXP(-C$9*$B110))^3</f>
        <v>41.747689244282668</v>
      </c>
      <c r="O190" s="83">
        <f t="shared" si="42"/>
        <v>23.063658997738134</v>
      </c>
      <c r="P190" s="83">
        <f t="shared" si="42"/>
        <v>12.300618132127003</v>
      </c>
      <c r="Q190" s="83">
        <f>C$158*(0.6*C$15)*('Product half-life and C flows'!L51/100)</f>
        <v>23.480707750862639</v>
      </c>
      <c r="R190" s="83">
        <f>C$158*0.6*('Product half-life and C flows'!N51/100)</f>
        <v>9.982455090630852</v>
      </c>
      <c r="S190" s="83">
        <f>C$158*0.6*('Product half-life and C flows'!P51/100)</f>
        <v>4.986241304011414</v>
      </c>
      <c r="T190" s="83">
        <f t="shared" si="40"/>
        <v>21.910476047851219</v>
      </c>
      <c r="U190" s="3"/>
      <c r="V190" s="88"/>
      <c r="W190" s="88"/>
      <c r="X190" s="88"/>
      <c r="Y190" s="88"/>
      <c r="Z190" s="88"/>
      <c r="AA190" s="88"/>
      <c r="AB190" s="88"/>
      <c r="AC190" s="88"/>
      <c r="AE190">
        <f t="shared" si="21"/>
        <v>32</v>
      </c>
      <c r="AF190" s="3">
        <f>(C$158*$AF$76)*('Product half-life and C flows'!B51/100)</f>
        <v>21.133805902002713</v>
      </c>
      <c r="AG190" s="3">
        <f t="shared" ref="AG190:AG221" si="56">D$8*(1-EXP(-D$9*$B110))^3</f>
        <v>14.916877606303993</v>
      </c>
      <c r="AH190" s="3"/>
      <c r="AI190" s="3">
        <f t="shared" si="36"/>
        <v>36.050683508306705</v>
      </c>
      <c r="AJ190" s="113">
        <f t="shared" si="22"/>
        <v>119.8756581485074</v>
      </c>
      <c r="AK190" s="124">
        <f t="shared" si="44"/>
        <v>2.984445791104815</v>
      </c>
      <c r="AL190" s="124">
        <f t="shared" si="45"/>
        <v>41.747689244282668</v>
      </c>
      <c r="AM190" s="124">
        <f t="shared" si="46"/>
        <v>29.124282154994951</v>
      </c>
      <c r="AN190" s="124">
        <f t="shared" si="47"/>
        <v>13.054829013918962</v>
      </c>
      <c r="AO190" s="124">
        <f t="shared" si="48"/>
        <v>24.258197770327865</v>
      </c>
      <c r="AP190" s="124">
        <f t="shared" si="49"/>
        <v>10.772954293191242</v>
      </c>
      <c r="AQ190" s="124">
        <f t="shared" si="50"/>
        <v>5.3810960505450751</v>
      </c>
      <c r="AR190" s="124">
        <f t="shared" si="51"/>
        <v>23.253914181043147</v>
      </c>
      <c r="AS190" s="3">
        <f t="shared" si="37"/>
        <v>150.57740849940873</v>
      </c>
    </row>
    <row r="191" spans="1:45" ht="14">
      <c r="A191">
        <f t="shared" si="43"/>
        <v>33</v>
      </c>
      <c r="B191" s="19">
        <f t="shared" si="43"/>
        <v>113</v>
      </c>
      <c r="C191" s="26">
        <f t="shared" si="54"/>
        <v>120.72608380988746</v>
      </c>
      <c r="D191" s="125">
        <f>(($C$39*$C$118*0.72)*D$40)*('Product half-life and C flows'!B92/100)</f>
        <v>0.1609298261095603</v>
      </c>
      <c r="E191" s="26"/>
      <c r="F191" s="54">
        <f t="shared" si="52"/>
        <v>6.0606231572568161</v>
      </c>
      <c r="G191" s="54">
        <f t="shared" si="52"/>
        <v>0.7542108817919595</v>
      </c>
      <c r="H191" s="125">
        <f>(H$118)*('Product half-life and C flows'!L92/100)</f>
        <v>0.76560589242668731</v>
      </c>
      <c r="I191" s="125">
        <f>(($C$39*$C$118*0.28)*H$41)*('Product half-life and C flows'!N92/100)</f>
        <v>0.79644720814317982</v>
      </c>
      <c r="J191" s="125">
        <f>(($C$39*$C$118*0.28)*H$41)*(+'Product half-life and C flows'!P92/100)</f>
        <v>0.39782577829329657</v>
      </c>
      <c r="K191" s="54">
        <f t="shared" si="53"/>
        <v>1.3434381331919276</v>
      </c>
      <c r="L191" s="26"/>
      <c r="M191" s="83">
        <f>C$158*(0.4*D$14)*('Product half-life and C flows'!B52/100)</f>
        <v>2.7218547852254313</v>
      </c>
      <c r="N191" s="83">
        <f t="shared" si="55"/>
        <v>43.667624633970696</v>
      </c>
      <c r="O191" s="83">
        <f t="shared" si="42"/>
        <v>23.063658997738134</v>
      </c>
      <c r="P191" s="83">
        <f t="shared" si="42"/>
        <v>12.300618132127003</v>
      </c>
      <c r="Q191" s="83">
        <f>C$158*(0.6*C$15)*('Product half-life and C flows'!L52/100)</f>
        <v>23.121799331616288</v>
      </c>
      <c r="R191" s="83">
        <f>C$158*0.6*('Product half-life and C flows'!N52/100)</f>
        <v>10.221966642407917</v>
      </c>
      <c r="S191" s="83">
        <f>C$158*0.6*('Product half-life and C flows'!P52/100)</f>
        <v>5.1058774437601979</v>
      </c>
      <c r="T191" s="83">
        <f t="shared" si="40"/>
        <v>21.910476047851219</v>
      </c>
      <c r="U191" s="3"/>
      <c r="V191" s="88"/>
      <c r="W191" s="88"/>
      <c r="X191" s="88"/>
      <c r="Y191" s="88"/>
      <c r="Z191" s="88"/>
      <c r="AA191" s="88"/>
      <c r="AB191" s="88"/>
      <c r="AC191" s="88"/>
      <c r="AE191">
        <f t="shared" si="21"/>
        <v>33</v>
      </c>
      <c r="AF191" s="3">
        <f>(C$158*$AF$76)*('Product half-life and C flows'!B52/100)</f>
        <v>20.413910889190731</v>
      </c>
      <c r="AG191" s="3">
        <f t="shared" si="56"/>
        <v>15.602890215347021</v>
      </c>
      <c r="AH191" s="3"/>
      <c r="AI191" s="3">
        <f t="shared" si="36"/>
        <v>36.016801104537748</v>
      </c>
      <c r="AJ191" s="113">
        <f t="shared" si="22"/>
        <v>120.72608380988746</v>
      </c>
      <c r="AK191" s="124">
        <f t="shared" si="44"/>
        <v>2.8827846113349915</v>
      </c>
      <c r="AL191" s="124">
        <f t="shared" si="45"/>
        <v>43.667624633970696</v>
      </c>
      <c r="AM191" s="124">
        <f t="shared" si="46"/>
        <v>29.124282154994951</v>
      </c>
      <c r="AN191" s="124">
        <f t="shared" si="47"/>
        <v>13.054829013918962</v>
      </c>
      <c r="AO191" s="124">
        <f t="shared" si="48"/>
        <v>23.887405224042976</v>
      </c>
      <c r="AP191" s="124">
        <f t="shared" si="49"/>
        <v>11.018413850551097</v>
      </c>
      <c r="AQ191" s="124">
        <f t="shared" si="50"/>
        <v>5.5037032220534945</v>
      </c>
      <c r="AR191" s="124">
        <f t="shared" si="51"/>
        <v>23.253914181043147</v>
      </c>
      <c r="AS191" s="3">
        <f t="shared" si="37"/>
        <v>152.39295689191033</v>
      </c>
    </row>
    <row r="192" spans="1:45" ht="14">
      <c r="A192">
        <f t="shared" si="43"/>
        <v>34</v>
      </c>
      <c r="B192" s="19">
        <f t="shared" si="43"/>
        <v>114</v>
      </c>
      <c r="C192" s="26">
        <f t="shared" si="54"/>
        <v>121.56356405531533</v>
      </c>
      <c r="D192" s="125">
        <f>(($C$39*$C$118*0.72)*D$40)*('Product half-life and C flows'!B93/100)</f>
        <v>0.15544796544678247</v>
      </c>
      <c r="E192" s="26"/>
      <c r="F192" s="54">
        <f t="shared" si="52"/>
        <v>6.0606231572568161</v>
      </c>
      <c r="G192" s="54">
        <f t="shared" si="52"/>
        <v>0.7542108817919595</v>
      </c>
      <c r="H192" s="125">
        <f>(H$118)*('Product half-life and C flows'!L93/100)</f>
        <v>0.75390341720609022</v>
      </c>
      <c r="I192" s="125">
        <f>(($C$39*$C$118*0.28)*H$41)*('Product half-life and C flows'!N93/100)</f>
        <v>0.80230429699108863</v>
      </c>
      <c r="J192" s="125">
        <f>(($C$39*$C$118*0.28)*H$41)*(+'Product half-life and C flows'!P93/100)</f>
        <v>0.40075139709844582</v>
      </c>
      <c r="K192" s="54">
        <f t="shared" si="53"/>
        <v>1.3434381331919276</v>
      </c>
      <c r="L192" s="26"/>
      <c r="M192" s="83">
        <f>C$158*(0.4*D$14)*('Product half-life and C flows'!B53/100)</f>
        <v>2.6291384191071767</v>
      </c>
      <c r="N192" s="83">
        <f t="shared" si="55"/>
        <v>45.566881743001851</v>
      </c>
      <c r="O192" s="83">
        <f t="shared" ref="O192:P207" si="57">O191</f>
        <v>23.063658997738134</v>
      </c>
      <c r="P192" s="83">
        <f t="shared" si="57"/>
        <v>12.300618132127003</v>
      </c>
      <c r="Q192" s="83">
        <f>C$158*(0.6*C$15)*('Product half-life and C flows'!L53/100)</f>
        <v>22.768376916232032</v>
      </c>
      <c r="R192" s="83">
        <f>C$158*0.6*('Product half-life and C flows'!N53/100)</f>
        <v>10.457817200941012</v>
      </c>
      <c r="S192" s="83">
        <f>C$158*0.6*('Product half-life and C flows'!P53/100)</f>
        <v>5.2236849155549505</v>
      </c>
      <c r="T192" s="83">
        <f t="shared" si="40"/>
        <v>21.910476047851219</v>
      </c>
      <c r="U192" s="3"/>
      <c r="V192" s="88"/>
      <c r="W192" s="88"/>
      <c r="X192" s="88"/>
      <c r="Y192" s="88"/>
      <c r="Z192" s="88"/>
      <c r="AA192" s="88"/>
      <c r="AB192" s="88"/>
      <c r="AC192" s="88"/>
      <c r="AE192">
        <f t="shared" si="21"/>
        <v>34</v>
      </c>
      <c r="AF192" s="3">
        <f>(C$158*$AF$76)*('Product half-life and C flows'!B53/100)</f>
        <v>19.718538143303824</v>
      </c>
      <c r="AG192" s="3">
        <f t="shared" si="56"/>
        <v>16.281514262597739</v>
      </c>
      <c r="AH192" s="3"/>
      <c r="AI192" s="3">
        <f t="shared" si="36"/>
        <v>36.000052405901563</v>
      </c>
      <c r="AJ192" s="113">
        <f t="shared" si="22"/>
        <v>121.56356405531533</v>
      </c>
      <c r="AK192" s="124">
        <f t="shared" si="44"/>
        <v>2.7845863845539593</v>
      </c>
      <c r="AL192" s="124">
        <f t="shared" si="45"/>
        <v>45.566881743001851</v>
      </c>
      <c r="AM192" s="124">
        <f t="shared" si="46"/>
        <v>29.124282154994951</v>
      </c>
      <c r="AN192" s="124">
        <f t="shared" si="47"/>
        <v>13.054829013918962</v>
      </c>
      <c r="AO192" s="124">
        <f t="shared" si="48"/>
        <v>23.522280333438122</v>
      </c>
      <c r="AP192" s="124">
        <f t="shared" si="49"/>
        <v>11.260121497932101</v>
      </c>
      <c r="AQ192" s="124">
        <f t="shared" si="50"/>
        <v>5.6244363126533967</v>
      </c>
      <c r="AR192" s="124">
        <f t="shared" si="51"/>
        <v>23.253914181043147</v>
      </c>
      <c r="AS192" s="3">
        <f t="shared" si="37"/>
        <v>154.19133162153648</v>
      </c>
    </row>
    <row r="193" spans="1:45" ht="14">
      <c r="A193">
        <f t="shared" si="43"/>
        <v>35</v>
      </c>
      <c r="B193" s="19">
        <f t="shared" si="43"/>
        <v>115</v>
      </c>
      <c r="C193" s="26">
        <f t="shared" si="54"/>
        <v>122.3882111626412</v>
      </c>
      <c r="D193" s="125">
        <f>(($C$39*$C$118*0.72)*D$40)*('Product half-life and C flows'!B94/100)</f>
        <v>0.15015283708250129</v>
      </c>
      <c r="E193" s="26"/>
      <c r="F193" s="54">
        <f t="shared" si="52"/>
        <v>6.0606231572568161</v>
      </c>
      <c r="G193" s="54">
        <f t="shared" si="52"/>
        <v>0.7542108817919595</v>
      </c>
      <c r="H193" s="125">
        <f>(H$118)*('Product half-life and C flows'!L94/100)</f>
        <v>0.74237981721051849</v>
      </c>
      <c r="I193" s="125">
        <f>(($C$39*$C$118*0.28)*H$41)*('Product half-life and C flows'!N94/100)</f>
        <v>0.80807185878887222</v>
      </c>
      <c r="J193" s="125">
        <f>(($C$39*$C$118*0.28)*H$41)*(+'Product half-life and C flows'!P94/100)</f>
        <v>0.40363229709733878</v>
      </c>
      <c r="K193" s="54">
        <f t="shared" si="53"/>
        <v>1.3434381331919276</v>
      </c>
      <c r="L193" s="26"/>
      <c r="M193" s="83">
        <f>C$158*(0.4*D$14)*('Product half-life and C flows'!B54/100)</f>
        <v>2.5395803127876588</v>
      </c>
      <c r="N193" s="83">
        <f t="shared" si="55"/>
        <v>47.44279421141578</v>
      </c>
      <c r="O193" s="83">
        <f t="shared" si="57"/>
        <v>23.063658997738134</v>
      </c>
      <c r="P193" s="83">
        <f t="shared" si="57"/>
        <v>12.300618132127003</v>
      </c>
      <c r="Q193" s="83">
        <f>C$158*(0.6*C$15)*('Product half-life and C flows'!L54/100)</f>
        <v>22.420356649785429</v>
      </c>
      <c r="R193" s="83">
        <f>C$158*0.6*('Product half-life and C flows'!N54/100)</f>
        <v>10.690062725416377</v>
      </c>
      <c r="S193" s="83">
        <f>C$158*0.6*('Product half-life and C flows'!P54/100)</f>
        <v>5.3396916710371505</v>
      </c>
      <c r="T193" s="83">
        <f t="shared" si="40"/>
        <v>21.910476047851219</v>
      </c>
      <c r="U193" s="3"/>
      <c r="V193" s="88"/>
      <c r="W193" s="88"/>
      <c r="X193" s="88"/>
      <c r="Y193" s="88"/>
      <c r="Z193" s="88"/>
      <c r="AA193" s="88"/>
      <c r="AB193" s="88"/>
      <c r="AC193" s="88"/>
      <c r="AE193">
        <f t="shared" si="21"/>
        <v>35</v>
      </c>
      <c r="AF193" s="3">
        <f>(C$158*$AF$76)*('Product half-life and C flows'!B54/100)</f>
        <v>19.046852345907439</v>
      </c>
      <c r="AG193" s="3">
        <f t="shared" si="56"/>
        <v>16.951797030291342</v>
      </c>
      <c r="AH193" s="3"/>
      <c r="AI193" s="3">
        <f t="shared" si="36"/>
        <v>35.998649376198784</v>
      </c>
      <c r="AJ193" s="113">
        <f t="shared" si="22"/>
        <v>122.3882111626412</v>
      </c>
      <c r="AK193" s="124">
        <f t="shared" si="44"/>
        <v>2.6897331498701602</v>
      </c>
      <c r="AL193" s="124">
        <f t="shared" si="45"/>
        <v>47.44279421141578</v>
      </c>
      <c r="AM193" s="124">
        <f t="shared" si="46"/>
        <v>29.124282154994951</v>
      </c>
      <c r="AN193" s="124">
        <f t="shared" si="47"/>
        <v>13.054829013918962</v>
      </c>
      <c r="AO193" s="124">
        <f t="shared" si="48"/>
        <v>23.162736466995948</v>
      </c>
      <c r="AP193" s="124">
        <f t="shared" si="49"/>
        <v>11.49813458420525</v>
      </c>
      <c r="AQ193" s="124">
        <f t="shared" si="50"/>
        <v>5.7433239681344892</v>
      </c>
      <c r="AR193" s="124">
        <f t="shared" si="51"/>
        <v>23.253914181043147</v>
      </c>
      <c r="AS193" s="3">
        <f t="shared" si="37"/>
        <v>155.96974773057869</v>
      </c>
    </row>
    <row r="194" spans="1:45" ht="14">
      <c r="A194">
        <f t="shared" si="43"/>
        <v>36</v>
      </c>
      <c r="B194" s="19">
        <f t="shared" si="43"/>
        <v>116</v>
      </c>
      <c r="C194" s="26">
        <f t="shared" si="54"/>
        <v>123.20014033234281</v>
      </c>
      <c r="D194" s="125">
        <f>(($C$39*$C$118*0.72)*D$40)*('Product half-life and C flows'!B95/100)</f>
        <v>0.14503808022912171</v>
      </c>
      <c r="E194" s="26"/>
      <c r="F194" s="54">
        <f t="shared" si="52"/>
        <v>6.0606231572568161</v>
      </c>
      <c r="G194" s="54">
        <f t="shared" si="52"/>
        <v>0.7542108817919595</v>
      </c>
      <c r="H194" s="125">
        <f>(H$118)*('Product half-life and C flows'!L95/100)</f>
        <v>0.73103235828796398</v>
      </c>
      <c r="I194" s="125">
        <f>(($C$39*$C$118*0.28)*H$41)*('Product half-life and C flows'!N95/100)</f>
        <v>0.81375126197961078</v>
      </c>
      <c r="J194" s="125">
        <f>(($C$39*$C$118*0.28)*H$41)*(+'Product half-life and C flows'!P95/100)</f>
        <v>0.40646916182797738</v>
      </c>
      <c r="K194" s="54">
        <f t="shared" si="53"/>
        <v>1.3434381331919276</v>
      </c>
      <c r="L194" s="26"/>
      <c r="M194" s="83">
        <f>C$158*(0.4*D$14)*('Product half-life and C flows'!B55/100)</f>
        <v>2.4530728843439218</v>
      </c>
      <c r="N194" s="83">
        <f t="shared" si="55"/>
        <v>49.292986041673906</v>
      </c>
      <c r="O194" s="83">
        <f t="shared" si="57"/>
        <v>23.063658997738134</v>
      </c>
      <c r="P194" s="83">
        <f t="shared" si="57"/>
        <v>12.300618132127003</v>
      </c>
      <c r="Q194" s="83">
        <f>C$158*(0.6*C$15)*('Product half-life and C flows'!L55/100)</f>
        <v>22.077655959095296</v>
      </c>
      <c r="R194" s="83">
        <f>C$158*0.6*('Product half-life and C flows'!N55/100)</f>
        <v>10.91875831967026</v>
      </c>
      <c r="S194" s="83">
        <f>C$158*0.6*('Product half-life and C flows'!P55/100)</f>
        <v>5.4539252346005291</v>
      </c>
      <c r="T194" s="83">
        <f t="shared" si="40"/>
        <v>21.910476047851219</v>
      </c>
      <c r="U194" s="3"/>
      <c r="V194" s="88"/>
      <c r="W194" s="88"/>
      <c r="X194" s="88"/>
      <c r="Y194" s="88"/>
      <c r="Z194" s="88"/>
      <c r="AA194" s="88"/>
      <c r="AB194" s="88"/>
      <c r="AC194" s="88"/>
      <c r="AE194">
        <f t="shared" si="21"/>
        <v>36</v>
      </c>
      <c r="AF194" s="3">
        <f>(C$158*$AF$76)*('Product half-life and C flows'!B55/100)</f>
        <v>18.398046632579412</v>
      </c>
      <c r="AG194" s="3">
        <f t="shared" si="56"/>
        <v>17.612889550134792</v>
      </c>
      <c r="AH194" s="3"/>
      <c r="AI194" s="3">
        <f t="shared" si="36"/>
        <v>36.010936182714204</v>
      </c>
      <c r="AJ194" s="113">
        <f t="shared" si="22"/>
        <v>123.20014033234281</v>
      </c>
      <c r="AK194" s="124">
        <f t="shared" si="44"/>
        <v>2.5981109645730434</v>
      </c>
      <c r="AL194" s="124">
        <f t="shared" si="45"/>
        <v>49.292986041673906</v>
      </c>
      <c r="AM194" s="124">
        <f t="shared" si="46"/>
        <v>29.124282154994951</v>
      </c>
      <c r="AN194" s="124">
        <f t="shared" si="47"/>
        <v>13.054829013918962</v>
      </c>
      <c r="AO194" s="124">
        <f t="shared" si="48"/>
        <v>22.808688317383261</v>
      </c>
      <c r="AP194" s="124">
        <f t="shared" si="49"/>
        <v>11.732509581649872</v>
      </c>
      <c r="AQ194" s="124">
        <f t="shared" si="50"/>
        <v>5.8603943964285063</v>
      </c>
      <c r="AR194" s="124">
        <f t="shared" si="51"/>
        <v>23.253914181043147</v>
      </c>
      <c r="AS194" s="3">
        <f t="shared" si="37"/>
        <v>157.72571465166564</v>
      </c>
    </row>
    <row r="195" spans="1:45" ht="14">
      <c r="A195">
        <f t="shared" si="43"/>
        <v>37</v>
      </c>
      <c r="B195" s="19">
        <f t="shared" si="43"/>
        <v>117</v>
      </c>
      <c r="C195" s="26">
        <f t="shared" si="54"/>
        <v>123.99946945715783</v>
      </c>
      <c r="D195" s="125">
        <f>(($C$39*$C$118*0.72)*D$40)*('Product half-life and C flows'!B96/100)</f>
        <v>0.14009755077082503</v>
      </c>
      <c r="E195" s="26"/>
      <c r="F195" s="54">
        <f t="shared" si="52"/>
        <v>6.0606231572568161</v>
      </c>
      <c r="G195" s="54">
        <f t="shared" si="52"/>
        <v>0.7542108817919595</v>
      </c>
      <c r="H195" s="125">
        <f>(H$118)*('Product half-life and C flows'!L96/100)</f>
        <v>0.71985834807860705</v>
      </c>
      <c r="I195" s="125">
        <f>(($C$39*$C$118*0.28)*H$41)*('Product half-life and C flows'!N96/100)</f>
        <v>0.81934385408939392</v>
      </c>
      <c r="J195" s="125">
        <f>(($C$39*$C$118*0.28)*H$41)*(+'Product half-life and C flows'!P96/100)</f>
        <v>0.40926266438031667</v>
      </c>
      <c r="K195" s="54">
        <f t="shared" si="53"/>
        <v>1.3434381331919276</v>
      </c>
      <c r="L195" s="26"/>
      <c r="M195" s="83">
        <f>C$158*(0.4*D$14)*('Product half-life and C flows'!B56/100)</f>
        <v>2.3695122164882503</v>
      </c>
      <c r="N195" s="83">
        <f t="shared" si="55"/>
        <v>51.115355146144822</v>
      </c>
      <c r="O195" s="83">
        <f t="shared" si="57"/>
        <v>23.063658997738134</v>
      </c>
      <c r="P195" s="83">
        <f t="shared" si="57"/>
        <v>12.300618132127003</v>
      </c>
      <c r="Q195" s="83">
        <f>C$158*(0.6*C$15)*('Product half-life and C flows'!L56/100)</f>
        <v>21.740193533131897</v>
      </c>
      <c r="R195" s="83">
        <f>C$158*0.6*('Product half-life and C flows'!N56/100)</f>
        <v>11.143958245263169</v>
      </c>
      <c r="S195" s="83">
        <f>C$158*0.6*('Product half-life and C flows'!P56/100)</f>
        <v>5.5664127099216616</v>
      </c>
      <c r="T195" s="83">
        <f t="shared" si="40"/>
        <v>21.910476047851219</v>
      </c>
      <c r="U195" s="3"/>
      <c r="V195" s="88"/>
      <c r="W195" s="88"/>
      <c r="X195" s="88"/>
      <c r="Y195" s="88"/>
      <c r="Z195" s="88"/>
      <c r="AA195" s="88"/>
      <c r="AB195" s="88"/>
      <c r="AC195" s="88"/>
      <c r="AE195">
        <f t="shared" si="21"/>
        <v>37</v>
      </c>
      <c r="AF195" s="3">
        <f>(C$158*$AF$76)*('Product half-life and C flows'!B56/100)</f>
        <v>17.771341623661876</v>
      </c>
      <c r="AG195" s="3">
        <f t="shared" si="56"/>
        <v>18.264040724654595</v>
      </c>
      <c r="AH195" s="3"/>
      <c r="AI195" s="3">
        <f t="shared" si="36"/>
        <v>36.035382348316475</v>
      </c>
      <c r="AJ195" s="113">
        <f t="shared" si="22"/>
        <v>123.99946945715783</v>
      </c>
      <c r="AK195" s="124">
        <f t="shared" si="44"/>
        <v>2.5096097672590751</v>
      </c>
      <c r="AL195" s="124">
        <f t="shared" si="45"/>
        <v>51.115355146144822</v>
      </c>
      <c r="AM195" s="124">
        <f t="shared" si="46"/>
        <v>29.124282154994951</v>
      </c>
      <c r="AN195" s="124">
        <f t="shared" si="47"/>
        <v>13.054829013918962</v>
      </c>
      <c r="AO195" s="124">
        <f t="shared" si="48"/>
        <v>22.460051881210504</v>
      </c>
      <c r="AP195" s="124">
        <f t="shared" si="49"/>
        <v>11.963302099352564</v>
      </c>
      <c r="AQ195" s="124">
        <f t="shared" si="50"/>
        <v>5.9756753743019786</v>
      </c>
      <c r="AR195" s="124">
        <f t="shared" si="51"/>
        <v>23.253914181043147</v>
      </c>
      <c r="AS195" s="3">
        <f t="shared" si="37"/>
        <v>159.45701961822601</v>
      </c>
    </row>
    <row r="196" spans="1:45" ht="14">
      <c r="A196">
        <f t="shared" si="43"/>
        <v>38</v>
      </c>
      <c r="B196" s="19">
        <f t="shared" si="43"/>
        <v>118</v>
      </c>
      <c r="C196" s="26">
        <f t="shared" si="54"/>
        <v>124.78631890133678</v>
      </c>
      <c r="D196" s="125">
        <f>(($C$39*$C$118*0.72)*D$40)*('Product half-life and C flows'!B97/100)</f>
        <v>0.13532531388293292</v>
      </c>
      <c r="E196" s="26"/>
      <c r="F196" s="54">
        <f t="shared" si="52"/>
        <v>6.0606231572568161</v>
      </c>
      <c r="G196" s="54">
        <f t="shared" si="52"/>
        <v>0.7542108817919595</v>
      </c>
      <c r="H196" s="125">
        <f>(H$118)*('Product half-life and C flows'!L97/100)</f>
        <v>0.7088551353760133</v>
      </c>
      <c r="I196" s="125">
        <f>(($C$39*$C$118*0.28)*H$41)*('Product half-life and C flows'!N97/100)</f>
        <v>0.824850962047042</v>
      </c>
      <c r="J196" s="125">
        <f>(($C$39*$C$118*0.28)*H$41)*(+'Product half-life and C flows'!P97/100)</f>
        <v>0.41201346755596507</v>
      </c>
      <c r="K196" s="54">
        <f t="shared" si="53"/>
        <v>1.3434381331919276</v>
      </c>
      <c r="L196" s="26"/>
      <c r="M196" s="83">
        <f>C$158*(0.4*D$14)*('Product half-life and C flows'!B57/100)</f>
        <v>2.2887979317372338</v>
      </c>
      <c r="N196" s="83">
        <f t="shared" si="55"/>
        <v>52.908056886839212</v>
      </c>
      <c r="O196" s="83">
        <f t="shared" si="57"/>
        <v>23.063658997738134</v>
      </c>
      <c r="P196" s="83">
        <f t="shared" si="57"/>
        <v>12.300618132127003</v>
      </c>
      <c r="Q196" s="83">
        <f>C$158*(0.6*C$15)*('Product half-life and C flows'!L57/100)</f>
        <v>21.407889303724694</v>
      </c>
      <c r="R196" s="83">
        <f>C$158*0.6*('Product half-life and C flows'!N57/100)</f>
        <v>11.365715934354242</v>
      </c>
      <c r="S196" s="83">
        <f>C$158*0.6*('Product half-life and C flows'!P57/100)</f>
        <v>5.6771807863907293</v>
      </c>
      <c r="T196" s="83">
        <f t="shared" si="40"/>
        <v>21.910476047851219</v>
      </c>
      <c r="U196" s="3"/>
      <c r="V196" s="88"/>
      <c r="W196" s="88"/>
      <c r="X196" s="88"/>
      <c r="Y196" s="88"/>
      <c r="Z196" s="88"/>
      <c r="AA196" s="88"/>
      <c r="AB196" s="88"/>
      <c r="AC196" s="88"/>
      <c r="AE196">
        <f t="shared" si="21"/>
        <v>38</v>
      </c>
      <c r="AF196" s="3">
        <f>(C$158*$AF$76)*('Product half-life and C flows'!B57/100)</f>
        <v>17.165984488029252</v>
      </c>
      <c r="AG196" s="3">
        <f t="shared" si="56"/>
        <v>18.90459144577525</v>
      </c>
      <c r="AH196" s="3"/>
      <c r="AI196" s="3">
        <f t="shared" si="36"/>
        <v>36.070575933804506</v>
      </c>
      <c r="AJ196" s="113">
        <f t="shared" si="22"/>
        <v>124.78631890133678</v>
      </c>
      <c r="AK196" s="124">
        <f t="shared" si="44"/>
        <v>2.4241232456201667</v>
      </c>
      <c r="AL196" s="124">
        <f t="shared" si="45"/>
        <v>52.908056886839212</v>
      </c>
      <c r="AM196" s="124">
        <f t="shared" si="46"/>
        <v>29.124282154994951</v>
      </c>
      <c r="AN196" s="124">
        <f t="shared" si="47"/>
        <v>13.054829013918962</v>
      </c>
      <c r="AO196" s="124">
        <f t="shared" si="48"/>
        <v>22.116744439100707</v>
      </c>
      <c r="AP196" s="124">
        <f t="shared" si="49"/>
        <v>12.190566896401284</v>
      </c>
      <c r="AQ196" s="124">
        <f t="shared" si="50"/>
        <v>6.0891942539466948</v>
      </c>
      <c r="AR196" s="124">
        <f t="shared" si="51"/>
        <v>23.253914181043147</v>
      </c>
      <c r="AS196" s="3">
        <f t="shared" si="37"/>
        <v>161.16171107186511</v>
      </c>
    </row>
    <row r="197" spans="1:45" ht="14">
      <c r="A197">
        <f t="shared" ref="A197:B212" si="58">A196+1</f>
        <v>39</v>
      </c>
      <c r="B197" s="19">
        <f t="shared" si="58"/>
        <v>119</v>
      </c>
      <c r="C197" s="26">
        <f t="shared" si="54"/>
        <v>125.56081128922662</v>
      </c>
      <c r="D197" s="125">
        <f>(($C$39*$C$118*0.72)*D$40)*('Product half-life and C flows'!B98/100)</f>
        <v>0.13071563690268265</v>
      </c>
      <c r="E197" s="26"/>
      <c r="F197" s="54">
        <f t="shared" si="52"/>
        <v>6.0606231572568161</v>
      </c>
      <c r="G197" s="54">
        <f t="shared" si="52"/>
        <v>0.7542108817919595</v>
      </c>
      <c r="H197" s="125">
        <f>(H$118)*('Product half-life and C flows'!L98/100)</f>
        <v>0.69802010949809379</v>
      </c>
      <c r="I197" s="125">
        <f>(($C$39*$C$118*0.28)*H$41)*('Product half-life and C flows'!N98/100)</f>
        <v>0.83027389249894068</v>
      </c>
      <c r="J197" s="125">
        <f>(($C$39*$C$118*0.28)*H$41)*(+'Product half-life and C flows'!P98/100)</f>
        <v>0.41472222402544495</v>
      </c>
      <c r="K197" s="54">
        <f t="shared" si="53"/>
        <v>1.3434381331919276</v>
      </c>
      <c r="L197" s="26"/>
      <c r="M197" s="83">
        <f>C$158*(0.4*D$14)*('Product half-life and C flows'!B58/100)</f>
        <v>2.2108330718330431</v>
      </c>
      <c r="N197" s="83">
        <f t="shared" si="55"/>
        <v>54.669487775772701</v>
      </c>
      <c r="O197" s="83">
        <f t="shared" si="57"/>
        <v>23.063658997738134</v>
      </c>
      <c r="P197" s="83">
        <f t="shared" si="57"/>
        <v>12.300618132127003</v>
      </c>
      <c r="Q197" s="83">
        <f>C$158*(0.6*C$15)*('Product half-life and C flows'!L58/100)</f>
        <v>21.080664426564915</v>
      </c>
      <c r="R197" s="83">
        <f>C$158*0.6*('Product half-life and C flows'!N58/100)</f>
        <v>11.584084002378869</v>
      </c>
      <c r="S197" s="83">
        <f>C$158*0.6*('Product half-life and C flows'!P58/100)</f>
        <v>5.7862557454439889</v>
      </c>
      <c r="T197" s="83">
        <f t="shared" si="40"/>
        <v>21.910476047851219</v>
      </c>
      <c r="U197" s="3"/>
      <c r="V197" s="88"/>
      <c r="W197" s="88"/>
      <c r="X197" s="88"/>
      <c r="Y197" s="88"/>
      <c r="Z197" s="88"/>
      <c r="AA197" s="88"/>
      <c r="AB197" s="88"/>
      <c r="AC197" s="88"/>
      <c r="AE197">
        <f t="shared" si="21"/>
        <v>39</v>
      </c>
      <c r="AF197" s="3">
        <f>(C$158*$AF$76)*('Product half-life and C flows'!B58/100)</f>
        <v>16.581248038747823</v>
      </c>
      <c r="AG197" s="3">
        <f t="shared" si="56"/>
        <v>19.533968770791688</v>
      </c>
      <c r="AH197" s="3"/>
      <c r="AI197" s="3">
        <f t="shared" si="36"/>
        <v>36.115216809539511</v>
      </c>
      <c r="AJ197" s="113">
        <f t="shared" si="22"/>
        <v>125.56081128922662</v>
      </c>
      <c r="AK197" s="124">
        <f t="shared" si="44"/>
        <v>2.3415487087357256</v>
      </c>
      <c r="AL197" s="124">
        <f t="shared" si="45"/>
        <v>54.669487775772701</v>
      </c>
      <c r="AM197" s="124">
        <f t="shared" si="46"/>
        <v>29.124282154994951</v>
      </c>
      <c r="AN197" s="124">
        <f t="shared" si="47"/>
        <v>13.054829013918962</v>
      </c>
      <c r="AO197" s="124">
        <f t="shared" si="48"/>
        <v>21.778684536063011</v>
      </c>
      <c r="AP197" s="124">
        <f t="shared" si="49"/>
        <v>12.41435789487781</v>
      </c>
      <c r="AQ197" s="124">
        <f t="shared" si="50"/>
        <v>6.2009779694694336</v>
      </c>
      <c r="AR197" s="124">
        <f t="shared" si="51"/>
        <v>23.253914181043147</v>
      </c>
      <c r="AS197" s="3">
        <f t="shared" si="37"/>
        <v>162.83808223487571</v>
      </c>
    </row>
    <row r="198" spans="1:45" ht="14">
      <c r="A198">
        <f t="shared" si="58"/>
        <v>40</v>
      </c>
      <c r="B198" s="19">
        <f t="shared" si="58"/>
        <v>120</v>
      </c>
      <c r="C198" s="26">
        <f t="shared" si="54"/>
        <v>126.32307130289904</v>
      </c>
      <c r="D198" s="125">
        <f>(($C$39*$C$118*0.72)*D$40)*('Product half-life and C flows'!B99/100)</f>
        <v>0.12626298244285034</v>
      </c>
      <c r="E198" s="26"/>
      <c r="F198" s="54">
        <f t="shared" si="52"/>
        <v>6.0606231572568161</v>
      </c>
      <c r="G198" s="54">
        <f t="shared" si="52"/>
        <v>0.7542108817919595</v>
      </c>
      <c r="H198" s="125">
        <f>(H$118)*('Product half-life and C flows'!L99/100)</f>
        <v>0.68735069966768003</v>
      </c>
      <c r="I198" s="125">
        <f>(($C$39*$C$118*0.28)*H$41)*('Product half-life and C flows'!N99/100)</f>
        <v>0.83561393211906287</v>
      </c>
      <c r="J198" s="125">
        <f>(($C$39*$C$118*0.28)*H$41)*(+'Product half-life and C flows'!P99/100)</f>
        <v>0.41738957648304836</v>
      </c>
      <c r="K198" s="54">
        <f t="shared" si="53"/>
        <v>1.3434381331919276</v>
      </c>
      <c r="L198" s="26"/>
      <c r="M198" s="83">
        <f>C$158*(0.4*D$14)*('Product half-life and C flows'!B59/100)</f>
        <v>2.135523981272049</v>
      </c>
      <c r="N198" s="83">
        <f t="shared" si="55"/>
        <v>56.398269471480361</v>
      </c>
      <c r="O198" s="83">
        <f t="shared" si="57"/>
        <v>23.063658997738134</v>
      </c>
      <c r="P198" s="83">
        <f t="shared" si="57"/>
        <v>12.300618132127003</v>
      </c>
      <c r="Q198" s="83">
        <f>C$158*(0.6*C$15)*('Product half-life and C flows'!L59/100)</f>
        <v>20.758441262498526</v>
      </c>
      <c r="R198" s="83">
        <f>C$158*0.6*('Product half-life and C flows'!N59/100)</f>
        <v>11.799114260532507</v>
      </c>
      <c r="S198" s="83">
        <f>C$158*0.6*('Product half-life and C flows'!P59/100)</f>
        <v>5.8936634667994516</v>
      </c>
      <c r="T198" s="83">
        <f t="shared" si="40"/>
        <v>21.910476047851219</v>
      </c>
      <c r="U198" s="3"/>
      <c r="V198" s="88"/>
      <c r="W198" s="88"/>
      <c r="X198" s="88"/>
      <c r="Y198" s="88"/>
      <c r="Z198" s="88"/>
      <c r="AA198" s="88"/>
      <c r="AB198" s="88"/>
      <c r="AC198" s="88"/>
      <c r="AE198">
        <f t="shared" si="21"/>
        <v>40</v>
      </c>
      <c r="AF198" s="3">
        <f>(C$158*$AF$76)*('Product half-life and C flows'!B59/100)</f>
        <v>16.016429859540366</v>
      </c>
      <c r="AG198" s="3">
        <f t="shared" si="56"/>
        <v>20.151680204159739</v>
      </c>
      <c r="AH198" s="3"/>
      <c r="AI198" s="3">
        <f t="shared" si="36"/>
        <v>36.168110063700105</v>
      </c>
      <c r="AJ198" s="113">
        <f t="shared" si="22"/>
        <v>126.32307130289904</v>
      </c>
      <c r="AK198" s="124">
        <f t="shared" si="44"/>
        <v>2.2617869637148993</v>
      </c>
      <c r="AL198" s="124">
        <f t="shared" si="45"/>
        <v>56.398269471480361</v>
      </c>
      <c r="AM198" s="124">
        <f t="shared" si="46"/>
        <v>29.124282154994951</v>
      </c>
      <c r="AN198" s="124">
        <f t="shared" si="47"/>
        <v>13.054829013918962</v>
      </c>
      <c r="AO198" s="124">
        <f t="shared" si="48"/>
        <v>21.445791962166204</v>
      </c>
      <c r="AP198" s="124">
        <f t="shared" si="49"/>
        <v>12.63472819265157</v>
      </c>
      <c r="AQ198" s="124">
        <f t="shared" si="50"/>
        <v>6.3110530432824996</v>
      </c>
      <c r="AR198" s="124">
        <f t="shared" si="51"/>
        <v>23.253914181043147</v>
      </c>
      <c r="AS198" s="3">
        <f t="shared" si="37"/>
        <v>164.4846549832526</v>
      </c>
    </row>
    <row r="199" spans="1:45" ht="14">
      <c r="A199">
        <f t="shared" si="58"/>
        <v>41</v>
      </c>
      <c r="B199" s="19">
        <f t="shared" si="58"/>
        <v>121</v>
      </c>
      <c r="C199" s="26">
        <f t="shared" si="54"/>
        <v>127.07322548854273</v>
      </c>
      <c r="D199" s="125">
        <f>(($C$39*$C$118*0.72)*D$40)*('Product half-life and C flows'!B100/100)</f>
        <v>0.12196200173994909</v>
      </c>
      <c r="E199" s="26"/>
      <c r="F199" s="54">
        <f t="shared" si="52"/>
        <v>6.0606231572568161</v>
      </c>
      <c r="G199" s="54">
        <f t="shared" si="52"/>
        <v>0.7542108817919595</v>
      </c>
      <c r="H199" s="125">
        <f>(H$118)*('Product half-life and C flows'!L100/100)</f>
        <v>0.67684437440256806</v>
      </c>
      <c r="I199" s="125">
        <f>(($C$39*$C$118*0.28)*H$41)*('Product half-life and C flows'!N100/100)</f>
        <v>0.84087234791425125</v>
      </c>
      <c r="J199" s="125">
        <f>(($C$39*$C$118*0.28)*H$41)*(+'Product half-life and C flows'!P100/100)</f>
        <v>0.42001615779932633</v>
      </c>
      <c r="K199" s="54">
        <f t="shared" si="53"/>
        <v>1.3434381331919276</v>
      </c>
      <c r="L199" s="26"/>
      <c r="M199" s="83">
        <f>C$158*(0.4*D$14)*('Product half-life and C flows'!B60/100)</f>
        <v>2.0627801948008941</v>
      </c>
      <c r="N199" s="83">
        <f t="shared" si="55"/>
        <v>58.093233179167008</v>
      </c>
      <c r="O199" s="83">
        <f t="shared" si="57"/>
        <v>23.063658997738134</v>
      </c>
      <c r="P199" s="83">
        <f t="shared" si="57"/>
        <v>12.300618132127003</v>
      </c>
      <c r="Q199" s="83">
        <f>C$158*(0.6*C$15)*('Product half-life and C flows'!L60/100)</f>
        <v>20.441143359105141</v>
      </c>
      <c r="R199" s="83">
        <f>C$158*0.6*('Product half-life and C flows'!N60/100)</f>
        <v>12.010857728063694</v>
      </c>
      <c r="S199" s="83">
        <f>C$158*0.6*('Product half-life and C flows'!P60/100)</f>
        <v>5.9994294345972472</v>
      </c>
      <c r="T199" s="83">
        <f t="shared" si="40"/>
        <v>21.910476047851219</v>
      </c>
      <c r="U199" s="3"/>
      <c r="V199" s="88"/>
      <c r="W199" s="88"/>
      <c r="X199" s="88"/>
      <c r="Y199" s="88"/>
      <c r="Z199" s="88"/>
      <c r="AA199" s="88"/>
      <c r="AB199" s="88"/>
      <c r="AC199" s="88"/>
      <c r="AE199">
        <f t="shared" si="21"/>
        <v>41</v>
      </c>
      <c r="AF199" s="3">
        <f>(C$158*$AF$76)*('Product half-life and C flows'!B60/100)</f>
        <v>15.470851461006706</v>
      </c>
      <c r="AG199" s="3">
        <f t="shared" si="56"/>
        <v>20.757308123509826</v>
      </c>
      <c r="AH199" s="3"/>
      <c r="AI199" s="3">
        <f t="shared" si="36"/>
        <v>36.228159584516533</v>
      </c>
      <c r="AJ199" s="113">
        <f t="shared" si="22"/>
        <v>127.07322548854273</v>
      </c>
      <c r="AK199" s="124">
        <f t="shared" si="44"/>
        <v>2.1847421965408431</v>
      </c>
      <c r="AL199" s="124">
        <f t="shared" si="45"/>
        <v>58.093233179167008</v>
      </c>
      <c r="AM199" s="124">
        <f t="shared" si="46"/>
        <v>29.124282154994951</v>
      </c>
      <c r="AN199" s="124">
        <f t="shared" si="47"/>
        <v>13.054829013918962</v>
      </c>
      <c r="AO199" s="124">
        <f t="shared" si="48"/>
        <v>21.117987733507707</v>
      </c>
      <c r="AP199" s="124">
        <f t="shared" si="49"/>
        <v>12.851730075977946</v>
      </c>
      <c r="AQ199" s="124">
        <f t="shared" si="50"/>
        <v>6.4194455923965732</v>
      </c>
      <c r="AR199" s="124">
        <f t="shared" si="51"/>
        <v>23.253914181043147</v>
      </c>
      <c r="AS199" s="3">
        <f t="shared" si="37"/>
        <v>166.10016412754715</v>
      </c>
    </row>
    <row r="200" spans="1:45" ht="14">
      <c r="A200">
        <f t="shared" si="58"/>
        <v>42</v>
      </c>
      <c r="B200" s="19">
        <f t="shared" si="58"/>
        <v>122</v>
      </c>
      <c r="C200" s="26">
        <f t="shared" si="54"/>
        <v>127.81140207134142</v>
      </c>
      <c r="D200" s="125">
        <f>(($C$39*$C$118*0.72)*D$40)*('Product half-life and C flows'!B101/100)</f>
        <v>0.1178075282290121</v>
      </c>
      <c r="E200" s="26"/>
      <c r="F200" s="54">
        <f t="shared" ref="F200:G215" si="59">F199</f>
        <v>6.0606231572568161</v>
      </c>
      <c r="G200" s="54">
        <f t="shared" si="59"/>
        <v>0.7542108817919595</v>
      </c>
      <c r="H200" s="125">
        <f>(H$118)*('Product half-life and C flows'!L101/100)</f>
        <v>0.66649864091488453</v>
      </c>
      <c r="I200" s="125">
        <f>(($C$39*$C$118*0.28)*H$41)*('Product half-life and C flows'!N101/100)</f>
        <v>0.84605038752483686</v>
      </c>
      <c r="J200" s="125">
        <f>(($C$39*$C$118*0.28)*H$41)*(+'Product half-life and C flows'!P101/100)</f>
        <v>0.42260259117124727</v>
      </c>
      <c r="K200" s="54">
        <f t="shared" si="53"/>
        <v>1.3434381331919276</v>
      </c>
      <c r="L200" s="26"/>
      <c r="M200" s="83">
        <f>C$158*(0.4*D$14)*('Product half-life and C flows'!B61/100)</f>
        <v>1.992514328744853</v>
      </c>
      <c r="N200" s="83">
        <f t="shared" si="55"/>
        <v>59.753404538120442</v>
      </c>
      <c r="O200" s="83">
        <f t="shared" si="57"/>
        <v>23.063658997738134</v>
      </c>
      <c r="P200" s="83">
        <f t="shared" si="57"/>
        <v>12.300618132127003</v>
      </c>
      <c r="Q200" s="83">
        <f>C$158*(0.6*C$15)*('Product half-life and C flows'!L61/100)</f>
        <v>20.128695432558505</v>
      </c>
      <c r="R200" s="83">
        <f>C$158*0.6*('Product half-life and C flows'!N61/100)</f>
        <v>12.219364644379148</v>
      </c>
      <c r="S200" s="83">
        <f>C$158*0.6*('Product half-life and C flows'!P61/100)</f>
        <v>6.1035787434461257</v>
      </c>
      <c r="T200" s="83">
        <f t="shared" si="40"/>
        <v>21.910476047851219</v>
      </c>
      <c r="U200" s="3"/>
      <c r="V200" s="88"/>
      <c r="W200" s="88"/>
      <c r="X200" s="88"/>
      <c r="Y200" s="88"/>
      <c r="Z200" s="88"/>
      <c r="AA200" s="88"/>
      <c r="AB200" s="88"/>
      <c r="AC200" s="88"/>
      <c r="AE200">
        <f t="shared" si="21"/>
        <v>42</v>
      </c>
      <c r="AF200" s="3">
        <f>(C$158*$AF$76)*('Product half-life and C flows'!B61/100)</f>
        <v>14.943857465586396</v>
      </c>
      <c r="AG200" s="3">
        <f t="shared" si="56"/>
        <v>21.350504379764686</v>
      </c>
      <c r="AH200" s="3"/>
      <c r="AI200" s="3">
        <f t="shared" si="36"/>
        <v>36.294361845351084</v>
      </c>
      <c r="AJ200" s="113">
        <f t="shared" si="22"/>
        <v>127.81140207134142</v>
      </c>
      <c r="AK200" s="124">
        <f t="shared" si="44"/>
        <v>2.1103218569738651</v>
      </c>
      <c r="AL200" s="124">
        <f t="shared" si="45"/>
        <v>59.753404538120442</v>
      </c>
      <c r="AM200" s="124">
        <f t="shared" si="46"/>
        <v>29.124282154994951</v>
      </c>
      <c r="AN200" s="124">
        <f t="shared" si="47"/>
        <v>13.054829013918962</v>
      </c>
      <c r="AO200" s="124">
        <f t="shared" si="48"/>
        <v>20.79519407347339</v>
      </c>
      <c r="AP200" s="124">
        <f t="shared" si="49"/>
        <v>13.065415031903985</v>
      </c>
      <c r="AQ200" s="124">
        <f t="shared" si="50"/>
        <v>6.5261813346173732</v>
      </c>
      <c r="AR200" s="124">
        <f t="shared" si="51"/>
        <v>23.253914181043147</v>
      </c>
      <c r="AS200" s="3">
        <f t="shared" si="37"/>
        <v>167.68354218504612</v>
      </c>
    </row>
    <row r="201" spans="1:45" ht="14">
      <c r="A201">
        <f t="shared" si="58"/>
        <v>43</v>
      </c>
      <c r="B201" s="19">
        <f t="shared" si="58"/>
        <v>123</v>
      </c>
      <c r="C201" s="26">
        <f t="shared" si="54"/>
        <v>128.53773077856621</v>
      </c>
      <c r="D201" s="125">
        <f>(($C$39*$C$118*0.72)*D$40)*('Product half-life and C flows'!B102/100)</f>
        <v>0.11379457133724195</v>
      </c>
      <c r="E201" s="26"/>
      <c r="F201" s="54">
        <f t="shared" si="59"/>
        <v>6.0606231572568161</v>
      </c>
      <c r="G201" s="54">
        <f t="shared" si="59"/>
        <v>0.7542108817919595</v>
      </c>
      <c r="H201" s="125">
        <f>(H$118)*('Product half-life and C flows'!L102/100)</f>
        <v>0.65631104451963462</v>
      </c>
      <c r="I201" s="125">
        <f>(($C$39*$C$118*0.28)*H$41)*('Product half-life and C flows'!N102/100)</f>
        <v>0.85114927952065955</v>
      </c>
      <c r="J201" s="125">
        <f>(($C$39*$C$118*0.28)*H$41)*(+'Product half-life and C flows'!P102/100)</f>
        <v>0.42514949027005966</v>
      </c>
      <c r="K201" s="54">
        <f t="shared" si="53"/>
        <v>1.3434381331919276</v>
      </c>
      <c r="L201" s="26"/>
      <c r="M201" s="83">
        <f>C$158*(0.4*D$14)*('Product half-life and C flows'!B62/100)</f>
        <v>1.9246419760379563</v>
      </c>
      <c r="N201" s="83">
        <f t="shared" si="55"/>
        <v>61.377989059788973</v>
      </c>
      <c r="O201" s="83">
        <f t="shared" si="57"/>
        <v>23.063658997738134</v>
      </c>
      <c r="P201" s="83">
        <f t="shared" si="57"/>
        <v>12.300618132127003</v>
      </c>
      <c r="Q201" s="83">
        <f>C$158*(0.6*C$15)*('Product half-life and C flows'!L62/100)</f>
        <v>19.821023349764264</v>
      </c>
      <c r="R201" s="83">
        <f>C$158*0.6*('Product half-life and C flows'!N62/100)</f>
        <v>12.424684480963839</v>
      </c>
      <c r="S201" s="83">
        <f>C$158*0.6*('Product half-life and C flows'!P62/100)</f>
        <v>6.2061361043775394</v>
      </c>
      <c r="T201" s="83">
        <f t="shared" si="40"/>
        <v>21.910476047851219</v>
      </c>
      <c r="U201" s="3"/>
      <c r="V201" s="88"/>
      <c r="W201" s="88"/>
      <c r="X201" s="88"/>
      <c r="Y201" s="88"/>
      <c r="Z201" s="88"/>
      <c r="AA201" s="88"/>
      <c r="AB201" s="88"/>
      <c r="AC201" s="88"/>
      <c r="AE201">
        <f t="shared" si="21"/>
        <v>43</v>
      </c>
      <c r="AF201" s="3">
        <f>(C$158*$AF$76)*('Product half-life and C flows'!B62/100)</f>
        <v>14.434814820284672</v>
      </c>
      <c r="AG201" s="3">
        <f t="shared" si="56"/>
        <v>21.930985094015096</v>
      </c>
      <c r="AH201" s="3"/>
      <c r="AI201" s="3">
        <f t="shared" si="36"/>
        <v>36.365799914299771</v>
      </c>
      <c r="AJ201" s="113">
        <f t="shared" si="22"/>
        <v>128.53773077856621</v>
      </c>
      <c r="AK201" s="124">
        <f t="shared" si="44"/>
        <v>2.0384365473751984</v>
      </c>
      <c r="AL201" s="124">
        <f t="shared" si="45"/>
        <v>61.377989059788973</v>
      </c>
      <c r="AM201" s="124">
        <f t="shared" si="46"/>
        <v>29.124282154994951</v>
      </c>
      <c r="AN201" s="124">
        <f t="shared" si="47"/>
        <v>13.054829013918962</v>
      </c>
      <c r="AO201" s="124">
        <f t="shared" si="48"/>
        <v>20.477334394283897</v>
      </c>
      <c r="AP201" s="124">
        <f t="shared" si="49"/>
        <v>13.275833760484499</v>
      </c>
      <c r="AQ201" s="124">
        <f t="shared" si="50"/>
        <v>6.6312855946475988</v>
      </c>
      <c r="AR201" s="124">
        <f t="shared" si="51"/>
        <v>23.253914181043147</v>
      </c>
      <c r="AS201" s="3">
        <f t="shared" si="37"/>
        <v>169.23390470653723</v>
      </c>
    </row>
    <row r="202" spans="1:45" ht="14">
      <c r="A202">
        <f t="shared" si="58"/>
        <v>44</v>
      </c>
      <c r="B202" s="19">
        <f t="shared" si="58"/>
        <v>124</v>
      </c>
      <c r="C202" s="26">
        <f t="shared" si="54"/>
        <v>129.2523426706143</v>
      </c>
      <c r="D202" s="125">
        <f>(($C$39*$C$118*0.72)*D$40)*('Product half-life and C flows'!B103/100)</f>
        <v>0.10991831048907201</v>
      </c>
      <c r="E202" s="26"/>
      <c r="F202" s="54">
        <f t="shared" si="59"/>
        <v>6.0606231572568161</v>
      </c>
      <c r="G202" s="54">
        <f t="shared" si="59"/>
        <v>0.7542108817919595</v>
      </c>
      <c r="H202" s="125">
        <f>(H$118)*('Product half-life and C flows'!L103/100)</f>
        <v>0.64627916805229046</v>
      </c>
      <c r="I202" s="125">
        <f>(($C$39*$C$118*0.28)*H$41)*('Product half-life and C flows'!N103/100)</f>
        <v>0.8561702336925654</v>
      </c>
      <c r="J202" s="125">
        <f>(($C$39*$C$118*0.28)*H$41)*(+'Product half-life and C flows'!P103/100)</f>
        <v>0.42765745938689576</v>
      </c>
      <c r="K202" s="54">
        <f t="shared" si="53"/>
        <v>1.3434381331919276</v>
      </c>
      <c r="L202" s="26"/>
      <c r="M202" s="83">
        <f>C$158*(0.4*D$14)*('Product half-life and C flows'!B63/100)</f>
        <v>1.8590816048287639</v>
      </c>
      <c r="N202" s="83">
        <f t="shared" si="55"/>
        <v>62.966358162848096</v>
      </c>
      <c r="O202" s="83">
        <f t="shared" si="57"/>
        <v>23.063658997738134</v>
      </c>
      <c r="P202" s="83">
        <f t="shared" si="57"/>
        <v>12.300618132127003</v>
      </c>
      <c r="Q202" s="83">
        <f>C$158*(0.6*C$15)*('Product half-life and C flows'!L63/100)</f>
        <v>19.518054110770713</v>
      </c>
      <c r="R202" s="83">
        <f>C$158*0.6*('Product half-life and C flows'!N63/100)</f>
        <v>12.626865953118871</v>
      </c>
      <c r="S202" s="83">
        <f>C$158*0.6*('Product half-life and C flows'!P63/100)</f>
        <v>6.307125850708724</v>
      </c>
      <c r="T202" s="83">
        <f t="shared" si="40"/>
        <v>21.910476047851219</v>
      </c>
      <c r="U202" s="3"/>
      <c r="V202" s="88"/>
      <c r="W202" s="88"/>
      <c r="X202" s="88"/>
      <c r="Y202" s="88"/>
      <c r="Z202" s="88"/>
      <c r="AA202" s="88"/>
      <c r="AB202" s="88"/>
      <c r="AC202" s="88"/>
      <c r="AE202">
        <f t="shared" si="21"/>
        <v>44</v>
      </c>
      <c r="AF202" s="3">
        <f>(C$158*$AF$76)*('Product half-life and C flows'!B63/100)</f>
        <v>13.943112036215728</v>
      </c>
      <c r="AG202" s="3">
        <f t="shared" si="56"/>
        <v>22.498525667705955</v>
      </c>
      <c r="AH202" s="3"/>
      <c r="AI202" s="3">
        <f t="shared" si="36"/>
        <v>36.441637703921685</v>
      </c>
      <c r="AJ202" s="113">
        <f t="shared" si="22"/>
        <v>129.2523426706143</v>
      </c>
      <c r="AK202" s="124">
        <f t="shared" si="44"/>
        <v>1.9689999153178359</v>
      </c>
      <c r="AL202" s="124">
        <f t="shared" si="45"/>
        <v>62.966358162848096</v>
      </c>
      <c r="AM202" s="124">
        <f t="shared" si="46"/>
        <v>29.124282154994951</v>
      </c>
      <c r="AN202" s="124">
        <f t="shared" si="47"/>
        <v>13.054829013918962</v>
      </c>
      <c r="AO202" s="124">
        <f t="shared" si="48"/>
        <v>20.164333278823005</v>
      </c>
      <c r="AP202" s="124">
        <f t="shared" si="49"/>
        <v>13.483036186811436</v>
      </c>
      <c r="AQ202" s="124">
        <f t="shared" si="50"/>
        <v>6.7347833100956196</v>
      </c>
      <c r="AR202" s="124">
        <f t="shared" si="51"/>
        <v>23.253914181043147</v>
      </c>
      <c r="AS202" s="3">
        <f t="shared" si="37"/>
        <v>170.75053620385304</v>
      </c>
    </row>
    <row r="203" spans="1:45" ht="14">
      <c r="A203">
        <f t="shared" si="58"/>
        <v>45</v>
      </c>
      <c r="B203" s="19">
        <f t="shared" si="58"/>
        <v>125</v>
      </c>
      <c r="C203" s="26">
        <f t="shared" si="54"/>
        <v>129.9553699797319</v>
      </c>
      <c r="D203" s="125">
        <f>(($C$39*$C$118*0.72)*D$40)*('Product half-life and C flows'!B104/100)</f>
        <v>0.10617408931543555</v>
      </c>
      <c r="E203" s="26"/>
      <c r="F203" s="54">
        <f t="shared" si="59"/>
        <v>6.0606231572568161</v>
      </c>
      <c r="G203" s="54">
        <f t="shared" si="59"/>
        <v>0.7542108817919595</v>
      </c>
      <c r="H203" s="125">
        <f>(H$118)*('Product half-life and C flows'!L104/100)</f>
        <v>0.63640063129528102</v>
      </c>
      <c r="I203" s="125">
        <f>(($C$39*$C$118*0.28)*H$41)*('Product half-life and C flows'!N104/100)</f>
        <v>0.86111444133944859</v>
      </c>
      <c r="J203" s="125">
        <f>(($C$39*$C$118*0.28)*H$41)*(+'Product half-life and C flows'!P104/100)</f>
        <v>0.43012709357614803</v>
      </c>
      <c r="K203" s="54">
        <f t="shared" si="53"/>
        <v>1.3434381331919276</v>
      </c>
      <c r="L203" s="26"/>
      <c r="M203" s="83">
        <f>C$158*(0.4*D$14)*('Product half-life and C flows'!B64/100)</f>
        <v>1.7957544605400069</v>
      </c>
      <c r="N203" s="83">
        <f t="shared" si="55"/>
        <v>64.518035837226023</v>
      </c>
      <c r="O203" s="83">
        <f t="shared" si="57"/>
        <v>23.063658997738134</v>
      </c>
      <c r="P203" s="83">
        <f t="shared" si="57"/>
        <v>12.300618132127003</v>
      </c>
      <c r="Q203" s="83">
        <f>C$158*(0.6*C$15)*('Product half-life and C flows'!L64/100)</f>
        <v>19.21971583144844</v>
      </c>
      <c r="R203" s="83">
        <f>C$158*0.6*('Product half-life and C flows'!N64/100)</f>
        <v>12.825957031519934</v>
      </c>
      <c r="S203" s="83">
        <f>C$158*0.6*('Product half-life and C flows'!P64/100)</f>
        <v>6.4065719438161475</v>
      </c>
      <c r="T203" s="83">
        <f t="shared" si="40"/>
        <v>21.910476047851219</v>
      </c>
      <c r="U203" s="3"/>
      <c r="V203" s="88"/>
      <c r="W203" s="88"/>
      <c r="X203" s="88"/>
      <c r="Y203" s="88"/>
      <c r="Z203" s="88"/>
      <c r="AA203" s="88"/>
      <c r="AB203" s="88"/>
      <c r="AC203" s="88"/>
      <c r="AE203">
        <f t="shared" si="21"/>
        <v>45</v>
      </c>
      <c r="AF203" s="3">
        <f>(C$158*$AF$76)*('Product half-life and C flows'!B64/100)</f>
        <v>13.46815845405005</v>
      </c>
      <c r="AG203" s="3">
        <f t="shared" si="56"/>
        <v>23.052956017555793</v>
      </c>
      <c r="AH203" s="3"/>
      <c r="AI203" s="3">
        <f t="shared" si="36"/>
        <v>36.521114471605841</v>
      </c>
      <c r="AJ203" s="113">
        <f t="shared" si="22"/>
        <v>129.9553699797319</v>
      </c>
      <c r="AK203" s="124">
        <f t="shared" si="44"/>
        <v>1.9019285498554424</v>
      </c>
      <c r="AL203" s="124">
        <f t="shared" si="45"/>
        <v>64.518035837226023</v>
      </c>
      <c r="AM203" s="124">
        <f t="shared" si="46"/>
        <v>29.124282154994951</v>
      </c>
      <c r="AN203" s="124">
        <f t="shared" si="47"/>
        <v>13.054829013918962</v>
      </c>
      <c r="AO203" s="124">
        <f t="shared" si="48"/>
        <v>19.856116462743721</v>
      </c>
      <c r="AP203" s="124">
        <f t="shared" si="49"/>
        <v>13.687071472859383</v>
      </c>
      <c r="AQ203" s="124">
        <f t="shared" si="50"/>
        <v>6.8366990373922958</v>
      </c>
      <c r="AR203" s="124">
        <f t="shared" si="51"/>
        <v>23.253914181043147</v>
      </c>
      <c r="AS203" s="3">
        <f t="shared" si="37"/>
        <v>172.23287671003391</v>
      </c>
    </row>
    <row r="204" spans="1:45" ht="14">
      <c r="A204">
        <f t="shared" si="58"/>
        <v>46</v>
      </c>
      <c r="B204" s="19">
        <f t="shared" si="58"/>
        <v>126</v>
      </c>
      <c r="C204" s="26">
        <f t="shared" si="54"/>
        <v>130.6469459561647</v>
      </c>
      <c r="D204" s="125">
        <f>(($C$39*$C$118*0.72)*D$40)*('Product half-life and C flows'!B105/100)</f>
        <v>0.10255741006029047</v>
      </c>
      <c r="E204" s="26"/>
      <c r="F204" s="54">
        <f t="shared" si="59"/>
        <v>6.0606231572568161</v>
      </c>
      <c r="G204" s="54">
        <f t="shared" si="59"/>
        <v>0.7542108817919595</v>
      </c>
      <c r="H204" s="125">
        <f>(H$118)*('Product half-life and C flows'!L105/100)</f>
        <v>0.62667309041324881</v>
      </c>
      <c r="I204" s="125">
        <f>(($C$39*$C$118*0.28)*H$41)*('Product half-life and C flows'!N105/100)</f>
        <v>0.8659830755509057</v>
      </c>
      <c r="J204" s="125">
        <f>(($C$39*$C$118*0.28)*H$41)*(+'Product half-life and C flows'!P105/100)</f>
        <v>0.43255897879665611</v>
      </c>
      <c r="K204" s="54">
        <f t="shared" si="53"/>
        <v>1.3434381331919276</v>
      </c>
      <c r="L204" s="26"/>
      <c r="M204" s="83">
        <f>C$158*(0.4*D$14)*('Product half-life and C flows'!B65/100)</f>
        <v>1.7345844712644307</v>
      </c>
      <c r="N204" s="83">
        <f t="shared" si="55"/>
        <v>66.032685957059485</v>
      </c>
      <c r="O204" s="83">
        <f t="shared" si="57"/>
        <v>23.063658997738134</v>
      </c>
      <c r="P204" s="83">
        <f t="shared" si="57"/>
        <v>12.300618132127003</v>
      </c>
      <c r="Q204" s="83">
        <f>C$158*(0.6*C$15)*('Product half-life and C flows'!L65/100)</f>
        <v>18.925937726434729</v>
      </c>
      <c r="R204" s="83">
        <f>C$158*0.6*('Product half-life and C flows'!N65/100)</f>
        <v>13.022004953599085</v>
      </c>
      <c r="S204" s="83">
        <f>C$158*0.6*('Product half-life and C flows'!P65/100)</f>
        <v>6.5044979788207176</v>
      </c>
      <c r="T204" s="83">
        <f t="shared" si="40"/>
        <v>21.910476047851219</v>
      </c>
      <c r="U204" s="3"/>
      <c r="V204" s="88"/>
      <c r="W204" s="88"/>
      <c r="X204" s="88"/>
      <c r="Y204" s="88"/>
      <c r="Z204" s="88"/>
      <c r="AA204" s="88"/>
      <c r="AB204" s="88"/>
      <c r="AC204" s="88"/>
      <c r="AE204">
        <f t="shared" si="21"/>
        <v>46</v>
      </c>
      <c r="AF204" s="3">
        <f>(C$158*$AF$76)*('Product half-life and C flows'!B65/100)</f>
        <v>13.009383534483231</v>
      </c>
      <c r="AG204" s="3">
        <f t="shared" si="56"/>
        <v>23.594156042345755</v>
      </c>
      <c r="AH204" s="3"/>
      <c r="AI204" s="3">
        <f t="shared" si="36"/>
        <v>36.603539576828986</v>
      </c>
      <c r="AJ204" s="113">
        <f t="shared" si="22"/>
        <v>130.6469459561647</v>
      </c>
      <c r="AK204" s="124">
        <f t="shared" si="44"/>
        <v>1.8371418813247211</v>
      </c>
      <c r="AL204" s="124">
        <f t="shared" si="45"/>
        <v>66.032685957059485</v>
      </c>
      <c r="AM204" s="124">
        <f t="shared" si="46"/>
        <v>29.124282154994951</v>
      </c>
      <c r="AN204" s="124">
        <f t="shared" si="47"/>
        <v>13.054829013918962</v>
      </c>
      <c r="AO204" s="124">
        <f t="shared" si="48"/>
        <v>19.552610816847977</v>
      </c>
      <c r="AP204" s="124">
        <f t="shared" si="49"/>
        <v>13.887988029149991</v>
      </c>
      <c r="AQ204" s="124">
        <f t="shared" si="50"/>
        <v>6.937056957617374</v>
      </c>
      <c r="AR204" s="124">
        <f t="shared" si="51"/>
        <v>23.253914181043147</v>
      </c>
      <c r="AS204" s="3">
        <f t="shared" si="37"/>
        <v>173.68050899195663</v>
      </c>
    </row>
    <row r="205" spans="1:45" ht="14">
      <c r="A205">
        <f t="shared" si="58"/>
        <v>47</v>
      </c>
      <c r="B205" s="19">
        <f t="shared" si="58"/>
        <v>127</v>
      </c>
      <c r="C205" s="26">
        <f t="shared" si="54"/>
        <v>131.32720472148327</v>
      </c>
      <c r="D205" s="125">
        <f>(($C$39*$C$118*0.72)*D$40)*('Product half-life and C flows'!B106/100)</f>
        <v>9.9063928177677063E-2</v>
      </c>
      <c r="E205" s="26"/>
      <c r="F205" s="54">
        <f t="shared" si="59"/>
        <v>6.0606231572568161</v>
      </c>
      <c r="G205" s="54">
        <f t="shared" si="59"/>
        <v>0.7542108817919595</v>
      </c>
      <c r="H205" s="125">
        <f>(H$118)*('Product half-life and C flows'!L106/100)</f>
        <v>0.61709423739693892</v>
      </c>
      <c r="I205" s="125">
        <f>(($C$39*$C$118*0.28)*H$41)*('Product half-life and C flows'!N106/100)</f>
        <v>0.87077729148556882</v>
      </c>
      <c r="J205" s="125">
        <f>(($C$39*$C$118*0.28)*H$41)*(+'Product half-life and C flows'!P106/100)</f>
        <v>0.43495369205073353</v>
      </c>
      <c r="K205" s="54">
        <f t="shared" si="53"/>
        <v>1.3434381331919276</v>
      </c>
      <c r="L205" s="26"/>
      <c r="M205" s="83">
        <f>C$158*(0.4*D$14)*('Product half-life and C flows'!B66/100)</f>
        <v>1.6754981563832083</v>
      </c>
      <c r="N205" s="83">
        <f t="shared" si="55"/>
        <v>67.510100252580912</v>
      </c>
      <c r="O205" s="83">
        <f t="shared" si="57"/>
        <v>23.063658997738134</v>
      </c>
      <c r="P205" s="83">
        <f t="shared" si="57"/>
        <v>12.300618132127003</v>
      </c>
      <c r="Q205" s="83">
        <f>C$158*(0.6*C$15)*('Product half-life and C flows'!L66/100)</f>
        <v>18.636650092338606</v>
      </c>
      <c r="R205" s="83">
        <f>C$158*0.6*('Product half-life and C flows'!N66/100)</f>
        <v>13.215056234752565</v>
      </c>
      <c r="S205" s="83">
        <f>C$158*0.6*('Product half-life and C flows'!P66/100)</f>
        <v>6.6009271901860931</v>
      </c>
      <c r="T205" s="83">
        <f t="shared" si="40"/>
        <v>21.910476047851219</v>
      </c>
      <c r="U205" s="3"/>
      <c r="V205" s="88"/>
      <c r="W205" s="88"/>
      <c r="X205" s="88"/>
      <c r="Y205" s="88"/>
      <c r="Z205" s="88"/>
      <c r="AA205" s="88"/>
      <c r="AB205" s="88"/>
      <c r="AC205" s="88"/>
      <c r="AE205">
        <f t="shared" si="21"/>
        <v>47</v>
      </c>
      <c r="AF205" s="3">
        <f>(C$158*$AF$76)*('Product half-life and C flows'!B66/100)</f>
        <v>12.566236172874062</v>
      </c>
      <c r="AG205" s="3">
        <f t="shared" si="56"/>
        <v>24.122051325151499</v>
      </c>
      <c r="AH205" s="3"/>
      <c r="AI205" s="3">
        <f t="shared" si="36"/>
        <v>36.688287498025559</v>
      </c>
      <c r="AJ205" s="113">
        <f t="shared" si="22"/>
        <v>131.32720472148327</v>
      </c>
      <c r="AK205" s="124">
        <f t="shared" si="44"/>
        <v>1.7745620845608854</v>
      </c>
      <c r="AL205" s="124">
        <f t="shared" si="45"/>
        <v>67.510100252580912</v>
      </c>
      <c r="AM205" s="124">
        <f t="shared" si="46"/>
        <v>29.124282154994951</v>
      </c>
      <c r="AN205" s="124">
        <f t="shared" si="47"/>
        <v>13.054829013918962</v>
      </c>
      <c r="AO205" s="124">
        <f t="shared" si="48"/>
        <v>19.253744329735543</v>
      </c>
      <c r="AP205" s="124">
        <f t="shared" si="49"/>
        <v>14.085833526238133</v>
      </c>
      <c r="AQ205" s="124">
        <f t="shared" si="50"/>
        <v>7.0358808822368264</v>
      </c>
      <c r="AR205" s="124">
        <f t="shared" si="51"/>
        <v>23.253914181043147</v>
      </c>
      <c r="AS205" s="3">
        <f t="shared" si="37"/>
        <v>175.09314642530936</v>
      </c>
    </row>
    <row r="206" spans="1:45" ht="14">
      <c r="A206">
        <f t="shared" si="58"/>
        <v>48</v>
      </c>
      <c r="B206" s="19">
        <f t="shared" si="58"/>
        <v>128</v>
      </c>
      <c r="C206" s="26">
        <f t="shared" si="54"/>
        <v>131.99628112883832</v>
      </c>
      <c r="D206" s="125">
        <f>(($C$39*$C$118*0.72)*D$40)*('Product half-life and C flows'!B107/100)</f>
        <v>9.5689447112819903E-2</v>
      </c>
      <c r="E206" s="26"/>
      <c r="F206" s="54">
        <f t="shared" si="59"/>
        <v>6.0606231572568161</v>
      </c>
      <c r="G206" s="54">
        <f t="shared" si="59"/>
        <v>0.7542108817919595</v>
      </c>
      <c r="H206" s="125">
        <f>(H$118)*('Product half-life and C flows'!L107/100)</f>
        <v>0.60766179951558796</v>
      </c>
      <c r="I206" s="125">
        <f>(($C$39*$C$118*0.28)*H$41)*('Product half-life and C flows'!N107/100)</f>
        <v>0.87549822664518506</v>
      </c>
      <c r="J206" s="125">
        <f>(($C$39*$C$118*0.28)*H$41)*(+'Product half-life and C flows'!P107/100)</f>
        <v>0.4373118015210713</v>
      </c>
      <c r="K206" s="54">
        <f t="shared" si="53"/>
        <v>1.3434381331919276</v>
      </c>
      <c r="L206" s="26"/>
      <c r="M206" s="83">
        <f>C$158*(0.4*D$14)*('Product half-life and C flows'!B67/100)</f>
        <v>1.6184245382971427</v>
      </c>
      <c r="N206" s="83">
        <f t="shared" si="55"/>
        <v>68.950186942718261</v>
      </c>
      <c r="O206" s="83">
        <f t="shared" si="57"/>
        <v>23.063658997738134</v>
      </c>
      <c r="P206" s="83">
        <f t="shared" si="57"/>
        <v>12.300618132127003</v>
      </c>
      <c r="Q206" s="83">
        <f>C$158*(0.6*C$15)*('Product half-life and C flows'!L67/100)</f>
        <v>18.351784291202652</v>
      </c>
      <c r="R206" s="83">
        <f>C$158*0.6*('Product half-life and C flows'!N67/100)</f>
        <v>13.405156679377288</v>
      </c>
      <c r="S206" s="83">
        <f>C$158*0.6*('Product half-life and C flows'!P67/100)</f>
        <v>6.6958824572314093</v>
      </c>
      <c r="T206" s="83">
        <f t="shared" si="40"/>
        <v>21.910476047851219</v>
      </c>
      <c r="U206" s="3"/>
      <c r="V206" s="88"/>
      <c r="W206" s="88"/>
      <c r="X206" s="88"/>
      <c r="Y206" s="88"/>
      <c r="Z206" s="88"/>
      <c r="AA206" s="88"/>
      <c r="AB206" s="88"/>
      <c r="AC206" s="88"/>
      <c r="AE206">
        <f t="shared" ref="AE206:AE269" si="60">A206</f>
        <v>48</v>
      </c>
      <c r="AF206" s="3">
        <f>(C$158*$AF$76)*('Product half-life and C flows'!B67/100)</f>
        <v>12.138184037228569</v>
      </c>
      <c r="AG206" s="3">
        <f t="shared" si="56"/>
        <v>24.636609071654515</v>
      </c>
      <c r="AH206" s="3"/>
      <c r="AI206" s="3">
        <f t="shared" si="36"/>
        <v>36.774793108883088</v>
      </c>
      <c r="AJ206" s="113">
        <f t="shared" ref="AJ206:AJ269" si="61">C206</f>
        <v>131.99628112883832</v>
      </c>
      <c r="AK206" s="124">
        <f t="shared" si="44"/>
        <v>1.7141139854099627</v>
      </c>
      <c r="AL206" s="124">
        <f t="shared" si="45"/>
        <v>68.950186942718261</v>
      </c>
      <c r="AM206" s="124">
        <f t="shared" si="46"/>
        <v>29.124282154994951</v>
      </c>
      <c r="AN206" s="124">
        <f t="shared" si="47"/>
        <v>13.054829013918962</v>
      </c>
      <c r="AO206" s="124">
        <f t="shared" si="48"/>
        <v>18.959446090718238</v>
      </c>
      <c r="AP206" s="124">
        <f t="shared" si="49"/>
        <v>14.280654906022473</v>
      </c>
      <c r="AQ206" s="124">
        <f t="shared" si="50"/>
        <v>7.1331942587524804</v>
      </c>
      <c r="AR206" s="124">
        <f t="shared" si="51"/>
        <v>23.253914181043147</v>
      </c>
      <c r="AS206" s="3">
        <f t="shared" si="37"/>
        <v>176.47062153357845</v>
      </c>
    </row>
    <row r="207" spans="1:45" ht="14">
      <c r="A207">
        <f t="shared" si="58"/>
        <v>49</v>
      </c>
      <c r="B207" s="19">
        <f t="shared" si="58"/>
        <v>129</v>
      </c>
      <c r="C207" s="26">
        <f t="shared" si="54"/>
        <v>132.65431062990476</v>
      </c>
      <c r="D207" s="125">
        <f>(($C$39*$C$118*0.72)*D$40)*('Product half-life and C flows'!B108/100)</f>
        <v>9.2429913261005414E-2</v>
      </c>
      <c r="E207" s="26"/>
      <c r="F207" s="54">
        <f t="shared" si="59"/>
        <v>6.0606231572568161</v>
      </c>
      <c r="G207" s="54">
        <f t="shared" si="59"/>
        <v>0.7542108817919595</v>
      </c>
      <c r="H207" s="125">
        <f>(H$118)*('Product half-life and C flows'!L108/100)</f>
        <v>0.59837353877768396</v>
      </c>
      <c r="I207" s="125">
        <f>(($C$39*$C$118*0.28)*H$41)*('Product half-life and C flows'!N108/100)</f>
        <v>0.88014700114450595</v>
      </c>
      <c r="J207" s="125">
        <f>(($C$39*$C$118*0.28)*H$41)*(+'Product half-life and C flows'!P108/100)</f>
        <v>0.43963386670554727</v>
      </c>
      <c r="K207" s="54">
        <f t="shared" si="53"/>
        <v>1.3434381331919276</v>
      </c>
      <c r="L207" s="26"/>
      <c r="M207" s="83">
        <f>C$158*(0.4*D$14)*('Product half-life and C flows'!B68/100)</f>
        <v>1.5632950571646302</v>
      </c>
      <c r="N207" s="83">
        <f t="shared" si="55"/>
        <v>70.352960023466522</v>
      </c>
      <c r="O207" s="83">
        <f t="shared" si="57"/>
        <v>23.063658997738134</v>
      </c>
      <c r="P207" s="83">
        <f t="shared" si="57"/>
        <v>12.300618132127003</v>
      </c>
      <c r="Q207" s="83">
        <f>C$158*(0.6*C$15)*('Product half-life and C flows'!L68/100)</f>
        <v>18.071272734217597</v>
      </c>
      <c r="R207" s="83">
        <f>C$158*0.6*('Product half-life and C flows'!N68/100)</f>
        <v>13.592351391738649</v>
      </c>
      <c r="S207" s="83">
        <f>C$158*0.6*('Product half-life and C flows'!P68/100)</f>
        <v>6.7893863095597604</v>
      </c>
      <c r="T207" s="83">
        <f t="shared" si="40"/>
        <v>21.910476047851219</v>
      </c>
      <c r="U207" s="3"/>
      <c r="V207" s="88"/>
      <c r="W207" s="88"/>
      <c r="X207" s="88"/>
      <c r="Y207" s="88"/>
      <c r="Z207" s="88"/>
      <c r="AA207" s="88"/>
      <c r="AB207" s="88"/>
      <c r="AC207" s="88"/>
      <c r="AE207">
        <f t="shared" si="60"/>
        <v>49</v>
      </c>
      <c r="AF207" s="3">
        <f>(C$158*$AF$76)*('Product half-life and C flows'!B68/100)</f>
        <v>11.724712928734727</v>
      </c>
      <c r="AG207" s="3">
        <f t="shared" si="56"/>
        <v>25.137834282767379</v>
      </c>
      <c r="AH207" s="3"/>
      <c r="AI207" s="3">
        <f t="shared" si="36"/>
        <v>36.862547211502104</v>
      </c>
      <c r="AJ207" s="113">
        <f t="shared" si="61"/>
        <v>132.65431062990476</v>
      </c>
      <c r="AK207" s="124">
        <f t="shared" si="44"/>
        <v>1.6557249704256356</v>
      </c>
      <c r="AL207" s="124">
        <f t="shared" si="45"/>
        <v>70.352960023466522</v>
      </c>
      <c r="AM207" s="124">
        <f t="shared" si="46"/>
        <v>29.124282154994951</v>
      </c>
      <c r="AN207" s="124">
        <f t="shared" si="47"/>
        <v>13.054829013918962</v>
      </c>
      <c r="AO207" s="124">
        <f t="shared" si="48"/>
        <v>18.66964627299528</v>
      </c>
      <c r="AP207" s="124">
        <f t="shared" si="49"/>
        <v>14.472498392883155</v>
      </c>
      <c r="AQ207" s="124">
        <f t="shared" si="50"/>
        <v>7.2290201762653075</v>
      </c>
      <c r="AR207" s="124">
        <f t="shared" si="51"/>
        <v>23.253914181043147</v>
      </c>
      <c r="AS207" s="3">
        <f t="shared" si="37"/>
        <v>177.81287518599294</v>
      </c>
    </row>
    <row r="208" spans="1:45" ht="14">
      <c r="A208">
        <f t="shared" si="58"/>
        <v>50</v>
      </c>
      <c r="B208" s="19">
        <f t="shared" si="58"/>
        <v>130</v>
      </c>
      <c r="C208" s="26">
        <f t="shared" si="54"/>
        <v>133.30142914827974</v>
      </c>
      <c r="D208" s="125">
        <f>(($C$39*$C$118*0.72)*D$40)*('Product half-life and C flows'!B109/100)</f>
        <v>8.9281411098177471E-2</v>
      </c>
      <c r="E208" s="26"/>
      <c r="F208" s="54">
        <f t="shared" si="59"/>
        <v>6.0606231572568161</v>
      </c>
      <c r="G208" s="54">
        <f t="shared" si="59"/>
        <v>0.7542108817919595</v>
      </c>
      <c r="H208" s="125">
        <f>(H$118)*('Product half-life and C flows'!L109/100)</f>
        <v>0.58922725139996834</v>
      </c>
      <c r="I208" s="125">
        <f>(($C$39*$C$118*0.28)*H$41)*('Product half-life and C flows'!N109/100)</f>
        <v>0.88472471797705254</v>
      </c>
      <c r="J208" s="125">
        <f>(($C$39*$C$118*0.28)*H$41)*(+'Product half-life and C flows'!P109/100)</f>
        <v>0.4419204385499762</v>
      </c>
      <c r="K208" s="54">
        <f t="shared" si="53"/>
        <v>1.3434381331919276</v>
      </c>
      <c r="L208" s="26"/>
      <c r="M208" s="83">
        <f>C$158*(0.4*D$14)*('Product half-life and C flows'!B69/100)</f>
        <v>1.5100434885439598</v>
      </c>
      <c r="N208" s="83">
        <f t="shared" si="55"/>
        <v>71.718529201659706</v>
      </c>
      <c r="O208" s="83">
        <f t="shared" ref="O208:P223" si="62">O207</f>
        <v>23.063658997738134</v>
      </c>
      <c r="P208" s="83">
        <f t="shared" si="62"/>
        <v>12.300618132127003</v>
      </c>
      <c r="Q208" s="83">
        <f>C$158*(0.6*C$15)*('Product half-life and C flows'!L69/100)</f>
        <v>17.795048865685807</v>
      </c>
      <c r="R208" s="83">
        <f>C$158*0.6*('Product half-life and C flows'!N69/100)</f>
        <v>13.776684786672199</v>
      </c>
      <c r="S208" s="83">
        <f>C$158*0.6*('Product half-life and C flows'!P69/100)</f>
        <v>6.8814609324036926</v>
      </c>
      <c r="T208" s="83">
        <f t="shared" si="40"/>
        <v>21.910476047851219</v>
      </c>
      <c r="U208" s="3"/>
      <c r="V208" s="88"/>
      <c r="W208" s="88"/>
      <c r="X208" s="88"/>
      <c r="Y208" s="88"/>
      <c r="Z208" s="88"/>
      <c r="AA208" s="88"/>
      <c r="AB208" s="88"/>
      <c r="AC208" s="88"/>
      <c r="AE208">
        <f t="shared" si="60"/>
        <v>50</v>
      </c>
      <c r="AF208" s="3">
        <f>(C$158*$AF$76)*('Product half-life and C flows'!B69/100)</f>
        <v>11.325326164079696</v>
      </c>
      <c r="AG208" s="3">
        <f t="shared" si="56"/>
        <v>25.625766157867233</v>
      </c>
      <c r="AH208" s="3"/>
      <c r="AI208" s="3">
        <f t="shared" si="36"/>
        <v>36.95109232194693</v>
      </c>
      <c r="AJ208" s="113">
        <f t="shared" si="61"/>
        <v>133.30142914827974</v>
      </c>
      <c r="AK208" s="124">
        <f t="shared" si="44"/>
        <v>1.5993248996421372</v>
      </c>
      <c r="AL208" s="124">
        <f t="shared" si="45"/>
        <v>71.718529201659706</v>
      </c>
      <c r="AM208" s="124">
        <f t="shared" si="46"/>
        <v>29.124282154994951</v>
      </c>
      <c r="AN208" s="124">
        <f t="shared" si="47"/>
        <v>13.054829013918962</v>
      </c>
      <c r="AO208" s="124">
        <f t="shared" si="48"/>
        <v>18.384276117085776</v>
      </c>
      <c r="AP208" s="124">
        <f t="shared" si="49"/>
        <v>14.661409504649251</v>
      </c>
      <c r="AQ208" s="124">
        <f t="shared" si="50"/>
        <v>7.323381370953669</v>
      </c>
      <c r="AR208" s="124">
        <f t="shared" si="51"/>
        <v>23.253914181043147</v>
      </c>
      <c r="AS208" s="3">
        <f t="shared" si="37"/>
        <v>179.11994644394761</v>
      </c>
    </row>
    <row r="209" spans="1:45" ht="14">
      <c r="A209">
        <f t="shared" si="58"/>
        <v>51</v>
      </c>
      <c r="B209" s="19">
        <f t="shared" si="58"/>
        <v>131</v>
      </c>
      <c r="C209" s="26">
        <f t="shared" si="54"/>
        <v>133.9377729591053</v>
      </c>
      <c r="D209" s="125">
        <f>(($C$39*$C$118*0.72)*D$40)*('Product half-life and C flows'!B110/100)</f>
        <v>8.6240158477403517E-2</v>
      </c>
      <c r="E209" s="26"/>
      <c r="F209" s="54">
        <f t="shared" si="59"/>
        <v>6.0606231572568161</v>
      </c>
      <c r="G209" s="54">
        <f t="shared" si="59"/>
        <v>0.7542108817919595</v>
      </c>
      <c r="H209" s="125">
        <f>(H$118)*('Product half-life and C flows'!L110/100)</f>
        <v>0.58022076728455385</v>
      </c>
      <c r="I209" s="125">
        <f>(($C$39*$C$118*0.28)*H$41)*('Product half-life and C flows'!N110/100)</f>
        <v>0.88923246327681749</v>
      </c>
      <c r="J209" s="125">
        <f>(($C$39*$C$118*0.28)*H$41)*(+'Product half-life and C flows'!P110/100)</f>
        <v>0.44417205957882983</v>
      </c>
      <c r="K209" s="54">
        <f t="shared" si="53"/>
        <v>1.3434381331919276</v>
      </c>
      <c r="L209" s="26"/>
      <c r="M209" s="83">
        <f>C$158*(0.4*D$14)*('Product half-life and C flows'!B70/100)</f>
        <v>1.45860586384102</v>
      </c>
      <c r="N209" s="83">
        <f t="shared" si="55"/>
        <v>73.047090459435708</v>
      </c>
      <c r="O209" s="83">
        <f t="shared" si="62"/>
        <v>23.063658997738134</v>
      </c>
      <c r="P209" s="83">
        <f t="shared" si="62"/>
        <v>12.300618132127003</v>
      </c>
      <c r="Q209" s="83">
        <f>C$158*(0.6*C$15)*('Product half-life and C flows'!L70/100)</f>
        <v>17.523047147229931</v>
      </c>
      <c r="R209" s="83">
        <f>C$158*0.6*('Product half-life and C flows'!N70/100)</f>
        <v>13.958200600121751</v>
      </c>
      <c r="S209" s="83">
        <f>C$158*0.6*('Product half-life and C flows'!P70/100)</f>
        <v>6.9721281718889836</v>
      </c>
      <c r="T209" s="83">
        <f t="shared" si="40"/>
        <v>21.910476047851219</v>
      </c>
      <c r="U209" s="3"/>
      <c r="V209" s="88"/>
      <c r="W209" s="88"/>
      <c r="X209" s="88"/>
      <c r="Y209" s="88"/>
      <c r="Z209" s="88"/>
      <c r="AA209" s="88"/>
      <c r="AB209" s="88"/>
      <c r="AC209" s="88"/>
      <c r="AE209">
        <f t="shared" si="60"/>
        <v>51</v>
      </c>
      <c r="AF209" s="3">
        <f>(C$158*$AF$76)*('Product half-life and C flows'!B70/100)</f>
        <v>10.939543978807649</v>
      </c>
      <c r="AG209" s="3">
        <f t="shared" si="56"/>
        <v>26.100474723382295</v>
      </c>
      <c r="AH209" s="3"/>
      <c r="AI209" s="3">
        <f t="shared" si="36"/>
        <v>37.04001870218994</v>
      </c>
      <c r="AJ209" s="113">
        <f t="shared" si="61"/>
        <v>133.9377729591053</v>
      </c>
      <c r="AK209" s="124">
        <f t="shared" si="44"/>
        <v>1.5448460223184235</v>
      </c>
      <c r="AL209" s="124">
        <f t="shared" si="45"/>
        <v>73.047090459435708</v>
      </c>
      <c r="AM209" s="124">
        <f t="shared" si="46"/>
        <v>29.124282154994951</v>
      </c>
      <c r="AN209" s="124">
        <f t="shared" si="47"/>
        <v>13.054829013918962</v>
      </c>
      <c r="AO209" s="124">
        <f t="shared" si="48"/>
        <v>18.103267914514486</v>
      </c>
      <c r="AP209" s="124">
        <f t="shared" si="49"/>
        <v>14.847433063398569</v>
      </c>
      <c r="AQ209" s="124">
        <f t="shared" si="50"/>
        <v>7.4163002314678135</v>
      </c>
      <c r="AR209" s="124">
        <f t="shared" si="51"/>
        <v>23.253914181043147</v>
      </c>
      <c r="AS209" s="3">
        <f t="shared" si="37"/>
        <v>180.39196304109205</v>
      </c>
    </row>
    <row r="210" spans="1:45" ht="14">
      <c r="A210">
        <f t="shared" si="58"/>
        <v>52</v>
      </c>
      <c r="B210" s="19">
        <f t="shared" si="58"/>
        <v>132</v>
      </c>
      <c r="C210" s="26">
        <f t="shared" si="54"/>
        <v>134.56347857469208</v>
      </c>
      <c r="D210" s="125">
        <f>(($C$39*$C$118*0.72)*D$40)*('Product half-life and C flows'!B111/100)</f>
        <v>8.3302502085560073E-2</v>
      </c>
      <c r="E210" s="26"/>
      <c r="F210" s="54">
        <f t="shared" si="59"/>
        <v>6.0606231572568161</v>
      </c>
      <c r="G210" s="54">
        <f t="shared" si="59"/>
        <v>0.7542108817919595</v>
      </c>
      <c r="H210" s="125">
        <f>(H$118)*('Product half-life and C flows'!L111/100)</f>
        <v>0.57135194950403567</v>
      </c>
      <c r="I210" s="125">
        <f>(($C$39*$C$118*0.28)*H$41)*('Product half-life and C flows'!N111/100)</f>
        <v>0.89367130657596683</v>
      </c>
      <c r="J210" s="125">
        <f>(($C$39*$C$118*0.28)*H$41)*(+'Product half-life and C flows'!P111/100)</f>
        <v>0.44638926402395934</v>
      </c>
      <c r="K210" s="54">
        <f t="shared" si="53"/>
        <v>1.3434381331919276</v>
      </c>
      <c r="L210" s="26"/>
      <c r="M210" s="83">
        <f>C$158*(0.4*D$14)*('Product half-life and C flows'!B71/100)</f>
        <v>1.4089203934668473</v>
      </c>
      <c r="N210" s="83">
        <f t="shared" si="55"/>
        <v>74.338917231292029</v>
      </c>
      <c r="O210" s="83">
        <f t="shared" si="62"/>
        <v>23.063658997738134</v>
      </c>
      <c r="P210" s="83">
        <f t="shared" si="62"/>
        <v>12.300618132127003</v>
      </c>
      <c r="Q210" s="83">
        <f>C$158*(0.6*C$15)*('Product half-life and C flows'!L71/100)</f>
        <v>17.255203042242908</v>
      </c>
      <c r="R210" s="83">
        <f>C$158*0.6*('Product half-life and C flows'!N71/100)</f>
        <v>14.136941899516422</v>
      </c>
      <c r="S210" s="83">
        <f>C$158*0.6*('Product half-life and C flows'!P71/100)</f>
        <v>7.0614095402179915</v>
      </c>
      <c r="T210" s="83">
        <f t="shared" si="40"/>
        <v>21.910476047851219</v>
      </c>
      <c r="U210" s="3"/>
      <c r="V210" s="88"/>
      <c r="W210" s="88"/>
      <c r="X210" s="88"/>
      <c r="Y210" s="88"/>
      <c r="Z210" s="88"/>
      <c r="AA210" s="88"/>
      <c r="AB210" s="88"/>
      <c r="AC210" s="88"/>
      <c r="AE210">
        <f t="shared" si="60"/>
        <v>52</v>
      </c>
      <c r="AF210" s="3">
        <f>(C$158*$AF$76)*('Product half-life and C flows'!B71/100)</f>
        <v>10.566902951001355</v>
      </c>
      <c r="AG210" s="3">
        <f t="shared" si="56"/>
        <v>26.562057680263354</v>
      </c>
      <c r="AH210" s="3"/>
      <c r="AI210" s="3">
        <f t="shared" si="36"/>
        <v>37.128960631264711</v>
      </c>
      <c r="AJ210" s="113">
        <f t="shared" si="61"/>
        <v>134.56347857469208</v>
      </c>
      <c r="AK210" s="124">
        <f t="shared" si="44"/>
        <v>1.4922228955524073</v>
      </c>
      <c r="AL210" s="124">
        <f t="shared" si="45"/>
        <v>74.338917231292029</v>
      </c>
      <c r="AM210" s="124">
        <f t="shared" si="46"/>
        <v>29.124282154994951</v>
      </c>
      <c r="AN210" s="124">
        <f t="shared" si="47"/>
        <v>13.054829013918962</v>
      </c>
      <c r="AO210" s="124">
        <f t="shared" si="48"/>
        <v>17.826554991746942</v>
      </c>
      <c r="AP210" s="124">
        <f t="shared" si="49"/>
        <v>15.03061320609239</v>
      </c>
      <c r="AQ210" s="124">
        <f t="shared" si="50"/>
        <v>7.5077988042419506</v>
      </c>
      <c r="AR210" s="124">
        <f t="shared" si="51"/>
        <v>23.253914181043147</v>
      </c>
      <c r="AS210" s="3">
        <f t="shared" si="37"/>
        <v>181.62913247888278</v>
      </c>
    </row>
    <row r="211" spans="1:45" ht="14">
      <c r="A211">
        <f t="shared" si="58"/>
        <v>53</v>
      </c>
      <c r="B211" s="19">
        <f t="shared" si="58"/>
        <v>133</v>
      </c>
      <c r="C211" s="26">
        <f t="shared" si="54"/>
        <v>135.17868263592746</v>
      </c>
      <c r="D211" s="125">
        <f>(($C$39*$C$118*0.72)*D$40)*('Product half-life and C flows'!B112/100)</f>
        <v>8.0464913054780152E-2</v>
      </c>
      <c r="E211" s="26"/>
      <c r="F211" s="54">
        <f t="shared" si="59"/>
        <v>6.0606231572568161</v>
      </c>
      <c r="G211" s="54">
        <f t="shared" si="59"/>
        <v>0.7542108817919595</v>
      </c>
      <c r="H211" s="125">
        <f>(H$118)*('Product half-life and C flows'!L112/100)</f>
        <v>0.56261869379447194</v>
      </c>
      <c r="I211" s="125">
        <f>(($C$39*$C$118*0.28)*H$41)*('Product half-life and C flows'!N112/100)</f>
        <v>0.8980423010586035</v>
      </c>
      <c r="J211" s="125">
        <f>(($C$39*$C$118*0.28)*H$41)*(+'Product half-life and C flows'!P112/100)</f>
        <v>0.44857257795135025</v>
      </c>
      <c r="K211" s="54">
        <f t="shared" si="53"/>
        <v>1.3434381331919276</v>
      </c>
      <c r="L211" s="26"/>
      <c r="M211" s="83">
        <f>C$158*(0.4*D$14)*('Product half-life and C flows'!B72/100)</f>
        <v>1.3609273926127159</v>
      </c>
      <c r="N211" s="83">
        <f t="shared" si="55"/>
        <v>75.59435217302817</v>
      </c>
      <c r="O211" s="83">
        <f t="shared" si="62"/>
        <v>23.063658997738134</v>
      </c>
      <c r="P211" s="83">
        <f t="shared" si="62"/>
        <v>12.300618132127003</v>
      </c>
      <c r="Q211" s="83">
        <f>C$158*(0.6*C$15)*('Product half-life and C flows'!L72/100)</f>
        <v>16.991453000575671</v>
      </c>
      <c r="R211" s="83">
        <f>C$158*0.6*('Product half-life and C flows'!N72/100)</f>
        <v>14.312951093989028</v>
      </c>
      <c r="S211" s="83">
        <f>C$158*0.6*('Product half-life and C flows'!P72/100)</f>
        <v>7.1493262207737374</v>
      </c>
      <c r="T211" s="83">
        <f t="shared" si="40"/>
        <v>21.910476047851219</v>
      </c>
      <c r="U211" s="3"/>
      <c r="V211" s="88"/>
      <c r="W211" s="88"/>
      <c r="X211" s="88"/>
      <c r="Y211" s="88"/>
      <c r="Z211" s="88"/>
      <c r="AA211" s="88"/>
      <c r="AB211" s="88"/>
      <c r="AC211" s="88"/>
      <c r="AE211">
        <f t="shared" si="60"/>
        <v>53</v>
      </c>
      <c r="AF211" s="3">
        <f>(C$158*$AF$76)*('Product half-life and C flows'!B72/100)</f>
        <v>10.206955444595367</v>
      </c>
      <c r="AG211" s="3">
        <f t="shared" si="56"/>
        <v>27.010637462942462</v>
      </c>
      <c r="AH211" s="3"/>
      <c r="AI211" s="3">
        <f t="shared" si="36"/>
        <v>37.217592907537828</v>
      </c>
      <c r="AJ211" s="113">
        <f t="shared" si="61"/>
        <v>135.17868263592746</v>
      </c>
      <c r="AK211" s="124">
        <f t="shared" si="44"/>
        <v>1.441392305667496</v>
      </c>
      <c r="AL211" s="124">
        <f t="shared" si="45"/>
        <v>75.59435217302817</v>
      </c>
      <c r="AM211" s="124">
        <f t="shared" si="46"/>
        <v>29.124282154994951</v>
      </c>
      <c r="AN211" s="124">
        <f t="shared" si="47"/>
        <v>13.054829013918962</v>
      </c>
      <c r="AO211" s="124">
        <f t="shared" si="48"/>
        <v>17.554071694370144</v>
      </c>
      <c r="AP211" s="124">
        <f t="shared" si="49"/>
        <v>15.210993395047632</v>
      </c>
      <c r="AQ211" s="124">
        <f t="shared" si="50"/>
        <v>7.5978987987250877</v>
      </c>
      <c r="AR211" s="124">
        <f t="shared" si="51"/>
        <v>23.253914181043147</v>
      </c>
      <c r="AS211" s="3">
        <f t="shared" si="37"/>
        <v>182.83173371679558</v>
      </c>
    </row>
    <row r="212" spans="1:45" ht="14">
      <c r="A212">
        <f t="shared" si="58"/>
        <v>54</v>
      </c>
      <c r="B212" s="19">
        <f t="shared" si="58"/>
        <v>134</v>
      </c>
      <c r="C212" s="26">
        <f t="shared" si="54"/>
        <v>135.78352180925319</v>
      </c>
      <c r="D212" s="125">
        <f>(($C$39*$C$118*0.72)*D$40)*('Product half-life and C flows'!B113/100)</f>
        <v>7.7723982723391219E-2</v>
      </c>
      <c r="E212" s="26"/>
      <c r="F212" s="54">
        <f t="shared" si="59"/>
        <v>6.0606231572568161</v>
      </c>
      <c r="G212" s="54">
        <f t="shared" si="59"/>
        <v>0.7542108817919595</v>
      </c>
      <c r="H212" s="125">
        <f>(H$118)*('Product half-life and C flows'!L113/100)</f>
        <v>0.55401892805611597</v>
      </c>
      <c r="I212" s="125">
        <f>(($C$39*$C$118*0.28)*H$41)*('Product half-life and C flows'!N113/100)</f>
        <v>0.90234648381065075</v>
      </c>
      <c r="J212" s="125">
        <f>(($C$39*$C$118*0.28)*H$41)*(+'Product half-life and C flows'!P113/100)</f>
        <v>0.45072251938593932</v>
      </c>
      <c r="K212" s="54">
        <f t="shared" si="53"/>
        <v>1.3434381331919276</v>
      </c>
      <c r="L212" s="26"/>
      <c r="M212" s="83">
        <f>C$158*(0.4*D$14)*('Product half-life and C flows'!B73/100)</f>
        <v>1.3145692095535884</v>
      </c>
      <c r="N212" s="83">
        <f t="shared" si="55"/>
        <v>76.813799499943926</v>
      </c>
      <c r="O212" s="83">
        <f t="shared" si="62"/>
        <v>23.063658997738134</v>
      </c>
      <c r="P212" s="83">
        <f t="shared" si="62"/>
        <v>12.300618132127003</v>
      </c>
      <c r="Q212" s="83">
        <f>C$158*(0.6*C$15)*('Product half-life and C flows'!L73/100)</f>
        <v>16.731734443458873</v>
      </c>
      <c r="R212" s="83">
        <f>C$158*0.6*('Product half-life and C flows'!N73/100)</f>
        <v>14.486269944438302</v>
      </c>
      <c r="S212" s="83">
        <f>C$158*0.6*('Product half-life and C flows'!P73/100)</f>
        <v>7.2358990731460029</v>
      </c>
      <c r="T212" s="83">
        <f t="shared" si="40"/>
        <v>21.910476047851219</v>
      </c>
      <c r="U212" s="3"/>
      <c r="V212" s="88"/>
      <c r="W212" s="88"/>
      <c r="X212" s="88"/>
      <c r="Y212" s="88"/>
      <c r="Z212" s="88"/>
      <c r="AA212" s="88"/>
      <c r="AB212" s="88"/>
      <c r="AC212" s="88"/>
      <c r="AE212">
        <f t="shared" si="60"/>
        <v>54</v>
      </c>
      <c r="AF212" s="3">
        <f>(C$158*$AF$76)*('Product half-life and C flows'!B73/100)</f>
        <v>9.8592690716519122</v>
      </c>
      <c r="AG212" s="3">
        <f t="shared" si="56"/>
        <v>27.4463585016926</v>
      </c>
      <c r="AH212" s="3"/>
      <c r="AI212" s="3">
        <f t="shared" si="36"/>
        <v>37.305627573344509</v>
      </c>
      <c r="AJ212" s="113">
        <f t="shared" si="61"/>
        <v>135.78352180925319</v>
      </c>
      <c r="AK212" s="124">
        <f t="shared" si="44"/>
        <v>1.3922931922769797</v>
      </c>
      <c r="AL212" s="124">
        <f t="shared" si="45"/>
        <v>76.813799499943926</v>
      </c>
      <c r="AM212" s="124">
        <f t="shared" si="46"/>
        <v>29.124282154994951</v>
      </c>
      <c r="AN212" s="124">
        <f t="shared" si="47"/>
        <v>13.054829013918962</v>
      </c>
      <c r="AO212" s="124">
        <f t="shared" si="48"/>
        <v>17.285753371514989</v>
      </c>
      <c r="AP212" s="124">
        <f t="shared" si="49"/>
        <v>15.388616428248952</v>
      </c>
      <c r="AQ212" s="124">
        <f t="shared" si="50"/>
        <v>7.6866215925319423</v>
      </c>
      <c r="AR212" s="124">
        <f t="shared" si="51"/>
        <v>23.253914181043147</v>
      </c>
      <c r="AS212" s="3">
        <f t="shared" si="37"/>
        <v>184.00010943447384</v>
      </c>
    </row>
    <row r="213" spans="1:45" ht="14">
      <c r="A213">
        <f t="shared" ref="A213:B228" si="63">A212+1</f>
        <v>55</v>
      </c>
      <c r="B213" s="19">
        <f t="shared" si="63"/>
        <v>135</v>
      </c>
      <c r="C213" s="26">
        <f t="shared" si="54"/>
        <v>136.37813268900979</v>
      </c>
      <c r="D213" s="125">
        <f>(($C$39*$C$118*0.72)*D$40)*('Product half-life and C flows'!B114/100)</f>
        <v>7.5076418541250634E-2</v>
      </c>
      <c r="E213" s="26"/>
      <c r="F213" s="54">
        <f t="shared" si="59"/>
        <v>6.0606231572568161</v>
      </c>
      <c r="G213" s="54">
        <f t="shared" si="59"/>
        <v>0.7542108817919595</v>
      </c>
      <c r="H213" s="125">
        <f>(H$118)*('Product half-life and C flows'!L114/100)</f>
        <v>0.54555061186177667</v>
      </c>
      <c r="I213" s="125">
        <f>(($C$39*$C$118*0.28)*H$41)*('Product half-life and C flows'!N114/100)</f>
        <v>0.90658487606591753</v>
      </c>
      <c r="J213" s="125">
        <f>(($C$39*$C$118*0.28)*H$41)*(+'Product half-life and C flows'!P114/100)</f>
        <v>0.45283959843452415</v>
      </c>
      <c r="K213" s="54">
        <f t="shared" si="53"/>
        <v>1.3434381331919276</v>
      </c>
      <c r="L213" s="26"/>
      <c r="M213" s="83">
        <f>C$158*(0.4*D$14)*('Product half-life and C flows'!B74/100)</f>
        <v>1.2697901563938292</v>
      </c>
      <c r="N213" s="83">
        <f t="shared" si="55"/>
        <v>77.997717870301713</v>
      </c>
      <c r="O213" s="83">
        <f t="shared" si="62"/>
        <v>23.063658997738134</v>
      </c>
      <c r="P213" s="83">
        <f t="shared" si="62"/>
        <v>12.300618132127003</v>
      </c>
      <c r="Q213" s="83">
        <f>C$158*(0.6*C$15)*('Product half-life and C flows'!L74/100)</f>
        <v>16.475985748655116</v>
      </c>
      <c r="R213" s="83">
        <f>C$158*0.6*('Product half-life and C flows'!N74/100)</f>
        <v>14.656939573437343</v>
      </c>
      <c r="S213" s="83">
        <f>C$158*0.6*('Product half-life and C flows'!P74/100)</f>
        <v>7.3211486380805892</v>
      </c>
      <c r="T213" s="83">
        <f t="shared" si="40"/>
        <v>21.910476047851219</v>
      </c>
      <c r="U213" s="3"/>
      <c r="V213" s="88"/>
      <c r="W213" s="88"/>
      <c r="X213" s="88"/>
      <c r="Y213" s="88"/>
      <c r="Z213" s="88"/>
      <c r="AA213" s="88"/>
      <c r="AB213" s="88"/>
      <c r="AC213" s="88"/>
      <c r="AE213">
        <f t="shared" si="60"/>
        <v>55</v>
      </c>
      <c r="AF213" s="3">
        <f>(C$158*$AF$76)*('Product half-life and C flows'!B74/100)</f>
        <v>9.5234261729537177</v>
      </c>
      <c r="AG213" s="3">
        <f t="shared" si="56"/>
        <v>27.869384679815756</v>
      </c>
      <c r="AH213" s="3"/>
      <c r="AI213" s="3">
        <f t="shared" si="36"/>
        <v>37.392810852769472</v>
      </c>
      <c r="AJ213" s="113">
        <f t="shared" si="61"/>
        <v>136.37813268900979</v>
      </c>
      <c r="AK213" s="124">
        <f t="shared" si="44"/>
        <v>1.3448665749350799</v>
      </c>
      <c r="AL213" s="124">
        <f t="shared" si="45"/>
        <v>77.997717870301713</v>
      </c>
      <c r="AM213" s="124">
        <f t="shared" si="46"/>
        <v>29.124282154994951</v>
      </c>
      <c r="AN213" s="124">
        <f t="shared" si="47"/>
        <v>13.054829013918962</v>
      </c>
      <c r="AO213" s="124">
        <f t="shared" si="48"/>
        <v>17.021536360516894</v>
      </c>
      <c r="AP213" s="124">
        <f t="shared" si="49"/>
        <v>15.563524449503261</v>
      </c>
      <c r="AQ213" s="124">
        <f t="shared" si="50"/>
        <v>7.7739882365151134</v>
      </c>
      <c r="AR213" s="124">
        <f t="shared" si="51"/>
        <v>23.253914181043147</v>
      </c>
      <c r="AS213" s="3">
        <f t="shared" si="37"/>
        <v>185.13465884172913</v>
      </c>
    </row>
    <row r="214" spans="1:45" ht="14">
      <c r="A214">
        <f t="shared" si="63"/>
        <v>56</v>
      </c>
      <c r="B214" s="19">
        <f t="shared" si="63"/>
        <v>136</v>
      </c>
      <c r="C214" s="26">
        <f t="shared" si="54"/>
        <v>136.96265170494351</v>
      </c>
      <c r="D214" s="125">
        <f>(($C$39*$C$118*0.72)*D$40)*('Product half-life and C flows'!B115/100)</f>
        <v>7.2519040114560854E-2</v>
      </c>
      <c r="E214" s="26"/>
      <c r="F214" s="54">
        <f t="shared" si="59"/>
        <v>6.0606231572568161</v>
      </c>
      <c r="G214" s="54">
        <f t="shared" si="59"/>
        <v>0.7542108817919595</v>
      </c>
      <c r="H214" s="125">
        <f>(H$118)*('Product half-life and C flows'!L115/100)</f>
        <v>0.53721173597269722</v>
      </c>
      <c r="I214" s="125">
        <f>(($C$39*$C$118*0.28)*H$41)*('Product half-life and C flows'!N115/100)</f>
        <v>0.9107584834484016</v>
      </c>
      <c r="J214" s="125">
        <f>(($C$39*$C$118*0.28)*H$41)*(+'Product half-life and C flows'!P115/100)</f>
        <v>0.45492431740679395</v>
      </c>
      <c r="K214" s="54">
        <f t="shared" si="53"/>
        <v>1.3434381331919276</v>
      </c>
      <c r="L214" s="26"/>
      <c r="M214" s="83">
        <f>C$158*(0.4*D$14)*('Product half-life and C flows'!B75/100)</f>
        <v>1.2265364421719611</v>
      </c>
      <c r="N214" s="83">
        <f t="shared" si="55"/>
        <v>79.146613789176996</v>
      </c>
      <c r="O214" s="83">
        <f t="shared" si="62"/>
        <v>23.063658997738134</v>
      </c>
      <c r="P214" s="83">
        <f t="shared" si="62"/>
        <v>12.300618132127003</v>
      </c>
      <c r="Q214" s="83">
        <f>C$158*(0.6*C$15)*('Product half-life and C flows'!L75/100)</f>
        <v>16.224146235838134</v>
      </c>
      <c r="R214" s="83">
        <f>C$158*0.6*('Product half-life and C flows'!N75/100)</f>
        <v>14.825000474990544</v>
      </c>
      <c r="S214" s="83">
        <f>C$158*0.6*('Product half-life and C flows'!P75/100)</f>
        <v>7.4050951423529154</v>
      </c>
      <c r="T214" s="83">
        <f t="shared" si="40"/>
        <v>21.910476047851219</v>
      </c>
      <c r="U214" s="3"/>
      <c r="V214" s="88"/>
      <c r="W214" s="88"/>
      <c r="X214" s="88"/>
      <c r="Y214" s="88"/>
      <c r="Z214" s="88"/>
      <c r="AA214" s="88"/>
      <c r="AB214" s="88"/>
      <c r="AC214" s="88"/>
      <c r="AE214">
        <f t="shared" si="60"/>
        <v>56</v>
      </c>
      <c r="AF214" s="3">
        <f>(C$158*$AF$76)*('Product half-life and C flows'!B75/100)</f>
        <v>9.1990233162897077</v>
      </c>
      <c r="AG214" s="3">
        <f t="shared" si="56"/>
        <v>28.279896976771013</v>
      </c>
      <c r="AH214" s="3"/>
      <c r="AI214" s="3">
        <f t="shared" si="36"/>
        <v>37.478920293060725</v>
      </c>
      <c r="AJ214" s="113">
        <f t="shared" si="61"/>
        <v>136.96265170494351</v>
      </c>
      <c r="AK214" s="124">
        <f t="shared" si="44"/>
        <v>1.2990554822865219</v>
      </c>
      <c r="AL214" s="124">
        <f t="shared" si="45"/>
        <v>79.146613789176996</v>
      </c>
      <c r="AM214" s="124">
        <f t="shared" si="46"/>
        <v>29.124282154994951</v>
      </c>
      <c r="AN214" s="124">
        <f t="shared" si="47"/>
        <v>13.054829013918962</v>
      </c>
      <c r="AO214" s="124">
        <f t="shared" si="48"/>
        <v>16.761357971810831</v>
      </c>
      <c r="AP214" s="124">
        <f t="shared" si="49"/>
        <v>15.735758958438945</v>
      </c>
      <c r="AQ214" s="124">
        <f t="shared" si="50"/>
        <v>7.8600194597597097</v>
      </c>
      <c r="AR214" s="124">
        <f t="shared" si="51"/>
        <v>23.253914181043147</v>
      </c>
      <c r="AS214" s="3">
        <f t="shared" si="37"/>
        <v>186.23583101143004</v>
      </c>
    </row>
    <row r="215" spans="1:45" ht="14">
      <c r="A215">
        <f t="shared" si="63"/>
        <v>57</v>
      </c>
      <c r="B215" s="19">
        <f t="shared" si="63"/>
        <v>137</v>
      </c>
      <c r="C215" s="26">
        <f t="shared" si="54"/>
        <v>137.5372150346831</v>
      </c>
      <c r="D215" s="125">
        <f>(($C$39*$C$118*0.72)*D$40)*('Product half-life and C flows'!B116/100)</f>
        <v>7.0048775385412543E-2</v>
      </c>
      <c r="E215" s="26"/>
      <c r="F215" s="54">
        <f t="shared" si="59"/>
        <v>6.0606231572568161</v>
      </c>
      <c r="G215" s="54">
        <f t="shared" si="59"/>
        <v>0.7542108817919595</v>
      </c>
      <c r="H215" s="125">
        <f>(H$118)*('Product half-life and C flows'!L116/100)</f>
        <v>0.52900032186183155</v>
      </c>
      <c r="I215" s="125">
        <f>(($C$39*$C$118*0.28)*H$41)*('Product half-life and C flows'!N116/100)</f>
        <v>0.91486829621088983</v>
      </c>
      <c r="J215" s="125">
        <f>(($C$39*$C$118*0.28)*H$41)*(+'Product half-life and C flows'!P116/100)</f>
        <v>0.4569771709345104</v>
      </c>
      <c r="K215" s="54">
        <f t="shared" si="53"/>
        <v>1.3434381331919276</v>
      </c>
      <c r="L215" s="26"/>
      <c r="M215" s="83">
        <f>C$158*(0.4*D$14)*('Product half-life and C flows'!B76/100)</f>
        <v>1.1847561082441251</v>
      </c>
      <c r="N215" s="83">
        <f t="shared" si="55"/>
        <v>80.261035507330135</v>
      </c>
      <c r="O215" s="83">
        <f t="shared" si="62"/>
        <v>23.063658997738134</v>
      </c>
      <c r="P215" s="83">
        <f t="shared" si="62"/>
        <v>12.300618132127003</v>
      </c>
      <c r="Q215" s="83">
        <f>C$158*(0.6*C$15)*('Product half-life and C flows'!L76/100)</f>
        <v>15.976156152195431</v>
      </c>
      <c r="R215" s="83">
        <f>C$158*0.6*('Product half-life and C flows'!N76/100)</f>
        <v>14.990492524141441</v>
      </c>
      <c r="S215" s="83">
        <f>C$158*0.6*('Product half-life and C flows'!P76/100)</f>
        <v>7.4877585035671501</v>
      </c>
      <c r="T215" s="83">
        <f t="shared" si="40"/>
        <v>21.910476047851219</v>
      </c>
      <c r="U215" s="3"/>
      <c r="V215" s="88"/>
      <c r="W215" s="88"/>
      <c r="X215" s="88"/>
      <c r="Y215" s="88"/>
      <c r="Z215" s="88"/>
      <c r="AA215" s="88"/>
      <c r="AB215" s="88"/>
      <c r="AC215" s="88"/>
      <c r="AE215">
        <f t="shared" si="60"/>
        <v>57</v>
      </c>
      <c r="AF215" s="3">
        <f>(C$158*$AF$76)*('Product half-life and C flows'!B76/100)</f>
        <v>8.8856708118309378</v>
      </c>
      <c r="AG215" s="3">
        <f t="shared" si="56"/>
        <v>28.678091288178894</v>
      </c>
      <c r="AH215" s="3"/>
      <c r="AI215" s="3">
        <f t="shared" si="36"/>
        <v>37.563762100009832</v>
      </c>
      <c r="AJ215" s="113">
        <f t="shared" si="61"/>
        <v>137.5372150346831</v>
      </c>
      <c r="AK215" s="124">
        <f t="shared" si="44"/>
        <v>1.2548048836295376</v>
      </c>
      <c r="AL215" s="124">
        <f t="shared" si="45"/>
        <v>80.261035507330135</v>
      </c>
      <c r="AM215" s="124">
        <f t="shared" si="46"/>
        <v>29.124282154994951</v>
      </c>
      <c r="AN215" s="124">
        <f t="shared" si="47"/>
        <v>13.054829013918962</v>
      </c>
      <c r="AO215" s="124">
        <f t="shared" si="48"/>
        <v>16.505156474057262</v>
      </c>
      <c r="AP215" s="124">
        <f t="shared" si="49"/>
        <v>15.905360820352332</v>
      </c>
      <c r="AQ215" s="124">
        <f t="shared" si="50"/>
        <v>7.9447356745016604</v>
      </c>
      <c r="AR215" s="124">
        <f t="shared" si="51"/>
        <v>23.253914181043147</v>
      </c>
      <c r="AS215" s="3">
        <f t="shared" si="37"/>
        <v>187.304118709828</v>
      </c>
    </row>
    <row r="216" spans="1:45" ht="14">
      <c r="A216">
        <f t="shared" si="63"/>
        <v>58</v>
      </c>
      <c r="B216" s="19">
        <f t="shared" si="63"/>
        <v>138</v>
      </c>
      <c r="C216" s="26">
        <f t="shared" si="54"/>
        <v>138.10195852099525</v>
      </c>
      <c r="D216" s="125">
        <f>(($C$39*$C$118*0.72)*D$40)*('Product half-life and C flows'!B117/100)</f>
        <v>6.7662656941466448E-2</v>
      </c>
      <c r="E216" s="26"/>
      <c r="F216" s="54">
        <f t="shared" ref="F216:G231" si="64">F215</f>
        <v>6.0606231572568161</v>
      </c>
      <c r="G216" s="54">
        <f t="shared" si="64"/>
        <v>0.7542108817919595</v>
      </c>
      <c r="H216" s="125">
        <f>(H$118)*('Product half-life and C flows'!L117/100)</f>
        <v>0.52091442124440801</v>
      </c>
      <c r="I216" s="125">
        <f>(($C$39*$C$118*0.28)*H$41)*('Product half-life and C flows'!N117/100)</f>
        <v>0.91891528946991041</v>
      </c>
      <c r="J216" s="125">
        <f>(($C$39*$C$118*0.28)*H$41)*(+'Product half-life and C flows'!P117/100)</f>
        <v>0.45899864608886631</v>
      </c>
      <c r="K216" s="54">
        <f t="shared" si="53"/>
        <v>1.3434381331919276</v>
      </c>
      <c r="L216" s="26"/>
      <c r="M216" s="83">
        <f>C$158*(0.4*D$14)*('Product half-life and C flows'!B77/100)</f>
        <v>1.1443989658686173</v>
      </c>
      <c r="N216" s="83">
        <f t="shared" si="55"/>
        <v>81.341567389573953</v>
      </c>
      <c r="O216" s="83">
        <f t="shared" si="62"/>
        <v>23.063658997738134</v>
      </c>
      <c r="P216" s="83">
        <f t="shared" si="62"/>
        <v>12.300618132127003</v>
      </c>
      <c r="Q216" s="83">
        <f>C$158*(0.6*C$15)*('Product half-life and C flows'!L77/100)</f>
        <v>15.731956658251018</v>
      </c>
      <c r="R216" s="83">
        <f>C$158*0.6*('Product half-life and C flows'!N77/100)</f>
        <v>15.15345498643368</v>
      </c>
      <c r="S216" s="83">
        <f>C$158*0.6*('Product half-life and C flows'!P77/100)</f>
        <v>7.569158334881954</v>
      </c>
      <c r="T216" s="83">
        <f t="shared" si="40"/>
        <v>21.910476047851219</v>
      </c>
      <c r="U216" s="3"/>
      <c r="V216" s="88"/>
      <c r="W216" s="88"/>
      <c r="X216" s="88"/>
      <c r="Y216" s="88"/>
      <c r="Z216" s="88"/>
      <c r="AA216" s="88"/>
      <c r="AB216" s="88"/>
      <c r="AC216" s="88"/>
      <c r="AE216">
        <f t="shared" si="60"/>
        <v>58</v>
      </c>
      <c r="AF216" s="3">
        <f>(C$158*$AF$76)*('Product half-life and C flows'!B77/100)</f>
        <v>8.582992244014628</v>
      </c>
      <c r="AG216" s="3">
        <f t="shared" si="56"/>
        <v>29.064176413581322</v>
      </c>
      <c r="AH216" s="3"/>
      <c r="AI216" s="3">
        <f t="shared" si="36"/>
        <v>37.647168657595948</v>
      </c>
      <c r="AJ216" s="113">
        <f t="shared" si="61"/>
        <v>138.10195852099525</v>
      </c>
      <c r="AK216" s="124">
        <f t="shared" si="44"/>
        <v>1.2120616228100838</v>
      </c>
      <c r="AL216" s="124">
        <f t="shared" si="45"/>
        <v>81.341567389573953</v>
      </c>
      <c r="AM216" s="124">
        <f t="shared" si="46"/>
        <v>29.124282154994951</v>
      </c>
      <c r="AN216" s="124">
        <f t="shared" si="47"/>
        <v>13.054829013918962</v>
      </c>
      <c r="AO216" s="124">
        <f t="shared" si="48"/>
        <v>16.252871079495428</v>
      </c>
      <c r="AP216" s="124">
        <f t="shared" si="49"/>
        <v>16.072370275903591</v>
      </c>
      <c r="AQ216" s="124">
        <f t="shared" si="50"/>
        <v>8.0281569809708202</v>
      </c>
      <c r="AR216" s="124">
        <f t="shared" si="51"/>
        <v>23.253914181043147</v>
      </c>
      <c r="AS216" s="3">
        <f t="shared" si="37"/>
        <v>188.34005269871093</v>
      </c>
    </row>
    <row r="217" spans="1:45" ht="14">
      <c r="A217">
        <f t="shared" si="63"/>
        <v>59</v>
      </c>
      <c r="B217" s="19">
        <f t="shared" si="63"/>
        <v>139</v>
      </c>
      <c r="C217" s="26">
        <f t="shared" si="54"/>
        <v>138.65701759363526</v>
      </c>
      <c r="D217" s="125">
        <f>(($C$39*$C$118*0.72)*D$40)*('Product half-life and C flows'!B118/100)</f>
        <v>6.5357818451341324E-2</v>
      </c>
      <c r="E217" s="26"/>
      <c r="F217" s="54">
        <f t="shared" si="64"/>
        <v>6.0606231572568161</v>
      </c>
      <c r="G217" s="54">
        <f t="shared" si="64"/>
        <v>0.7542108817919595</v>
      </c>
      <c r="H217" s="125">
        <f>(H$118)*('Product half-life and C flows'!L118/100)</f>
        <v>0.51295211561566934</v>
      </c>
      <c r="I217" s="125">
        <f>(($C$39*$C$118*0.28)*H$41)*('Product half-life and C flows'!N118/100)</f>
        <v>0.92290042343709422</v>
      </c>
      <c r="J217" s="125">
        <f>(($C$39*$C$118*0.28)*H$41)*(+'Product half-life and C flows'!P118/100)</f>
        <v>0.46098922249605095</v>
      </c>
      <c r="K217" s="54">
        <f t="shared" si="53"/>
        <v>1.3434381331919276</v>
      </c>
      <c r="L217" s="26"/>
      <c r="M217" s="83">
        <f>C$158*(0.4*D$14)*('Product half-life and C flows'!B78/100)</f>
        <v>1.1054165359165211</v>
      </c>
      <c r="N217" s="83">
        <f t="shared" si="55"/>
        <v>82.388824727217184</v>
      </c>
      <c r="O217" s="83">
        <f t="shared" si="62"/>
        <v>23.063658997738134</v>
      </c>
      <c r="P217" s="83">
        <f t="shared" si="62"/>
        <v>12.300618132127003</v>
      </c>
      <c r="Q217" s="83">
        <f>C$158*(0.6*C$15)*('Product half-life and C flows'!L78/100)</f>
        <v>15.491489813904833</v>
      </c>
      <c r="R217" s="83">
        <f>C$158*0.6*('Product half-life and C flows'!N78/100)</f>
        <v>15.313926527227368</v>
      </c>
      <c r="S217" s="83">
        <f>C$158*0.6*('Product half-life and C flows'!P78/100)</f>
        <v>7.6493139496640161</v>
      </c>
      <c r="T217" s="83">
        <f t="shared" si="40"/>
        <v>21.910476047851219</v>
      </c>
      <c r="U217" s="3"/>
      <c r="V217" s="88"/>
      <c r="W217" s="88"/>
      <c r="X217" s="88"/>
      <c r="Y217" s="88"/>
      <c r="Z217" s="88"/>
      <c r="AA217" s="88"/>
      <c r="AB217" s="88"/>
      <c r="AC217" s="88"/>
      <c r="AE217">
        <f t="shared" si="60"/>
        <v>59</v>
      </c>
      <c r="AF217" s="3">
        <f>(C$158*$AF$76)*('Product half-life and C flows'!B78/100)</f>
        <v>8.290624019373908</v>
      </c>
      <c r="AG217" s="3">
        <f t="shared" si="56"/>
        <v>29.438372202874429</v>
      </c>
      <c r="AH217" s="3"/>
      <c r="AI217" s="3">
        <f t="shared" si="36"/>
        <v>37.728996222248341</v>
      </c>
      <c r="AJ217" s="113">
        <f t="shared" si="61"/>
        <v>138.65701759363526</v>
      </c>
      <c r="AK217" s="124">
        <f t="shared" ref="AK217:AK248" si="65">D217+M217+V217</f>
        <v>1.1707743543678624</v>
      </c>
      <c r="AL217" s="124">
        <f t="shared" ref="AL217:AL248" si="66">E217+N217+W217</f>
        <v>82.388824727217184</v>
      </c>
      <c r="AM217" s="124">
        <f t="shared" ref="AM217:AM248" si="67">F217+O217+X217</f>
        <v>29.124282154994951</v>
      </c>
      <c r="AN217" s="124">
        <f t="shared" ref="AN217:AN248" si="68">G217+P217+Y217</f>
        <v>13.054829013918962</v>
      </c>
      <c r="AO217" s="124">
        <f t="shared" ref="AO217:AO248" si="69">H217+Q217+Z217</f>
        <v>16.004441929520503</v>
      </c>
      <c r="AP217" s="124">
        <f t="shared" ref="AP217:AP248" si="70">I217+R217+AA217</f>
        <v>16.236826950664462</v>
      </c>
      <c r="AQ217" s="124">
        <f t="shared" ref="AQ217:AQ248" si="71">J217+S217+AB217</f>
        <v>8.1103031721600676</v>
      </c>
      <c r="AR217" s="124">
        <f t="shared" ref="AR217:AR280" si="72">K217+T217+AC217</f>
        <v>23.253914181043147</v>
      </c>
      <c r="AS217" s="3">
        <f t="shared" si="37"/>
        <v>189.34419648388712</v>
      </c>
    </row>
    <row r="218" spans="1:45" ht="14">
      <c r="A218">
        <f t="shared" si="63"/>
        <v>60</v>
      </c>
      <c r="B218" s="19">
        <f t="shared" si="63"/>
        <v>140</v>
      </c>
      <c r="C218" s="26">
        <f t="shared" si="54"/>
        <v>139.20252719561401</v>
      </c>
      <c r="D218" s="125">
        <f>(($C$39*$C$118*0.72)*D$40)*('Product half-life and C flows'!B119/100)</f>
        <v>6.3131491221425168E-2</v>
      </c>
      <c r="E218" s="26"/>
      <c r="F218" s="54">
        <f t="shared" si="64"/>
        <v>6.0606231572568161</v>
      </c>
      <c r="G218" s="54">
        <f t="shared" si="64"/>
        <v>0.7542108817919595</v>
      </c>
      <c r="H218" s="125">
        <f>(H$118)*('Product half-life and C flows'!L119/100)</f>
        <v>0.5051115157956777</v>
      </c>
      <c r="I218" s="125">
        <f>(($C$39*$C$118*0.28)*H$41)*('Product half-life and C flows'!N119/100)</f>
        <v>0.9268246436469999</v>
      </c>
      <c r="J218" s="125">
        <f>(($C$39*$C$118*0.28)*H$41)*(+'Product half-life and C flows'!P119/100)</f>
        <v>0.46294937245104889</v>
      </c>
      <c r="K218" s="54">
        <f t="shared" si="53"/>
        <v>1.3434381331919276</v>
      </c>
      <c r="L218" s="26"/>
      <c r="M218" s="83">
        <f>C$158*(0.4*D$14)*('Product half-life and C flows'!B79/100)</f>
        <v>1.0677619906360245</v>
      </c>
      <c r="N218" s="83">
        <f t="shared" si="55"/>
        <v>83.403448969491279</v>
      </c>
      <c r="O218" s="83">
        <f t="shared" si="62"/>
        <v>23.063658997738134</v>
      </c>
      <c r="P218" s="83">
        <f t="shared" si="62"/>
        <v>12.300618132127003</v>
      </c>
      <c r="Q218" s="83">
        <f>C$158*(0.6*C$15)*('Product half-life and C flows'!L79/100)</f>
        <v>15.254698564685556</v>
      </c>
      <c r="R218" s="83">
        <f>C$158*0.6*('Product half-life and C flows'!N79/100)</f>
        <v>15.471945220873032</v>
      </c>
      <c r="S218" s="83">
        <f>C$158*0.6*('Product half-life and C flows'!P79/100)</f>
        <v>7.7282443660704416</v>
      </c>
      <c r="T218" s="83">
        <f t="shared" si="40"/>
        <v>21.910476047851219</v>
      </c>
      <c r="U218" s="3"/>
      <c r="V218" s="88"/>
      <c r="W218" s="88"/>
      <c r="X218" s="88"/>
      <c r="Y218" s="88"/>
      <c r="Z218" s="88"/>
      <c r="AA218" s="88"/>
      <c r="AB218" s="88"/>
      <c r="AC218" s="88"/>
      <c r="AE218">
        <f t="shared" si="60"/>
        <v>60</v>
      </c>
      <c r="AF218" s="3">
        <f>(C$158*$AF$76)*('Product half-life and C flows'!B79/100)</f>
        <v>8.0082149297701832</v>
      </c>
      <c r="AG218" s="3">
        <f t="shared" si="56"/>
        <v>29.800907852448479</v>
      </c>
      <c r="AH218" s="3"/>
      <c r="AI218" s="3">
        <f t="shared" si="36"/>
        <v>37.809122782218665</v>
      </c>
      <c r="AJ218" s="113">
        <f t="shared" si="61"/>
        <v>139.20252719561401</v>
      </c>
      <c r="AK218" s="124">
        <f t="shared" si="65"/>
        <v>1.1308934818574496</v>
      </c>
      <c r="AL218" s="124">
        <f t="shared" si="66"/>
        <v>83.403448969491279</v>
      </c>
      <c r="AM218" s="124">
        <f t="shared" si="67"/>
        <v>29.124282154994951</v>
      </c>
      <c r="AN218" s="124">
        <f t="shared" si="68"/>
        <v>13.054829013918962</v>
      </c>
      <c r="AO218" s="124">
        <f t="shared" si="69"/>
        <v>15.759810080481234</v>
      </c>
      <c r="AP218" s="124">
        <f t="shared" si="70"/>
        <v>16.39876986452003</v>
      </c>
      <c r="AQ218" s="124">
        <f t="shared" si="71"/>
        <v>8.1911937385214912</v>
      </c>
      <c r="AR218" s="124">
        <f t="shared" si="72"/>
        <v>23.253914181043147</v>
      </c>
      <c r="AS218" s="3">
        <f t="shared" si="37"/>
        <v>190.31714148482857</v>
      </c>
    </row>
    <row r="219" spans="1:45" ht="14">
      <c r="A219">
        <f t="shared" si="63"/>
        <v>61</v>
      </c>
      <c r="B219" s="19">
        <f t="shared" si="63"/>
        <v>141</v>
      </c>
      <c r="C219" s="26">
        <f t="shared" si="54"/>
        <v>139.73862171370757</v>
      </c>
      <c r="D219" s="125">
        <f>(($C$39*$C$118*0.72)*D$40)*('Product half-life and C flows'!B120/100)</f>
        <v>6.0981000869974565E-2</v>
      </c>
      <c r="E219" s="26"/>
      <c r="F219" s="54">
        <f t="shared" si="64"/>
        <v>6.0606231572568161</v>
      </c>
      <c r="G219" s="54">
        <f t="shared" si="64"/>
        <v>0.7542108817919595</v>
      </c>
      <c r="H219" s="125">
        <f>(H$118)*('Product half-life and C flows'!L120/100)</f>
        <v>0.49739076148107692</v>
      </c>
      <c r="I219" s="125">
        <f>(($C$39*$C$118*0.28)*H$41)*('Product half-life and C flows'!N120/100)</f>
        <v>0.93068888118145765</v>
      </c>
      <c r="J219" s="125">
        <f>(($C$39*$C$118*0.28)*H$41)*(+'Product half-life and C flows'!P120/100)</f>
        <v>0.46487956102969907</v>
      </c>
      <c r="K219" s="54">
        <f t="shared" si="53"/>
        <v>1.3434381331919276</v>
      </c>
      <c r="L219" s="26"/>
      <c r="M219" s="83">
        <f>C$158*(0.4*D$14)*('Product half-life and C flows'!B80/100)</f>
        <v>1.0313900974004471</v>
      </c>
      <c r="N219" s="83">
        <f t="shared" si="55"/>
        <v>84.386103349369861</v>
      </c>
      <c r="O219" s="83">
        <f t="shared" si="62"/>
        <v>23.063658997738134</v>
      </c>
      <c r="P219" s="83">
        <f t="shared" si="62"/>
        <v>12.300618132127003</v>
      </c>
      <c r="Q219" s="83">
        <f>C$158*(0.6*C$15)*('Product half-life and C flows'!L80/100)</f>
        <v>15.021526728213562</v>
      </c>
      <c r="R219" s="83">
        <f>C$158*0.6*('Product half-life and C flows'!N80/100)</f>
        <v>15.627548559745344</v>
      </c>
      <c r="S219" s="83">
        <f>C$158*0.6*('Product half-life and C flows'!P80/100)</f>
        <v>7.8059683115611076</v>
      </c>
      <c r="T219" s="83">
        <f t="shared" si="40"/>
        <v>21.910476047851219</v>
      </c>
      <c r="U219" s="3"/>
      <c r="V219" s="88"/>
      <c r="W219" s="88"/>
      <c r="X219" s="88"/>
      <c r="Y219" s="88"/>
      <c r="Z219" s="88"/>
      <c r="AA219" s="88"/>
      <c r="AB219" s="88"/>
      <c r="AC219" s="88"/>
      <c r="AE219">
        <f t="shared" si="60"/>
        <v>61</v>
      </c>
      <c r="AF219" s="3">
        <f>(C$158*$AF$76)*('Product half-life and C flows'!B80/100)</f>
        <v>7.7354257305033531</v>
      </c>
      <c r="AG219" s="3">
        <f t="shared" si="56"/>
        <v>30.152020342248253</v>
      </c>
      <c r="AH219" s="3"/>
      <c r="AI219" s="3">
        <f t="shared" si="36"/>
        <v>37.887446072751608</v>
      </c>
      <c r="AJ219" s="113">
        <f t="shared" si="61"/>
        <v>139.73862171370757</v>
      </c>
      <c r="AK219" s="124">
        <f t="shared" si="65"/>
        <v>1.0923710982704216</v>
      </c>
      <c r="AL219" s="124">
        <f t="shared" si="66"/>
        <v>84.386103349369861</v>
      </c>
      <c r="AM219" s="124">
        <f t="shared" si="67"/>
        <v>29.124282154994951</v>
      </c>
      <c r="AN219" s="124">
        <f t="shared" si="68"/>
        <v>13.054829013918962</v>
      </c>
      <c r="AO219" s="124">
        <f t="shared" si="69"/>
        <v>15.518917489694639</v>
      </c>
      <c r="AP219" s="124">
        <f t="shared" si="70"/>
        <v>16.558237440926803</v>
      </c>
      <c r="AQ219" s="124">
        <f t="shared" si="71"/>
        <v>8.2708478725908066</v>
      </c>
      <c r="AR219" s="124">
        <f t="shared" si="72"/>
        <v>23.253914181043147</v>
      </c>
      <c r="AS219" s="3">
        <f t="shared" si="37"/>
        <v>191.25950260080955</v>
      </c>
    </row>
    <row r="220" spans="1:45" ht="14">
      <c r="A220">
        <f t="shared" si="63"/>
        <v>62</v>
      </c>
      <c r="B220" s="19">
        <f t="shared" si="63"/>
        <v>142</v>
      </c>
      <c r="C220" s="26">
        <f t="shared" si="54"/>
        <v>140.26543491304204</v>
      </c>
      <c r="D220" s="125">
        <f>(($C$39*$C$118*0.72)*D$40)*('Product half-life and C flows'!B121/100)</f>
        <v>5.8903764114506048E-2</v>
      </c>
      <c r="E220" s="26"/>
      <c r="F220" s="54">
        <f t="shared" si="64"/>
        <v>6.0606231572568161</v>
      </c>
      <c r="G220" s="54">
        <f t="shared" si="64"/>
        <v>0.7542108817919595</v>
      </c>
      <c r="H220" s="125">
        <f>(H$118)*('Product half-life and C flows'!L121/100)</f>
        <v>0.48978802080370726</v>
      </c>
      <c r="I220" s="125">
        <f>(($C$39*$C$118*0.28)*H$41)*('Product half-life and C flows'!N121/100)</f>
        <v>0.93449405289048115</v>
      </c>
      <c r="J220" s="125">
        <f>(($C$39*$C$118*0.28)*H$41)*(+'Product half-life and C flows'!P121/100)</f>
        <v>0.4667802461990414</v>
      </c>
      <c r="K220" s="54">
        <f t="shared" si="53"/>
        <v>1.3434381331919276</v>
      </c>
      <c r="L220" s="26"/>
      <c r="M220" s="83">
        <f>C$158*(0.4*D$14)*('Product half-life and C flows'!B81/100)</f>
        <v>0.99625716437242662</v>
      </c>
      <c r="N220" s="83">
        <f t="shared" si="55"/>
        <v>85.337468879830681</v>
      </c>
      <c r="O220" s="83">
        <f t="shared" si="62"/>
        <v>23.063658997738134</v>
      </c>
      <c r="P220" s="83">
        <f t="shared" si="62"/>
        <v>12.300618132127003</v>
      </c>
      <c r="Q220" s="83">
        <f>C$158*(0.6*C$15)*('Product half-life and C flows'!L81/100)</f>
        <v>14.79191898087077</v>
      </c>
      <c r="R220" s="83">
        <f>C$158*0.6*('Product half-life and C flows'!N81/100)</f>
        <v>15.780773463138765</v>
      </c>
      <c r="S220" s="83">
        <f>C$158*0.6*('Product half-life and C flows'!P81/100)</f>
        <v>7.8825042273420367</v>
      </c>
      <c r="T220" s="83">
        <f t="shared" si="40"/>
        <v>21.910476047851219</v>
      </c>
      <c r="U220" s="3"/>
      <c r="V220" s="88"/>
      <c r="W220" s="88"/>
      <c r="X220" s="88"/>
      <c r="Y220" s="88"/>
      <c r="Z220" s="88"/>
      <c r="AA220" s="88"/>
      <c r="AB220" s="88"/>
      <c r="AC220" s="88"/>
      <c r="AE220">
        <f t="shared" si="60"/>
        <v>62</v>
      </c>
      <c r="AF220" s="3">
        <f>(C$158*$AF$76)*('Product half-life and C flows'!B81/100)</f>
        <v>7.4719287327931987</v>
      </c>
      <c r="AG220" s="3">
        <f t="shared" si="56"/>
        <v>30.491953005196397</v>
      </c>
      <c r="AH220" s="3"/>
      <c r="AI220" s="3">
        <f t="shared" si="36"/>
        <v>37.963881737989595</v>
      </c>
      <c r="AJ220" s="113">
        <f t="shared" si="61"/>
        <v>140.26543491304204</v>
      </c>
      <c r="AK220" s="124">
        <f t="shared" si="65"/>
        <v>1.0551609284869328</v>
      </c>
      <c r="AL220" s="124">
        <f t="shared" si="66"/>
        <v>85.337468879830681</v>
      </c>
      <c r="AM220" s="124">
        <f t="shared" si="67"/>
        <v>29.124282154994951</v>
      </c>
      <c r="AN220" s="124">
        <f t="shared" si="68"/>
        <v>13.054829013918962</v>
      </c>
      <c r="AO220" s="124">
        <f t="shared" si="69"/>
        <v>15.281707001674478</v>
      </c>
      <c r="AP220" s="124">
        <f t="shared" si="70"/>
        <v>16.715267516029247</v>
      </c>
      <c r="AQ220" s="124">
        <f t="shared" si="71"/>
        <v>8.3492844735410774</v>
      </c>
      <c r="AR220" s="124">
        <f t="shared" si="72"/>
        <v>23.253914181043147</v>
      </c>
      <c r="AS220" s="3">
        <f t="shared" si="37"/>
        <v>192.17191414951947</v>
      </c>
    </row>
    <row r="221" spans="1:45" ht="14">
      <c r="A221">
        <f t="shared" si="63"/>
        <v>63</v>
      </c>
      <c r="B221" s="19">
        <f t="shared" si="63"/>
        <v>143</v>
      </c>
      <c r="C221" s="26">
        <f t="shared" si="54"/>
        <v>140.78309987558936</v>
      </c>
      <c r="D221" s="125">
        <f>(($C$39*$C$118*0.72)*D$40)*('Product half-life and C flows'!B122/100)</f>
        <v>5.6897285668620998E-2</v>
      </c>
      <c r="E221" s="26"/>
      <c r="F221" s="54">
        <f t="shared" si="64"/>
        <v>6.0606231572568161</v>
      </c>
      <c r="G221" s="54">
        <f t="shared" si="64"/>
        <v>0.7542108817919595</v>
      </c>
      <c r="H221" s="125">
        <f>(H$118)*('Product half-life and C flows'!L122/100)</f>
        <v>0.48230148989596666</v>
      </c>
      <c r="I221" s="125">
        <f>(($C$39*$C$118*0.28)*H$41)*('Product half-life and C flows'!N122/100)</f>
        <v>0.93824106160980525</v>
      </c>
      <c r="J221" s="125">
        <f>(($C$39*$C$118*0.28)*H$41)*(+'Product half-life and C flows'!P122/100)</f>
        <v>0.46865187892597659</v>
      </c>
      <c r="K221" s="54">
        <f t="shared" si="53"/>
        <v>1.3434381331919276</v>
      </c>
      <c r="L221" s="26"/>
      <c r="M221" s="83">
        <f>C$158*(0.4*D$14)*('Product half-life and C flows'!B82/100)</f>
        <v>0.96232098801897825</v>
      </c>
      <c r="N221" s="83">
        <f t="shared" si="55"/>
        <v>86.258240697357081</v>
      </c>
      <c r="O221" s="83">
        <f t="shared" si="62"/>
        <v>23.063658997738134</v>
      </c>
      <c r="P221" s="83">
        <f t="shared" si="62"/>
        <v>12.300618132127003</v>
      </c>
      <c r="Q221" s="83">
        <f>C$158*(0.6*C$15)*('Product half-life and C flows'!L82/100)</f>
        <v>14.565820844674287</v>
      </c>
      <c r="R221" s="83">
        <f>C$158*0.6*('Product half-life and C flows'!N82/100)</f>
        <v>15.93165628602722</v>
      </c>
      <c r="S221" s="83">
        <f>C$158*0.6*('Product half-life and C flows'!P82/100)</f>
        <v>7.9578702727408652</v>
      </c>
      <c r="T221" s="83">
        <f t="shared" si="40"/>
        <v>21.910476047851219</v>
      </c>
      <c r="U221" s="3"/>
      <c r="V221" s="88"/>
      <c r="W221" s="88"/>
      <c r="X221" s="88"/>
      <c r="Y221" s="88"/>
      <c r="Z221" s="88"/>
      <c r="AA221" s="88"/>
      <c r="AB221" s="88"/>
      <c r="AC221" s="88"/>
      <c r="AE221">
        <f t="shared" si="60"/>
        <v>63</v>
      </c>
      <c r="AF221" s="3">
        <f>(C$158*$AF$76)*('Product half-life and C flows'!B82/100)</f>
        <v>7.2174074101423367</v>
      </c>
      <c r="AG221" s="3">
        <f t="shared" si="56"/>
        <v>30.820954220688975</v>
      </c>
      <c r="AH221" s="3"/>
      <c r="AI221" s="3">
        <f t="shared" si="36"/>
        <v>38.038361630831311</v>
      </c>
      <c r="AJ221" s="113">
        <f t="shared" si="61"/>
        <v>140.78309987558936</v>
      </c>
      <c r="AK221" s="124">
        <f t="shared" si="65"/>
        <v>1.0192182736875992</v>
      </c>
      <c r="AL221" s="124">
        <f t="shared" si="66"/>
        <v>86.258240697357081</v>
      </c>
      <c r="AM221" s="124">
        <f t="shared" si="67"/>
        <v>29.124282154994951</v>
      </c>
      <c r="AN221" s="124">
        <f t="shared" si="68"/>
        <v>13.054829013918962</v>
      </c>
      <c r="AO221" s="124">
        <f t="shared" si="69"/>
        <v>15.048122334570253</v>
      </c>
      <c r="AP221" s="124">
        <f t="shared" si="70"/>
        <v>16.869897347637025</v>
      </c>
      <c r="AQ221" s="124">
        <f t="shared" si="71"/>
        <v>8.4265221516668412</v>
      </c>
      <c r="AR221" s="124">
        <f t="shared" si="72"/>
        <v>23.253914181043147</v>
      </c>
      <c r="AS221" s="3">
        <f t="shared" si="37"/>
        <v>193.05502615487586</v>
      </c>
    </row>
    <row r="222" spans="1:45" ht="14">
      <c r="A222">
        <f t="shared" si="63"/>
        <v>64</v>
      </c>
      <c r="B222" s="19">
        <f t="shared" si="63"/>
        <v>144</v>
      </c>
      <c r="C222" s="26">
        <f t="shared" ref="C222:C253" si="73">B$8*(1-EXP(-B$9*$B222))^3</f>
        <v>141.29174894241757</v>
      </c>
      <c r="D222" s="125">
        <f>(($C$39*$C$118*0.72)*D$40)*('Product half-life and C flows'!B123/100)</f>
        <v>5.4959155244535998E-2</v>
      </c>
      <c r="E222" s="26"/>
      <c r="F222" s="54">
        <f t="shared" si="64"/>
        <v>6.0606231572568161</v>
      </c>
      <c r="G222" s="54">
        <f t="shared" si="64"/>
        <v>0.7542108817919595</v>
      </c>
      <c r="H222" s="125">
        <f>(H$118)*('Product half-life and C flows'!L123/100)</f>
        <v>0.4749293924628149</v>
      </c>
      <c r="I222" s="125">
        <f>(($C$39*$C$118*0.28)*H$41)*('Product half-life and C flows'!N123/100)</f>
        <v>0.94193079637509769</v>
      </c>
      <c r="J222" s="125">
        <f>(($C$39*$C$118*0.28)*H$41)*(+'Product half-life and C flows'!P123/100)</f>
        <v>0.47049490328426452</v>
      </c>
      <c r="K222" s="54">
        <f t="shared" si="53"/>
        <v>1.3434381331919276</v>
      </c>
      <c r="L222" s="26"/>
      <c r="M222" s="83">
        <f>C$158*(0.4*D$14)*('Product half-life and C flows'!B83/100)</f>
        <v>0.92954080241438208</v>
      </c>
      <c r="N222" s="83">
        <f t="shared" ref="N222:N238" si="74">C$8*(1-EXP(-C$9*$B142))^3</f>
        <v>87.149124730306028</v>
      </c>
      <c r="O222" s="83">
        <f t="shared" si="62"/>
        <v>23.063658997738134</v>
      </c>
      <c r="P222" s="83">
        <f t="shared" si="62"/>
        <v>12.300618132127003</v>
      </c>
      <c r="Q222" s="83">
        <f>C$158*(0.6*C$15)*('Product half-life and C flows'!L83/100)</f>
        <v>14.343178674350629</v>
      </c>
      <c r="R222" s="83">
        <f>C$158*0.6*('Product half-life and C flows'!N83/100)</f>
        <v>16.080232827689873</v>
      </c>
      <c r="S222" s="83">
        <f>C$158*0.6*('Product half-life and C flows'!P83/100)</f>
        <v>8.0320843295154187</v>
      </c>
      <c r="T222" s="83">
        <f t="shared" si="40"/>
        <v>21.910476047851219</v>
      </c>
      <c r="U222" s="3"/>
      <c r="V222" s="88"/>
      <c r="W222" s="88"/>
      <c r="X222" s="88"/>
      <c r="Y222" s="88"/>
      <c r="Z222" s="88"/>
      <c r="AA222" s="88"/>
      <c r="AB222" s="88"/>
      <c r="AC222" s="88"/>
      <c r="AE222">
        <f t="shared" si="60"/>
        <v>64</v>
      </c>
      <c r="AF222" s="3">
        <f>(C$158*$AF$76)*('Product half-life and C flows'!B83/100)</f>
        <v>6.9715560181078651</v>
      </c>
      <c r="AG222" s="3">
        <f t="shared" ref="AG222:AG237" si="75">D$8*(1-EXP(-D$9*$B142))^3</f>
        <v>31.139276224169201</v>
      </c>
      <c r="AH222" s="3"/>
      <c r="AI222" s="3">
        <f t="shared" si="36"/>
        <v>38.11083224227707</v>
      </c>
      <c r="AJ222" s="113">
        <f t="shared" si="61"/>
        <v>141.29174894241757</v>
      </c>
      <c r="AK222" s="124">
        <f t="shared" si="65"/>
        <v>0.98449995765891807</v>
      </c>
      <c r="AL222" s="124">
        <f t="shared" si="66"/>
        <v>87.149124730306028</v>
      </c>
      <c r="AM222" s="124">
        <f t="shared" si="67"/>
        <v>29.124282154994951</v>
      </c>
      <c r="AN222" s="124">
        <f t="shared" si="68"/>
        <v>13.054829013918962</v>
      </c>
      <c r="AO222" s="124">
        <f t="shared" si="69"/>
        <v>14.818108066813444</v>
      </c>
      <c r="AP222" s="124">
        <f t="shared" si="70"/>
        <v>17.022163624064969</v>
      </c>
      <c r="AQ222" s="124">
        <f t="shared" si="71"/>
        <v>8.5025792327996825</v>
      </c>
      <c r="AR222" s="124">
        <f t="shared" si="72"/>
        <v>23.253914181043147</v>
      </c>
      <c r="AS222" s="3">
        <f t="shared" si="37"/>
        <v>193.90950096160012</v>
      </c>
    </row>
    <row r="223" spans="1:45" ht="14">
      <c r="A223">
        <f t="shared" si="63"/>
        <v>65</v>
      </c>
      <c r="B223" s="19">
        <f t="shared" si="63"/>
        <v>145</v>
      </c>
      <c r="C223" s="26">
        <f t="shared" si="73"/>
        <v>141.79151365954192</v>
      </c>
      <c r="D223" s="125">
        <f>(($C$39*$C$118*0.72)*D$40)*('Product half-life and C flows'!B124/100)</f>
        <v>5.3087044657717769E-2</v>
      </c>
      <c r="E223" s="26"/>
      <c r="F223" s="54">
        <f t="shared" si="64"/>
        <v>6.0606231572568161</v>
      </c>
      <c r="G223" s="54">
        <f t="shared" si="64"/>
        <v>0.7542108817919595</v>
      </c>
      <c r="H223" s="125">
        <f>(H$118)*('Product half-life and C flows'!L124/100)</f>
        <v>0.46766997936032023</v>
      </c>
      <c r="I223" s="125">
        <f>(($C$39*$C$118*0.28)*H$41)*('Product half-life and C flows'!N124/100)</f>
        <v>0.94556413263289629</v>
      </c>
      <c r="J223" s="125">
        <f>(($C$39*$C$118*0.28)*H$41)*(+'Product half-life and C flows'!P124/100)</f>
        <v>0.47230975655988816</v>
      </c>
      <c r="K223" s="54">
        <f t="shared" si="53"/>
        <v>1.3434381331919276</v>
      </c>
      <c r="L223" s="26"/>
      <c r="M223" s="83">
        <f>C$158*(0.4*D$14)*('Product half-life and C flows'!B84/100)</f>
        <v>0.89787723027000355</v>
      </c>
      <c r="N223" s="83">
        <f t="shared" si="74"/>
        <v>88.010834670654972</v>
      </c>
      <c r="O223" s="83">
        <f t="shared" si="62"/>
        <v>23.063658997738134</v>
      </c>
      <c r="P223" s="83">
        <f t="shared" si="62"/>
        <v>12.300618132127003</v>
      </c>
      <c r="Q223" s="83">
        <f>C$158*(0.6*C$15)*('Product half-life and C flows'!L84/100)</f>
        <v>14.12393964460758</v>
      </c>
      <c r="R223" s="83">
        <f>C$158*0.6*('Product half-life and C flows'!N84/100)</f>
        <v>16.226538340205067</v>
      </c>
      <c r="S223" s="83">
        <f>C$158*0.6*('Product half-life and C flows'!P84/100)</f>
        <v>8.1051640060964338</v>
      </c>
      <c r="T223" s="83">
        <f t="shared" si="40"/>
        <v>21.910476047851219</v>
      </c>
      <c r="U223" s="3"/>
      <c r="V223" s="88"/>
      <c r="W223" s="88"/>
      <c r="X223" s="88"/>
      <c r="Y223" s="88"/>
      <c r="Z223" s="88"/>
      <c r="AA223" s="88"/>
      <c r="AB223" s="88"/>
      <c r="AC223" s="88"/>
      <c r="AE223">
        <f t="shared" si="60"/>
        <v>65</v>
      </c>
      <c r="AF223" s="3">
        <f>(C$158*$AF$76)*('Product half-life and C flows'!B84/100)</f>
        <v>6.7340792270250258</v>
      </c>
      <c r="AG223" s="3">
        <f t="shared" si="75"/>
        <v>31.447174025101525</v>
      </c>
      <c r="AH223" s="3"/>
      <c r="AI223" s="3">
        <f t="shared" ref="AI223:AI286" si="76">AF223+AG223+AH223</f>
        <v>38.181253252126552</v>
      </c>
      <c r="AJ223" s="113">
        <f t="shared" si="61"/>
        <v>141.79151365954192</v>
      </c>
      <c r="AK223" s="124">
        <f t="shared" si="65"/>
        <v>0.95096427492772129</v>
      </c>
      <c r="AL223" s="124">
        <f t="shared" si="66"/>
        <v>88.010834670654972</v>
      </c>
      <c r="AM223" s="124">
        <f t="shared" si="67"/>
        <v>29.124282154994951</v>
      </c>
      <c r="AN223" s="124">
        <f t="shared" si="68"/>
        <v>13.054829013918962</v>
      </c>
      <c r="AO223" s="124">
        <f t="shared" si="69"/>
        <v>14.5916096239679</v>
      </c>
      <c r="AP223" s="124">
        <f t="shared" si="70"/>
        <v>17.172102472837963</v>
      </c>
      <c r="AQ223" s="124">
        <f t="shared" si="71"/>
        <v>8.5774737626563216</v>
      </c>
      <c r="AR223" s="124">
        <f t="shared" si="72"/>
        <v>23.253914181043147</v>
      </c>
      <c r="AS223" s="3">
        <f t="shared" ref="AS223:AS286" si="77">SUM(AK223:AR223)</f>
        <v>194.73601015500194</v>
      </c>
    </row>
    <row r="224" spans="1:45" ht="14">
      <c r="A224">
        <f t="shared" si="63"/>
        <v>66</v>
      </c>
      <c r="B224" s="19">
        <f t="shared" si="63"/>
        <v>146</v>
      </c>
      <c r="C224" s="26">
        <f t="shared" si="73"/>
        <v>142.28252472722863</v>
      </c>
      <c r="D224" s="125">
        <f>(($C$39*$C$118*0.72)*D$40)*('Product half-life and C flows'!B125/100)</f>
        <v>5.1278705030145262E-2</v>
      </c>
      <c r="E224" s="26"/>
      <c r="F224" s="54">
        <f t="shared" si="64"/>
        <v>6.0606231572568161</v>
      </c>
      <c r="G224" s="54">
        <f t="shared" si="64"/>
        <v>0.7542108817919595</v>
      </c>
      <c r="H224" s="125">
        <f>(H$118)*('Product half-life and C flows'!L125/100)</f>
        <v>0.46052152818064823</v>
      </c>
      <c r="I224" s="125">
        <f>(($C$39*$C$118*0.28)*H$41)*('Product half-life and C flows'!N125/100)</f>
        <v>0.94914193244832212</v>
      </c>
      <c r="J224" s="125">
        <f>(($C$39*$C$118*0.28)*H$41)*(+'Product half-life and C flows'!P125/100)</f>
        <v>0.47409686935480616</v>
      </c>
      <c r="K224" s="54">
        <f t="shared" si="53"/>
        <v>1.3434381331919276</v>
      </c>
      <c r="L224" s="26"/>
      <c r="M224" s="83">
        <f>C$158*(0.4*D$14)*('Product half-life and C flows'!B85/100)</f>
        <v>0.86729223563221536</v>
      </c>
      <c r="N224" s="83">
        <f t="shared" si="74"/>
        <v>88.84408922856835</v>
      </c>
      <c r="O224" s="83">
        <f t="shared" ref="O224:P238" si="78">O223</f>
        <v>23.063658997738134</v>
      </c>
      <c r="P224" s="83">
        <f t="shared" si="78"/>
        <v>12.300618132127003</v>
      </c>
      <c r="Q224" s="83">
        <f>C$158*(0.6*C$15)*('Product half-life and C flows'!L85/100)</f>
        <v>13.908051737600571</v>
      </c>
      <c r="R224" s="83">
        <f>C$158*0.6*('Product half-life and C flows'!N85/100)</f>
        <v>16.370607536814411</v>
      </c>
      <c r="S224" s="83">
        <f>C$158*0.6*('Product half-life and C flows'!P85/100)</f>
        <v>8.1771266417654367</v>
      </c>
      <c r="T224" s="83">
        <f t="shared" ref="T224:T238" si="79">T223</f>
        <v>21.910476047851219</v>
      </c>
      <c r="U224" s="3"/>
      <c r="V224" s="88"/>
      <c r="W224" s="88"/>
      <c r="X224" s="88"/>
      <c r="Y224" s="88"/>
      <c r="Z224" s="88"/>
      <c r="AA224" s="88"/>
      <c r="AB224" s="88"/>
      <c r="AC224" s="88"/>
      <c r="AE224">
        <f t="shared" si="60"/>
        <v>66</v>
      </c>
      <c r="AF224" s="3">
        <f>(C$158*$AF$76)*('Product half-life and C flows'!B85/100)</f>
        <v>6.5046917672416154</v>
      </c>
      <c r="AG224" s="3">
        <f t="shared" si="75"/>
        <v>31.744904426000087</v>
      </c>
      <c r="AH224" s="3"/>
      <c r="AI224" s="3">
        <f t="shared" si="76"/>
        <v>38.2495961932417</v>
      </c>
      <c r="AJ224" s="113">
        <f t="shared" si="61"/>
        <v>142.28252472722863</v>
      </c>
      <c r="AK224" s="124">
        <f t="shared" si="65"/>
        <v>0.91857094066236067</v>
      </c>
      <c r="AL224" s="124">
        <f t="shared" si="66"/>
        <v>88.84408922856835</v>
      </c>
      <c r="AM224" s="124">
        <f t="shared" si="67"/>
        <v>29.124282154994951</v>
      </c>
      <c r="AN224" s="124">
        <f t="shared" si="68"/>
        <v>13.054829013918962</v>
      </c>
      <c r="AO224" s="124">
        <f t="shared" si="69"/>
        <v>14.368573265781219</v>
      </c>
      <c r="AP224" s="124">
        <f t="shared" si="70"/>
        <v>17.319749469262732</v>
      </c>
      <c r="AQ224" s="124">
        <f t="shared" si="71"/>
        <v>8.6512235111202429</v>
      </c>
      <c r="AR224" s="124">
        <f t="shared" si="72"/>
        <v>23.253914181043147</v>
      </c>
      <c r="AS224" s="3">
        <f t="shared" si="77"/>
        <v>195.53523176535194</v>
      </c>
    </row>
    <row r="225" spans="1:45" ht="14">
      <c r="A225">
        <f t="shared" si="63"/>
        <v>67</v>
      </c>
      <c r="B225" s="19">
        <f t="shared" si="63"/>
        <v>147</v>
      </c>
      <c r="C225" s="26">
        <f t="shared" si="73"/>
        <v>142.76491195260849</v>
      </c>
      <c r="D225" s="125">
        <f>(($C$39*$C$118*0.72)*D$40)*('Product half-life and C flows'!B126/100)</f>
        <v>4.9531964088838532E-2</v>
      </c>
      <c r="E225" s="26"/>
      <c r="F225" s="54">
        <f t="shared" si="64"/>
        <v>6.0606231572568161</v>
      </c>
      <c r="G225" s="54">
        <f t="shared" si="64"/>
        <v>0.7542108817919595</v>
      </c>
      <c r="H225" s="125">
        <f>(H$118)*('Product half-life and C flows'!L126/100)</f>
        <v>0.45348234284339384</v>
      </c>
      <c r="I225" s="125">
        <f>(($C$39*$C$118*0.28)*H$41)*('Product half-life and C flows'!N126/100)</f>
        <v>0.95266504470961788</v>
      </c>
      <c r="J225" s="125">
        <f>(($C$39*$C$118*0.28)*H$41)*(+'Product half-life and C flows'!P126/100)</f>
        <v>0.47585666568911972</v>
      </c>
      <c r="K225" s="54">
        <f t="shared" si="53"/>
        <v>1.3434381331919276</v>
      </c>
      <c r="L225" s="26"/>
      <c r="M225" s="83">
        <f>C$158*(0.4*D$14)*('Product half-life and C flows'!B86/100)</f>
        <v>0.83774907819160427</v>
      </c>
      <c r="N225" s="83">
        <f t="shared" si="74"/>
        <v>89.649609650172877</v>
      </c>
      <c r="O225" s="83">
        <f t="shared" si="78"/>
        <v>23.063658997738134</v>
      </c>
      <c r="P225" s="83">
        <f t="shared" si="78"/>
        <v>12.300618132127003</v>
      </c>
      <c r="Q225" s="83">
        <f>C$158*(0.6*C$15)*('Product half-life and C flows'!L86/100)</f>
        <v>13.695463730590637</v>
      </c>
      <c r="R225" s="83">
        <f>C$158*0.6*('Product half-life and C flows'!N86/100)</f>
        <v>16.512474600159042</v>
      </c>
      <c r="S225" s="83">
        <f>C$158*0.6*('Product half-life and C flows'!P86/100)</f>
        <v>8.2479893107687499</v>
      </c>
      <c r="T225" s="83">
        <f t="shared" si="79"/>
        <v>21.910476047851219</v>
      </c>
      <c r="U225" s="3"/>
      <c r="V225" s="88"/>
      <c r="W225" s="88"/>
      <c r="X225" s="88"/>
      <c r="Y225" s="88"/>
      <c r="Z225" s="88"/>
      <c r="AA225" s="88"/>
      <c r="AB225" s="88"/>
      <c r="AC225" s="88"/>
      <c r="AE225">
        <f t="shared" si="60"/>
        <v>67</v>
      </c>
      <c r="AF225" s="3">
        <f>(C$158*$AF$76)*('Product half-life and C flows'!B86/100)</f>
        <v>6.2831180864370317</v>
      </c>
      <c r="AG225" s="3">
        <f t="shared" si="75"/>
        <v>32.03272513550435</v>
      </c>
      <c r="AH225" s="3"/>
      <c r="AI225" s="3">
        <f t="shared" si="76"/>
        <v>38.315843221941378</v>
      </c>
      <c r="AJ225" s="113">
        <f t="shared" si="61"/>
        <v>142.76491195260849</v>
      </c>
      <c r="AK225" s="124">
        <f t="shared" si="65"/>
        <v>0.8872810422804428</v>
      </c>
      <c r="AL225" s="124">
        <f t="shared" si="66"/>
        <v>89.649609650172877</v>
      </c>
      <c r="AM225" s="124">
        <f t="shared" si="67"/>
        <v>29.124282154994951</v>
      </c>
      <c r="AN225" s="124">
        <f t="shared" si="68"/>
        <v>13.054829013918962</v>
      </c>
      <c r="AO225" s="124">
        <f t="shared" si="69"/>
        <v>14.148946073434031</v>
      </c>
      <c r="AP225" s="124">
        <f t="shared" si="70"/>
        <v>17.46513964486866</v>
      </c>
      <c r="AQ225" s="124">
        <f t="shared" si="71"/>
        <v>8.72384597645787</v>
      </c>
      <c r="AR225" s="124">
        <f t="shared" si="72"/>
        <v>23.253914181043147</v>
      </c>
      <c r="AS225" s="3">
        <f t="shared" si="77"/>
        <v>196.30784773717096</v>
      </c>
    </row>
    <row r="226" spans="1:45" ht="14">
      <c r="A226">
        <f t="shared" si="63"/>
        <v>68</v>
      </c>
      <c r="B226" s="19">
        <f t="shared" si="63"/>
        <v>148</v>
      </c>
      <c r="C226" s="26">
        <f t="shared" si="73"/>
        <v>143.23880420546197</v>
      </c>
      <c r="D226" s="125">
        <f>(($C$39*$C$118*0.72)*D$40)*('Product half-life and C flows'!B127/100)</f>
        <v>4.7844723556409945E-2</v>
      </c>
      <c r="E226" s="26"/>
      <c r="F226" s="54">
        <f t="shared" si="64"/>
        <v>6.0606231572568161</v>
      </c>
      <c r="G226" s="54">
        <f t="shared" si="64"/>
        <v>0.7542108817919595</v>
      </c>
      <c r="H226" s="125">
        <f>(H$118)*('Product half-life and C flows'!L127/100)</f>
        <v>0.44655075319315957</v>
      </c>
      <c r="I226" s="125">
        <f>(($C$39*$C$118*0.28)*H$41)*('Product half-life and C flows'!N127/100)</f>
        <v>0.95613430532956012</v>
      </c>
      <c r="J226" s="125">
        <f>(($C$39*$C$118*0.28)*H$41)*(+'Product half-life and C flows'!P127/100)</f>
        <v>0.47758956310167827</v>
      </c>
      <c r="K226" s="54">
        <f t="shared" si="53"/>
        <v>1.3434381331919276</v>
      </c>
      <c r="L226" s="26"/>
      <c r="M226" s="83">
        <f>C$158*(0.4*D$14)*('Product half-life and C flows'!B87/100)</f>
        <v>0.80921226914857147</v>
      </c>
      <c r="N226" s="83">
        <f t="shared" si="74"/>
        <v>90.428117479893075</v>
      </c>
      <c r="O226" s="83">
        <f t="shared" si="78"/>
        <v>23.063658997738134</v>
      </c>
      <c r="P226" s="83">
        <f t="shared" si="78"/>
        <v>12.300618132127003</v>
      </c>
      <c r="Q226" s="83">
        <f>C$158*(0.6*C$15)*('Product half-life and C flows'!L87/100)</f>
        <v>13.486125183791025</v>
      </c>
      <c r="R226" s="83">
        <f>C$158*0.6*('Product half-life and C flows'!N87/100)</f>
        <v>16.652173190389984</v>
      </c>
      <c r="S226" s="83">
        <f>C$158*0.6*('Product half-life and C flows'!P87/100)</f>
        <v>8.3177688263686207</v>
      </c>
      <c r="T226" s="83">
        <f t="shared" si="79"/>
        <v>21.910476047851219</v>
      </c>
      <c r="U226" s="3"/>
      <c r="V226" s="88"/>
      <c r="W226" s="88"/>
      <c r="X226" s="88"/>
      <c r="Y226" s="88"/>
      <c r="Z226" s="88"/>
      <c r="AA226" s="88"/>
      <c r="AB226" s="88"/>
      <c r="AC226" s="88"/>
      <c r="AE226">
        <f t="shared" si="60"/>
        <v>68</v>
      </c>
      <c r="AF226" s="3">
        <f>(C$158*$AF$76)*('Product half-life and C flows'!B87/100)</f>
        <v>6.0690920186142856</v>
      </c>
      <c r="AG226" s="3">
        <f t="shared" si="75"/>
        <v>32.31089396883867</v>
      </c>
      <c r="AH226" s="3"/>
      <c r="AI226" s="3">
        <f t="shared" si="76"/>
        <v>38.379985987452955</v>
      </c>
      <c r="AJ226" s="113">
        <f t="shared" si="61"/>
        <v>143.23880420546197</v>
      </c>
      <c r="AK226" s="124">
        <f t="shared" si="65"/>
        <v>0.85705699270498137</v>
      </c>
      <c r="AL226" s="124">
        <f t="shared" si="66"/>
        <v>90.428117479893075</v>
      </c>
      <c r="AM226" s="124">
        <f t="shared" si="67"/>
        <v>29.124282154994951</v>
      </c>
      <c r="AN226" s="124">
        <f t="shared" si="68"/>
        <v>13.054829013918962</v>
      </c>
      <c r="AO226" s="124">
        <f t="shared" si="69"/>
        <v>13.932675936984184</v>
      </c>
      <c r="AP226" s="124">
        <f t="shared" si="70"/>
        <v>17.608307495719544</v>
      </c>
      <c r="AQ226" s="124">
        <f t="shared" si="71"/>
        <v>8.7953583894702998</v>
      </c>
      <c r="AR226" s="124">
        <f t="shared" si="72"/>
        <v>23.253914181043147</v>
      </c>
      <c r="AS226" s="3">
        <f t="shared" si="77"/>
        <v>197.05454164472917</v>
      </c>
    </row>
    <row r="227" spans="1:45" ht="14">
      <c r="A227">
        <f t="shared" si="63"/>
        <v>69</v>
      </c>
      <c r="B227" s="19">
        <f t="shared" si="63"/>
        <v>149</v>
      </c>
      <c r="C227" s="26">
        <f t="shared" si="73"/>
        <v>143.70432937704084</v>
      </c>
      <c r="D227" s="125">
        <f>(($C$39*$C$118*0.72)*D$40)*('Product half-life and C flows'!B128/100)</f>
        <v>4.6214956630502707E-2</v>
      </c>
      <c r="E227" s="26"/>
      <c r="F227" s="54">
        <f t="shared" si="64"/>
        <v>6.0606231572568161</v>
      </c>
      <c r="G227" s="54">
        <f t="shared" si="64"/>
        <v>0.7542108817919595</v>
      </c>
      <c r="H227" s="125">
        <f>(H$118)*('Product half-life and C flows'!L128/100)</f>
        <v>0.43972511460328639</v>
      </c>
      <c r="I227" s="125">
        <f>(($C$39*$C$118*0.28)*H$41)*('Product half-life and C flows'!N128/100)</f>
        <v>0.95955053744379171</v>
      </c>
      <c r="J227" s="125">
        <f>(($C$39*$C$118*0.28)*H$41)*(+'Product half-life and C flows'!P128/100)</f>
        <v>0.47929597274914654</v>
      </c>
      <c r="K227" s="54">
        <f t="shared" si="53"/>
        <v>1.3434381331919276</v>
      </c>
      <c r="L227" s="26"/>
      <c r="M227" s="83">
        <f>C$158*(0.4*D$14)*('Product half-life and C flows'!B88/100)</f>
        <v>0.78164752858231545</v>
      </c>
      <c r="N227" s="83">
        <f t="shared" si="74"/>
        <v>91.18033254965907</v>
      </c>
      <c r="O227" s="83">
        <f t="shared" si="78"/>
        <v>23.063658997738134</v>
      </c>
      <c r="P227" s="83">
        <f t="shared" si="78"/>
        <v>12.300618132127003</v>
      </c>
      <c r="Q227" s="83">
        <f>C$158*(0.6*C$15)*('Product half-life and C flows'!L88/100)</f>
        <v>13.279986428399583</v>
      </c>
      <c r="R227" s="83">
        <f>C$158*0.6*('Product half-life and C flows'!N88/100)</f>
        <v>16.789736453154536</v>
      </c>
      <c r="S227" s="83">
        <f>C$158*0.6*('Product half-life and C flows'!P88/100)</f>
        <v>8.3864817448324338</v>
      </c>
      <c r="T227" s="83">
        <f t="shared" si="79"/>
        <v>21.910476047851219</v>
      </c>
      <c r="U227" s="3"/>
      <c r="V227" s="88"/>
      <c r="W227" s="88"/>
      <c r="X227" s="88"/>
      <c r="Y227" s="88"/>
      <c r="Z227" s="88"/>
      <c r="AA227" s="88"/>
      <c r="AB227" s="88"/>
      <c r="AC227" s="88"/>
      <c r="AE227">
        <f t="shared" si="60"/>
        <v>69</v>
      </c>
      <c r="AF227" s="3">
        <f>(C$158*$AF$76)*('Product half-life and C flows'!B88/100)</f>
        <v>5.8623564643673651</v>
      </c>
      <c r="AG227" s="3">
        <f t="shared" si="75"/>
        <v>32.579668129335545</v>
      </c>
      <c r="AH227" s="3"/>
      <c r="AI227" s="3">
        <f t="shared" si="76"/>
        <v>38.442024593702911</v>
      </c>
      <c r="AJ227" s="113">
        <f t="shared" si="61"/>
        <v>143.70432937704084</v>
      </c>
      <c r="AK227" s="124">
        <f t="shared" si="65"/>
        <v>0.82786248521281813</v>
      </c>
      <c r="AL227" s="124">
        <f t="shared" si="66"/>
        <v>91.18033254965907</v>
      </c>
      <c r="AM227" s="124">
        <f t="shared" si="67"/>
        <v>29.124282154994951</v>
      </c>
      <c r="AN227" s="124">
        <f t="shared" si="68"/>
        <v>13.054829013918962</v>
      </c>
      <c r="AO227" s="124">
        <f t="shared" si="69"/>
        <v>13.71971154300287</v>
      </c>
      <c r="AP227" s="124">
        <f t="shared" si="70"/>
        <v>17.749286990598328</v>
      </c>
      <c r="AQ227" s="124">
        <f t="shared" si="71"/>
        <v>8.8657777175815795</v>
      </c>
      <c r="AR227" s="124">
        <f t="shared" si="72"/>
        <v>23.253914181043147</v>
      </c>
      <c r="AS227" s="3">
        <f t="shared" si="77"/>
        <v>197.77599663601171</v>
      </c>
    </row>
    <row r="228" spans="1:45" ht="14">
      <c r="A228">
        <f t="shared" si="63"/>
        <v>70</v>
      </c>
      <c r="B228" s="19">
        <f t="shared" si="63"/>
        <v>150</v>
      </c>
      <c r="C228" s="26">
        <f t="shared" si="73"/>
        <v>144.16161434179853</v>
      </c>
      <c r="D228" s="125">
        <f>(($C$39*$C$118*0.72)*D$40)*('Product half-life and C flows'!B129/100)</f>
        <v>4.4640705549088729E-2</v>
      </c>
      <c r="E228" s="26"/>
      <c r="F228" s="54">
        <f t="shared" si="64"/>
        <v>6.0606231572568161</v>
      </c>
      <c r="G228" s="54">
        <f t="shared" si="64"/>
        <v>0.7542108817919595</v>
      </c>
      <c r="H228" s="125">
        <f>(H$118)*('Product half-life and C flows'!L129/100)</f>
        <v>0.4330038075856395</v>
      </c>
      <c r="I228" s="125">
        <f>(($C$39*$C$118*0.28)*H$41)*('Product half-life and C flows'!N129/100)</f>
        <v>0.96291455160612405</v>
      </c>
      <c r="J228" s="125">
        <f>(($C$39*$C$118*0.28)*H$41)*(+'Product half-life and C flows'!P129/100)</f>
        <v>0.4809762995035583</v>
      </c>
      <c r="K228" s="54">
        <f t="shared" si="53"/>
        <v>1.3434381331919276</v>
      </c>
      <c r="L228" s="26"/>
      <c r="M228" s="83">
        <f>C$158*(0.4*D$14)*('Product half-life and C flows'!B89/100)</f>
        <v>0.75502174427197988</v>
      </c>
      <c r="N228" s="83">
        <f t="shared" si="74"/>
        <v>91.906971178250416</v>
      </c>
      <c r="O228" s="83">
        <f t="shared" si="78"/>
        <v>23.063658997738134</v>
      </c>
      <c r="P228" s="83">
        <f t="shared" si="78"/>
        <v>12.300618132127003</v>
      </c>
      <c r="Q228" s="83">
        <f>C$158*(0.6*C$15)*('Product half-life and C flows'!L89/100)</f>
        <v>13.076998554814098</v>
      </c>
      <c r="R228" s="83">
        <f>C$158*0.6*('Product half-life and C flows'!N89/100)</f>
        <v>16.925197027460584</v>
      </c>
      <c r="S228" s="83">
        <f>C$158*0.6*('Product half-life and C flows'!P89/100)</f>
        <v>8.4541443693609271</v>
      </c>
      <c r="T228" s="83">
        <f t="shared" si="79"/>
        <v>21.910476047851219</v>
      </c>
      <c r="U228" s="3"/>
      <c r="V228" s="88"/>
      <c r="W228" s="88"/>
      <c r="X228" s="88"/>
      <c r="Y228" s="88"/>
      <c r="Z228" s="88"/>
      <c r="AA228" s="88"/>
      <c r="AB228" s="88"/>
      <c r="AC228" s="88"/>
      <c r="AE228">
        <f t="shared" si="60"/>
        <v>70</v>
      </c>
      <c r="AF228" s="3">
        <f>(C$158*$AF$76)*('Product half-life and C flows'!B89/100)</f>
        <v>5.662663082039848</v>
      </c>
      <c r="AG228" s="3">
        <f t="shared" si="75"/>
        <v>32.839303565042783</v>
      </c>
      <c r="AH228" s="3"/>
      <c r="AI228" s="3">
        <f t="shared" si="76"/>
        <v>38.501966647082632</v>
      </c>
      <c r="AJ228" s="113">
        <f t="shared" si="61"/>
        <v>144.16161434179853</v>
      </c>
      <c r="AK228" s="124">
        <f t="shared" si="65"/>
        <v>0.7996624498210686</v>
      </c>
      <c r="AL228" s="124">
        <f t="shared" si="66"/>
        <v>91.906971178250416</v>
      </c>
      <c r="AM228" s="124">
        <f t="shared" si="67"/>
        <v>29.124282154994951</v>
      </c>
      <c r="AN228" s="124">
        <f t="shared" si="68"/>
        <v>13.054829013918962</v>
      </c>
      <c r="AO228" s="124">
        <f t="shared" si="69"/>
        <v>13.510002362399739</v>
      </c>
      <c r="AP228" s="124">
        <f t="shared" si="70"/>
        <v>17.88811157906671</v>
      </c>
      <c r="AQ228" s="124">
        <f t="shared" si="71"/>
        <v>8.9351206688644851</v>
      </c>
      <c r="AR228" s="124">
        <f t="shared" si="72"/>
        <v>23.253914181043147</v>
      </c>
      <c r="AS228" s="3">
        <f t="shared" si="77"/>
        <v>198.47289358835948</v>
      </c>
    </row>
    <row r="229" spans="1:45" ht="14">
      <c r="A229">
        <f t="shared" ref="A229:B238" si="80">A228+1</f>
        <v>71</v>
      </c>
      <c r="B229" s="19">
        <f t="shared" si="80"/>
        <v>151</v>
      </c>
      <c r="C229" s="26">
        <f t="shared" si="73"/>
        <v>144.61078492190234</v>
      </c>
      <c r="D229" s="125">
        <f>(($C$39*$C$118*0.72)*D$40)*('Product half-life and C flows'!B130/100)</f>
        <v>4.3120079238701772E-2</v>
      </c>
      <c r="E229" s="26"/>
      <c r="F229" s="54">
        <f t="shared" si="64"/>
        <v>6.0606231572568161</v>
      </c>
      <c r="G229" s="54">
        <f t="shared" si="64"/>
        <v>0.7542108817919595</v>
      </c>
      <c r="H229" s="125">
        <f>(H$118)*('Product half-life and C flows'!L130/100)</f>
        <v>0.42638523740636103</v>
      </c>
      <c r="I229" s="125">
        <f>(($C$39*$C$118*0.28)*H$41)*('Product half-life and C flows'!N130/100)</f>
        <v>0.96622714598085302</v>
      </c>
      <c r="J229" s="125">
        <f>(($C$39*$C$118*0.28)*H$41)*(+'Product half-life and C flows'!P130/100)</f>
        <v>0.48263094204837798</v>
      </c>
      <c r="K229" s="54">
        <f t="shared" si="53"/>
        <v>1.3434381331919276</v>
      </c>
      <c r="L229" s="26"/>
      <c r="M229" s="83">
        <f>C$158*(0.4*D$14)*('Product half-life and C flows'!B90/100)</f>
        <v>0.72930293192050977</v>
      </c>
      <c r="N229" s="83">
        <f t="shared" si="74"/>
        <v>92.608744564975808</v>
      </c>
      <c r="O229" s="83">
        <f t="shared" si="78"/>
        <v>23.063658997738134</v>
      </c>
      <c r="P229" s="83">
        <f t="shared" si="78"/>
        <v>12.300618132127003</v>
      </c>
      <c r="Q229" s="83">
        <f>C$158*(0.6*C$15)*('Product half-life and C flows'!L90/100)</f>
        <v>12.877113401027682</v>
      </c>
      <c r="R229" s="83">
        <f>C$158*0.6*('Product half-life and C flows'!N90/100)</f>
        <v>17.05858705342072</v>
      </c>
      <c r="S229" s="83">
        <f>C$158*0.6*('Product half-life and C flows'!P90/100)</f>
        <v>8.5207727539564004</v>
      </c>
      <c r="T229" s="83">
        <f t="shared" si="79"/>
        <v>21.910476047851219</v>
      </c>
      <c r="U229" s="3"/>
      <c r="V229" s="88"/>
      <c r="W229" s="88"/>
      <c r="X229" s="88"/>
      <c r="Y229" s="88"/>
      <c r="Z229" s="88"/>
      <c r="AA229" s="88"/>
      <c r="AB229" s="88"/>
      <c r="AC229" s="88"/>
      <c r="AE229">
        <f t="shared" si="60"/>
        <v>71</v>
      </c>
      <c r="AF229" s="3">
        <f>(C$158*$AF$76)*('Product half-life and C flows'!B90/100)</f>
        <v>5.4697719894038226</v>
      </c>
      <c r="AG229" s="3">
        <f t="shared" si="75"/>
        <v>33.090054394768714</v>
      </c>
      <c r="AH229" s="3"/>
      <c r="AI229" s="3">
        <f t="shared" si="76"/>
        <v>38.559826384172538</v>
      </c>
      <c r="AJ229" s="113">
        <f t="shared" si="61"/>
        <v>144.61078492190234</v>
      </c>
      <c r="AK229" s="124">
        <f t="shared" si="65"/>
        <v>0.77242301115921153</v>
      </c>
      <c r="AL229" s="124">
        <f t="shared" si="66"/>
        <v>92.608744564975808</v>
      </c>
      <c r="AM229" s="124">
        <f t="shared" si="67"/>
        <v>29.124282154994951</v>
      </c>
      <c r="AN229" s="124">
        <f t="shared" si="68"/>
        <v>13.054829013918962</v>
      </c>
      <c r="AO229" s="124">
        <f t="shared" si="69"/>
        <v>13.303498638434043</v>
      </c>
      <c r="AP229" s="124">
        <f t="shared" si="70"/>
        <v>18.024814199401572</v>
      </c>
      <c r="AQ229" s="124">
        <f t="shared" si="71"/>
        <v>9.0034036960047779</v>
      </c>
      <c r="AR229" s="124">
        <f t="shared" si="72"/>
        <v>23.253914181043147</v>
      </c>
      <c r="AS229" s="3">
        <f t="shared" si="77"/>
        <v>199.14590945993245</v>
      </c>
    </row>
    <row r="230" spans="1:45" ht="14">
      <c r="A230">
        <f t="shared" si="80"/>
        <v>72</v>
      </c>
      <c r="B230" s="19">
        <f t="shared" si="80"/>
        <v>152</v>
      </c>
      <c r="C230" s="26">
        <f t="shared" si="73"/>
        <v>145.05196585440837</v>
      </c>
      <c r="D230" s="125">
        <f>(($C$39*$C$118*0.72)*D$40)*('Product half-life and C flows'!B131/100)</f>
        <v>4.1651251042780037E-2</v>
      </c>
      <c r="E230" s="26"/>
      <c r="F230" s="54">
        <f t="shared" si="64"/>
        <v>6.0606231572568161</v>
      </c>
      <c r="G230" s="54">
        <f t="shared" si="64"/>
        <v>0.7542108817919595</v>
      </c>
      <c r="H230" s="125">
        <f>(H$118)*('Product half-life and C flows'!L131/100)</f>
        <v>0.4198678337074937</v>
      </c>
      <c r="I230" s="125">
        <f>(($C$39*$C$118*0.28)*H$41)*('Product half-life and C flows'!N131/100)</f>
        <v>0.96948910653213605</v>
      </c>
      <c r="J230" s="125">
        <f>(($C$39*$C$118*0.28)*H$41)*(+'Product half-life and C flows'!P131/100)</f>
        <v>0.48426029297309475</v>
      </c>
      <c r="K230" s="54">
        <f t="shared" si="53"/>
        <v>1.3434381331919276</v>
      </c>
      <c r="L230" s="26"/>
      <c r="M230" s="83">
        <f>C$158*(0.4*D$14)*('Product half-life and C flows'!B91/100)</f>
        <v>0.70446019673342375</v>
      </c>
      <c r="N230" s="83">
        <f t="shared" si="74"/>
        <v>93.286357362803088</v>
      </c>
      <c r="O230" s="83">
        <f t="shared" si="78"/>
        <v>23.063658997738134</v>
      </c>
      <c r="P230" s="83">
        <f t="shared" si="78"/>
        <v>12.300618132127003</v>
      </c>
      <c r="Q230" s="83">
        <f>C$158*(0.6*C$15)*('Product half-life and C flows'!L91/100)</f>
        <v>12.680283541201627</v>
      </c>
      <c r="R230" s="83">
        <f>C$158*0.6*('Product half-life and C flows'!N91/100)</f>
        <v>17.189938179877974</v>
      </c>
      <c r="S230" s="83">
        <f>C$158*0.6*('Product half-life and C flows'!P91/100)</f>
        <v>8.5863827072317527</v>
      </c>
      <c r="T230" s="83">
        <f t="shared" si="79"/>
        <v>21.910476047851219</v>
      </c>
      <c r="U230" s="3"/>
      <c r="V230" s="88"/>
      <c r="W230" s="88"/>
      <c r="X230" s="88"/>
      <c r="Y230" s="88"/>
      <c r="Z230" s="88"/>
      <c r="AA230" s="88"/>
      <c r="AB230" s="88"/>
      <c r="AC230" s="88"/>
      <c r="AE230">
        <f t="shared" si="60"/>
        <v>72</v>
      </c>
      <c r="AF230" s="3">
        <f>(C$158*$AF$76)*('Product half-life and C flows'!B91/100)</f>
        <v>5.2834514755006783</v>
      </c>
      <c r="AG230" s="3">
        <f t="shared" si="75"/>
        <v>33.332172398246932</v>
      </c>
      <c r="AH230" s="3"/>
      <c r="AI230" s="3">
        <f t="shared" si="76"/>
        <v>38.615623873747609</v>
      </c>
      <c r="AJ230" s="113">
        <f t="shared" si="61"/>
        <v>145.05196585440837</v>
      </c>
      <c r="AK230" s="124">
        <f t="shared" si="65"/>
        <v>0.74611144777620375</v>
      </c>
      <c r="AL230" s="124">
        <f t="shared" si="66"/>
        <v>93.286357362803088</v>
      </c>
      <c r="AM230" s="124">
        <f t="shared" si="67"/>
        <v>29.124282154994951</v>
      </c>
      <c r="AN230" s="124">
        <f t="shared" si="68"/>
        <v>13.054829013918962</v>
      </c>
      <c r="AO230" s="124">
        <f t="shared" si="69"/>
        <v>13.100151374909121</v>
      </c>
      <c r="AP230" s="124">
        <f t="shared" si="70"/>
        <v>18.159427286410111</v>
      </c>
      <c r="AQ230" s="124">
        <f t="shared" si="71"/>
        <v>9.0706430002048481</v>
      </c>
      <c r="AR230" s="124">
        <f t="shared" si="72"/>
        <v>23.253914181043147</v>
      </c>
      <c r="AS230" s="3">
        <f t="shared" si="77"/>
        <v>199.79571582206043</v>
      </c>
    </row>
    <row r="231" spans="1:45" ht="14">
      <c r="A231">
        <f t="shared" si="80"/>
        <v>73</v>
      </c>
      <c r="B231" s="19">
        <f t="shared" si="80"/>
        <v>153</v>
      </c>
      <c r="C231" s="26">
        <f t="shared" si="73"/>
        <v>145.485280760981</v>
      </c>
      <c r="D231" s="125">
        <f>(($C$39*$C$118*0.72)*D$40)*('Product half-life and C flows'!B132/100)</f>
        <v>4.0232456527390069E-2</v>
      </c>
      <c r="E231" s="26"/>
      <c r="F231" s="54">
        <f t="shared" si="64"/>
        <v>6.0606231572568161</v>
      </c>
      <c r="G231" s="54">
        <f t="shared" si="64"/>
        <v>0.7542108817919595</v>
      </c>
      <c r="H231" s="125">
        <f>(H$118)*('Product half-life and C flows'!L132/100)</f>
        <v>0.41345005013438946</v>
      </c>
      <c r="I231" s="125">
        <f>(($C$39*$C$118*0.28)*H$41)*('Product half-life and C flows'!N132/100)</f>
        <v>0.97270120721047471</v>
      </c>
      <c r="J231" s="125">
        <f>(($C$39*$C$118*0.28)*H$41)*(+'Product half-life and C flows'!P132/100)</f>
        <v>0.48586473886637083</v>
      </c>
      <c r="K231" s="54">
        <f t="shared" si="53"/>
        <v>1.3434381331919276</v>
      </c>
      <c r="L231" s="26"/>
      <c r="M231" s="83">
        <f>C$158*(0.4*D$14)*('Product half-life and C flows'!B92/100)</f>
        <v>0.68046369630635783</v>
      </c>
      <c r="N231" s="83">
        <f t="shared" si="74"/>
        <v>93.940506416941886</v>
      </c>
      <c r="O231" s="83">
        <f t="shared" si="78"/>
        <v>23.063658997738134</v>
      </c>
      <c r="P231" s="83">
        <f t="shared" si="78"/>
        <v>12.300618132127003</v>
      </c>
      <c r="Q231" s="83">
        <f>C$158*(0.6*C$15)*('Product half-life and C flows'!L92/100)</f>
        <v>12.486462274412894</v>
      </c>
      <c r="R231" s="83">
        <f>C$158*0.6*('Product half-life and C flows'!N92/100)</f>
        <v>17.319281571914988</v>
      </c>
      <c r="S231" s="83">
        <f>C$158*0.6*('Product half-life and C flows'!P92/100)</f>
        <v>8.6509897961613316</v>
      </c>
      <c r="T231" s="83">
        <f t="shared" si="79"/>
        <v>21.910476047851219</v>
      </c>
      <c r="U231" s="3"/>
      <c r="V231" s="88"/>
      <c r="W231" s="88"/>
      <c r="X231" s="88"/>
      <c r="Y231" s="88"/>
      <c r="Z231" s="88"/>
      <c r="AA231" s="88"/>
      <c r="AB231" s="88"/>
      <c r="AC231" s="88"/>
      <c r="AE231">
        <f t="shared" si="60"/>
        <v>73</v>
      </c>
      <c r="AF231" s="3">
        <f>(C$158*$AF$76)*('Product half-life and C flows'!B92/100)</f>
        <v>5.1034777222976828</v>
      </c>
      <c r="AG231" s="3">
        <f t="shared" si="75"/>
        <v>33.565906565418935</v>
      </c>
      <c r="AH231" s="3"/>
      <c r="AI231" s="3">
        <f t="shared" si="76"/>
        <v>38.669384287716618</v>
      </c>
      <c r="AJ231" s="113">
        <f t="shared" si="61"/>
        <v>145.485280760981</v>
      </c>
      <c r="AK231" s="124">
        <f t="shared" si="65"/>
        <v>0.72069615283374788</v>
      </c>
      <c r="AL231" s="124">
        <f t="shared" si="66"/>
        <v>93.940506416941886</v>
      </c>
      <c r="AM231" s="124">
        <f t="shared" si="67"/>
        <v>29.124282154994951</v>
      </c>
      <c r="AN231" s="124">
        <f t="shared" si="68"/>
        <v>13.054829013918962</v>
      </c>
      <c r="AO231" s="124">
        <f t="shared" si="69"/>
        <v>12.899912324547284</v>
      </c>
      <c r="AP231" s="124">
        <f t="shared" si="70"/>
        <v>18.291982779125462</v>
      </c>
      <c r="AQ231" s="124">
        <f t="shared" si="71"/>
        <v>9.1368545350277017</v>
      </c>
      <c r="AR231" s="124">
        <f t="shared" si="72"/>
        <v>23.253914181043147</v>
      </c>
      <c r="AS231" s="3">
        <f t="shared" si="77"/>
        <v>200.4229775584331</v>
      </c>
    </row>
    <row r="232" spans="1:45" ht="14">
      <c r="A232">
        <f t="shared" si="80"/>
        <v>74</v>
      </c>
      <c r="B232" s="19">
        <f t="shared" si="80"/>
        <v>154</v>
      </c>
      <c r="C232" s="26">
        <f t="shared" si="73"/>
        <v>145.9108521200458</v>
      </c>
      <c r="D232" s="125">
        <f>(($C$39*$C$118*0.72)*D$40)*('Product half-life and C flows'!B133/100)</f>
        <v>3.8861991361695609E-2</v>
      </c>
      <c r="E232" s="26"/>
      <c r="F232" s="54">
        <f t="shared" ref="F232:G238" si="81">F231</f>
        <v>6.0606231572568161</v>
      </c>
      <c r="G232" s="54">
        <f t="shared" si="81"/>
        <v>0.7542108817919595</v>
      </c>
      <c r="H232" s="125">
        <f>(H$118)*('Product half-life and C flows'!L133/100)</f>
        <v>0.40713036396881358</v>
      </c>
      <c r="I232" s="125">
        <f>(($C$39*$C$118*0.28)*H$41)*('Product half-life and C flows'!N133/100)</f>
        <v>0.9758642101363455</v>
      </c>
      <c r="J232" s="125">
        <f>(($C$39*$C$118*0.28)*H$41)*(+'Product half-life and C flows'!P133/100)</f>
        <v>0.4874446604077648</v>
      </c>
      <c r="K232" s="54">
        <f t="shared" si="53"/>
        <v>1.3434381331919276</v>
      </c>
      <c r="L232" s="26"/>
      <c r="M232" s="83">
        <f>C$158*(0.4*D$14)*('Product half-life and C flows'!B93/100)</f>
        <v>0.65728460477679429</v>
      </c>
      <c r="N232" s="83">
        <f t="shared" si="74"/>
        <v>94.57187965573975</v>
      </c>
      <c r="O232" s="83">
        <f t="shared" si="78"/>
        <v>23.063658997738134</v>
      </c>
      <c r="P232" s="83">
        <f t="shared" si="78"/>
        <v>12.300618132127003</v>
      </c>
      <c r="Q232" s="83">
        <f>C$158*(0.6*C$15)*('Product half-life and C flows'!L93/100)</f>
        <v>12.29560361357359</v>
      </c>
      <c r="R232" s="83">
        <f>C$158*0.6*('Product half-life and C flows'!N93/100)</f>
        <v>17.446647918248413</v>
      </c>
      <c r="S232" s="83">
        <f>C$158*0.6*('Product half-life and C flows'!P93/100)</f>
        <v>8.714609349774431</v>
      </c>
      <c r="T232" s="83">
        <f t="shared" si="79"/>
        <v>21.910476047851219</v>
      </c>
      <c r="U232" s="3"/>
      <c r="V232" s="88"/>
      <c r="W232" s="88"/>
      <c r="X232" s="88"/>
      <c r="Y232" s="88"/>
      <c r="Z232" s="88"/>
      <c r="AA232" s="88"/>
      <c r="AB232" s="88"/>
      <c r="AC232" s="88"/>
      <c r="AE232">
        <f t="shared" si="60"/>
        <v>74</v>
      </c>
      <c r="AF232" s="3">
        <f>(C$158*$AF$76)*('Product half-life and C flows'!B93/100)</f>
        <v>4.929634535825957</v>
      </c>
      <c r="AG232" s="3">
        <f t="shared" si="75"/>
        <v>33.79150270013993</v>
      </c>
      <c r="AH232" s="3"/>
      <c r="AI232" s="3">
        <f t="shared" si="76"/>
        <v>38.721137235965884</v>
      </c>
      <c r="AJ232" s="113">
        <f t="shared" si="61"/>
        <v>145.9108521200458</v>
      </c>
      <c r="AK232" s="124">
        <f t="shared" si="65"/>
        <v>0.69614659613848995</v>
      </c>
      <c r="AL232" s="124">
        <f t="shared" si="66"/>
        <v>94.57187965573975</v>
      </c>
      <c r="AM232" s="124">
        <f t="shared" si="67"/>
        <v>29.124282154994951</v>
      </c>
      <c r="AN232" s="124">
        <f t="shared" si="68"/>
        <v>13.054829013918962</v>
      </c>
      <c r="AO232" s="124">
        <f t="shared" si="69"/>
        <v>12.702733977542403</v>
      </c>
      <c r="AP232" s="124">
        <f t="shared" si="70"/>
        <v>18.42251212838476</v>
      </c>
      <c r="AQ232" s="124">
        <f t="shared" si="71"/>
        <v>9.202054010182195</v>
      </c>
      <c r="AR232" s="124">
        <f t="shared" si="72"/>
        <v>23.253914181043147</v>
      </c>
      <c r="AS232" s="3">
        <f t="shared" si="77"/>
        <v>201.02835171794467</v>
      </c>
    </row>
    <row r="233" spans="1:45" ht="14">
      <c r="A233">
        <f t="shared" si="80"/>
        <v>75</v>
      </c>
      <c r="B233" s="19">
        <f t="shared" si="80"/>
        <v>155</v>
      </c>
      <c r="C233" s="26">
        <f t="shared" si="73"/>
        <v>146.32880124126649</v>
      </c>
      <c r="D233" s="125">
        <f>(($C$39*$C$118*0.72)*D$40)*('Product half-life and C flows'!B134/100)</f>
        <v>3.7538209270625317E-2</v>
      </c>
      <c r="E233" s="26"/>
      <c r="F233" s="54">
        <f t="shared" si="81"/>
        <v>6.0606231572568161</v>
      </c>
      <c r="G233" s="54">
        <f t="shared" si="81"/>
        <v>0.7542108817919595</v>
      </c>
      <c r="H233" s="125">
        <f>(H$118)*('Product half-life and C flows'!L134/100)</f>
        <v>0.40090727576765534</v>
      </c>
      <c r="I233" s="125">
        <f>(($C$39*$C$118*0.28)*H$41)*('Product half-life and C flows'!N134/100)</f>
        <v>0.97897886578102511</v>
      </c>
      <c r="J233" s="125">
        <f>(($C$39*$C$118*0.28)*H$41)*(+'Product half-life and C flows'!P134/100)</f>
        <v>0.48900043245805436</v>
      </c>
      <c r="K233" s="54">
        <f t="shared" si="53"/>
        <v>1.3434381331919276</v>
      </c>
      <c r="L233" s="26"/>
      <c r="M233" s="83">
        <f>C$158*(0.4*D$14)*('Product half-life and C flows'!B94/100)</f>
        <v>0.63489507819691471</v>
      </c>
      <c r="N233" s="83">
        <f t="shared" si="74"/>
        <v>95.181155121580233</v>
      </c>
      <c r="O233" s="83">
        <f t="shared" si="78"/>
        <v>23.063658997738134</v>
      </c>
      <c r="P233" s="83">
        <f t="shared" si="78"/>
        <v>12.300618132127003</v>
      </c>
      <c r="Q233" s="83">
        <f>C$158*(0.6*C$15)*('Product half-life and C flows'!L94/100)</f>
        <v>12.107662274519816</v>
      </c>
      <c r="R233" s="83">
        <f>C$158*0.6*('Product half-life and C flows'!N94/100)</f>
        <v>17.572067438510299</v>
      </c>
      <c r="S233" s="83">
        <f>C$158*0.6*('Product half-life and C flows'!P94/100)</f>
        <v>8.7772564627923568</v>
      </c>
      <c r="T233" s="83">
        <f t="shared" si="79"/>
        <v>21.910476047851219</v>
      </c>
      <c r="U233" s="3"/>
      <c r="V233" s="88"/>
      <c r="W233" s="88"/>
      <c r="X233" s="88"/>
      <c r="Y233" s="88"/>
      <c r="Z233" s="88"/>
      <c r="AA233" s="88"/>
      <c r="AB233" s="88"/>
      <c r="AC233" s="88"/>
      <c r="AE233">
        <f t="shared" si="60"/>
        <v>75</v>
      </c>
      <c r="AF233" s="3">
        <f>(C$158*$AF$76)*('Product half-life and C flows'!B94/100)</f>
        <v>4.7617130864768598</v>
      </c>
      <c r="AG233" s="3">
        <f t="shared" si="75"/>
        <v>34.009203073908786</v>
      </c>
      <c r="AH233" s="3"/>
      <c r="AI233" s="3">
        <f t="shared" si="76"/>
        <v>38.770916160385646</v>
      </c>
      <c r="AJ233" s="113">
        <f t="shared" si="61"/>
        <v>146.32880124126649</v>
      </c>
      <c r="AK233" s="124">
        <f t="shared" si="65"/>
        <v>0.67243328746754005</v>
      </c>
      <c r="AL233" s="124">
        <f t="shared" si="66"/>
        <v>95.181155121580233</v>
      </c>
      <c r="AM233" s="124">
        <f t="shared" si="67"/>
        <v>29.124282154994951</v>
      </c>
      <c r="AN233" s="124">
        <f t="shared" si="68"/>
        <v>13.054829013918962</v>
      </c>
      <c r="AO233" s="124">
        <f t="shared" si="69"/>
        <v>12.508569550287472</v>
      </c>
      <c r="AP233" s="124">
        <f t="shared" si="70"/>
        <v>18.551046304291322</v>
      </c>
      <c r="AQ233" s="124">
        <f t="shared" si="71"/>
        <v>9.266256895250411</v>
      </c>
      <c r="AR233" s="124">
        <f t="shared" si="72"/>
        <v>23.253914181043147</v>
      </c>
      <c r="AS233" s="3">
        <f t="shared" si="77"/>
        <v>201.61248650883405</v>
      </c>
    </row>
    <row r="234" spans="1:45" ht="14">
      <c r="A234">
        <f t="shared" si="80"/>
        <v>76</v>
      </c>
      <c r="B234" s="19">
        <f t="shared" si="80"/>
        <v>156</v>
      </c>
      <c r="C234" s="26">
        <f t="shared" si="73"/>
        <v>146.73924824224071</v>
      </c>
      <c r="D234" s="125">
        <f>(($C$39*$C$118*0.72)*D$40)*('Product half-life and C flows'!B135/100)</f>
        <v>3.6259520057280441E-2</v>
      </c>
      <c r="E234" s="26"/>
      <c r="F234" s="54">
        <f t="shared" si="81"/>
        <v>6.0606231572568161</v>
      </c>
      <c r="G234" s="54">
        <f t="shared" si="81"/>
        <v>0.7542108817919595</v>
      </c>
      <c r="H234" s="125">
        <f>(H$118)*('Product half-life and C flows'!L135/100)</f>
        <v>0.39477930900716252</v>
      </c>
      <c r="I234" s="125">
        <f>(($C$39*$C$118*0.28)*H$41)*('Product half-life and C flows'!N135/100)</f>
        <v>0.98204591314465184</v>
      </c>
      <c r="J234" s="125">
        <f>(($C$39*$C$118*0.28)*H$41)*(+'Product half-life and C flows'!P135/100)</f>
        <v>0.4905324241481776</v>
      </c>
      <c r="K234" s="54">
        <f t="shared" si="53"/>
        <v>1.3434381331919276</v>
      </c>
      <c r="L234" s="26"/>
      <c r="M234" s="83">
        <f>C$158*(0.4*D$14)*('Product half-life and C flows'!B95/100)</f>
        <v>0.61326822108598045</v>
      </c>
      <c r="N234" s="83">
        <f t="shared" si="74"/>
        <v>95.769000130262825</v>
      </c>
      <c r="O234" s="83">
        <f t="shared" si="78"/>
        <v>23.063658997738134</v>
      </c>
      <c r="P234" s="83">
        <f t="shared" si="78"/>
        <v>12.300618132127003</v>
      </c>
      <c r="Q234" s="83">
        <f>C$158*(0.6*C$15)*('Product half-life and C flows'!L95/100)</f>
        <v>11.922593665267316</v>
      </c>
      <c r="R234" s="83">
        <f>C$158*0.6*('Product half-life and C flows'!N95/100)</f>
        <v>17.695569890418135</v>
      </c>
      <c r="S234" s="83">
        <f>C$158*0.6*('Product half-life and C flows'!P95/100)</f>
        <v>8.8389459992098569</v>
      </c>
      <c r="T234" s="83">
        <f t="shared" si="79"/>
        <v>21.910476047851219</v>
      </c>
      <c r="U234" s="3"/>
      <c r="V234" s="88"/>
      <c r="W234" s="88"/>
      <c r="X234" s="88"/>
      <c r="Y234" s="88"/>
      <c r="Z234" s="88"/>
      <c r="AA234" s="88"/>
      <c r="AB234" s="88"/>
      <c r="AC234" s="88"/>
      <c r="AE234">
        <f t="shared" si="60"/>
        <v>76</v>
      </c>
      <c r="AF234" s="3">
        <f>(C$158*$AF$76)*('Product half-life and C flows'!B95/100)</f>
        <v>4.599511658144853</v>
      </c>
      <c r="AG234" s="3">
        <f t="shared" si="75"/>
        <v>34.219246125505848</v>
      </c>
      <c r="AH234" s="3"/>
      <c r="AI234" s="3">
        <f t="shared" si="76"/>
        <v>38.818757783650703</v>
      </c>
      <c r="AJ234" s="113">
        <f t="shared" si="61"/>
        <v>146.73924824224071</v>
      </c>
      <c r="AK234" s="124">
        <f t="shared" si="65"/>
        <v>0.64952774114326084</v>
      </c>
      <c r="AL234" s="124">
        <f t="shared" si="66"/>
        <v>95.769000130262825</v>
      </c>
      <c r="AM234" s="124">
        <f t="shared" si="67"/>
        <v>29.124282154994951</v>
      </c>
      <c r="AN234" s="124">
        <f t="shared" si="68"/>
        <v>13.054829013918962</v>
      </c>
      <c r="AO234" s="124">
        <f t="shared" si="69"/>
        <v>12.317372974274479</v>
      </c>
      <c r="AP234" s="124">
        <f t="shared" si="70"/>
        <v>18.677615803562787</v>
      </c>
      <c r="AQ234" s="124">
        <f t="shared" si="71"/>
        <v>9.3294784233580348</v>
      </c>
      <c r="AR234" s="124">
        <f t="shared" si="72"/>
        <v>23.253914181043147</v>
      </c>
      <c r="AS234" s="3">
        <f t="shared" si="77"/>
        <v>202.17602042255848</v>
      </c>
    </row>
    <row r="235" spans="1:45" ht="14">
      <c r="A235">
        <f t="shared" si="80"/>
        <v>77</v>
      </c>
      <c r="B235" s="19">
        <f t="shared" si="80"/>
        <v>157</v>
      </c>
      <c r="C235" s="26">
        <f t="shared" si="73"/>
        <v>147.14231202731511</v>
      </c>
      <c r="D235" s="125">
        <f>(($C$39*$C$118*0.72)*D$40)*('Product half-life and C flows'!B136/100)</f>
        <v>3.5024387692706285E-2</v>
      </c>
      <c r="E235" s="26"/>
      <c r="F235" s="54">
        <f t="shared" si="81"/>
        <v>6.0606231572568161</v>
      </c>
      <c r="G235" s="54">
        <f t="shared" si="81"/>
        <v>0.7542108817919595</v>
      </c>
      <c r="H235" s="125">
        <f>(H$118)*('Product half-life and C flows'!L136/100)</f>
        <v>0.38874500973261356</v>
      </c>
      <c r="I235" s="125">
        <f>(($C$39*$C$118*0.28)*H$41)*('Product half-life and C flows'!N136/100)</f>
        <v>0.98506607993156359</v>
      </c>
      <c r="J235" s="125">
        <f>(($C$39*$C$118*0.28)*H$41)*(+'Product half-life and C flows'!P136/100)</f>
        <v>0.4920409989668148</v>
      </c>
      <c r="K235" s="54">
        <f t="shared" si="53"/>
        <v>1.3434381331919276</v>
      </c>
      <c r="L235" s="26"/>
      <c r="M235" s="83">
        <f>C$158*(0.4*D$14)*('Product half-life and C flows'!B96/100)</f>
        <v>0.59237805412206257</v>
      </c>
      <c r="N235" s="83">
        <f t="shared" si="74"/>
        <v>96.336070548103805</v>
      </c>
      <c r="O235" s="83">
        <f t="shared" si="78"/>
        <v>23.063658997738134</v>
      </c>
      <c r="P235" s="83">
        <f t="shared" si="78"/>
        <v>12.300618132127003</v>
      </c>
      <c r="Q235" s="83">
        <f>C$158*(0.6*C$15)*('Product half-life and C flows'!L96/100)</f>
        <v>11.740353875431319</v>
      </c>
      <c r="R235" s="83">
        <f>C$158*0.6*('Product half-life and C flows'!N96/100)</f>
        <v>17.817184576835356</v>
      </c>
      <c r="S235" s="83">
        <f>C$158*0.6*('Product half-life and C flows'!P96/100)</f>
        <v>8.8996925958218558</v>
      </c>
      <c r="T235" s="83">
        <f t="shared" si="79"/>
        <v>21.910476047851219</v>
      </c>
      <c r="U235" s="3"/>
      <c r="V235" s="88"/>
      <c r="W235" s="88"/>
      <c r="X235" s="88"/>
      <c r="Y235" s="88"/>
      <c r="Z235" s="88"/>
      <c r="AA235" s="88"/>
      <c r="AB235" s="88"/>
      <c r="AC235" s="88"/>
      <c r="AE235">
        <f t="shared" si="60"/>
        <v>77</v>
      </c>
      <c r="AF235" s="3">
        <f>(C$158*$AF$76)*('Product half-life and C flows'!B96/100)</f>
        <v>4.4428354059154689</v>
      </c>
      <c r="AG235" s="3">
        <f t="shared" si="75"/>
        <v>34.421866202693664</v>
      </c>
      <c r="AH235" s="3"/>
      <c r="AI235" s="3">
        <f t="shared" si="76"/>
        <v>38.864701608609131</v>
      </c>
      <c r="AJ235" s="113">
        <f t="shared" si="61"/>
        <v>147.14231202731511</v>
      </c>
      <c r="AK235" s="124">
        <f t="shared" si="65"/>
        <v>0.6274024418147689</v>
      </c>
      <c r="AL235" s="124">
        <f t="shared" si="66"/>
        <v>96.336070548103805</v>
      </c>
      <c r="AM235" s="124">
        <f t="shared" si="67"/>
        <v>29.124282154994951</v>
      </c>
      <c r="AN235" s="124">
        <f t="shared" si="68"/>
        <v>13.054829013918962</v>
      </c>
      <c r="AO235" s="124">
        <f t="shared" si="69"/>
        <v>12.129098885163932</v>
      </c>
      <c r="AP235" s="124">
        <f t="shared" si="70"/>
        <v>18.802250656766919</v>
      </c>
      <c r="AQ235" s="124">
        <f t="shared" si="71"/>
        <v>9.3917335947886702</v>
      </c>
      <c r="AR235" s="124">
        <f t="shared" si="72"/>
        <v>23.253914181043147</v>
      </c>
      <c r="AS235" s="3">
        <f t="shared" si="77"/>
        <v>202.71958147659515</v>
      </c>
    </row>
    <row r="236" spans="1:45" ht="14">
      <c r="A236">
        <f t="shared" si="80"/>
        <v>78</v>
      </c>
      <c r="B236" s="19">
        <f t="shared" si="80"/>
        <v>158</v>
      </c>
      <c r="C236" s="26">
        <f t="shared" si="73"/>
        <v>147.53811026842067</v>
      </c>
      <c r="D236" s="125">
        <f>(($C$39*$C$118*0.72)*D$40)*('Product half-life and C flows'!B137/100)</f>
        <v>3.383132847073321E-2</v>
      </c>
      <c r="E236" s="26"/>
      <c r="F236" s="54">
        <f t="shared" si="81"/>
        <v>6.0606231572568161</v>
      </c>
      <c r="G236" s="54">
        <f t="shared" si="81"/>
        <v>0.7542108817919595</v>
      </c>
      <c r="H236" s="125">
        <f>(H$118)*('Product half-life and C flows'!L137/100)</f>
        <v>0.38280294621334365</v>
      </c>
      <c r="I236" s="125">
        <f>(($C$39*$C$118*0.28)*H$41)*('Product half-life and C flows'!N137/100)</f>
        <v>0.98804008272295829</v>
      </c>
      <c r="J236" s="125">
        <f>(($C$39*$C$118*0.28)*H$41)*(+'Product half-life and C flows'!P137/100)</f>
        <v>0.49352651484663218</v>
      </c>
      <c r="K236" s="54">
        <f t="shared" si="53"/>
        <v>1.3434381331919276</v>
      </c>
      <c r="L236" s="26"/>
      <c r="M236" s="83">
        <f>C$158*(0.4*D$14)*('Product half-life and C flows'!B97/100)</f>
        <v>0.57219948293430867</v>
      </c>
      <c r="N236" s="83">
        <f t="shared" si="74"/>
        <v>96.883010176719537</v>
      </c>
      <c r="O236" s="83">
        <f t="shared" si="78"/>
        <v>23.063658997738134</v>
      </c>
      <c r="P236" s="83">
        <f t="shared" si="78"/>
        <v>12.300618132127003</v>
      </c>
      <c r="Q236" s="83">
        <f>C$158*(0.6*C$15)*('Product half-life and C flows'!L97/100)</f>
        <v>11.560899665808144</v>
      </c>
      <c r="R236" s="83">
        <f>C$158*0.6*('Product half-life and C flows'!N97/100)</f>
        <v>17.936940352723887</v>
      </c>
      <c r="S236" s="83">
        <f>C$158*0.6*('Product half-life and C flows'!P97/100)</f>
        <v>8.9595106656962482</v>
      </c>
      <c r="T236" s="83">
        <f t="shared" si="79"/>
        <v>21.910476047851219</v>
      </c>
      <c r="U236" s="3"/>
      <c r="V236" s="88"/>
      <c r="W236" s="88"/>
      <c r="X236" s="88"/>
      <c r="Y236" s="88"/>
      <c r="Z236" s="88"/>
      <c r="AA236" s="88"/>
      <c r="AB236" s="88"/>
      <c r="AC236" s="88"/>
      <c r="AE236">
        <f t="shared" si="60"/>
        <v>78</v>
      </c>
      <c r="AF236" s="3">
        <f>(C$158*$AF$76)*('Product half-life and C flows'!B97/100)</f>
        <v>4.291496122007314</v>
      </c>
      <c r="AG236" s="3">
        <f t="shared" si="75"/>
        <v>34.617293342393751</v>
      </c>
      <c r="AH236" s="3"/>
      <c r="AI236" s="3">
        <f t="shared" si="76"/>
        <v>38.908789464401067</v>
      </c>
      <c r="AJ236" s="113">
        <f t="shared" si="61"/>
        <v>147.53811026842067</v>
      </c>
      <c r="AK236" s="124">
        <f t="shared" si="65"/>
        <v>0.60603081140504189</v>
      </c>
      <c r="AL236" s="124">
        <f t="shared" si="66"/>
        <v>96.883010176719537</v>
      </c>
      <c r="AM236" s="124">
        <f t="shared" si="67"/>
        <v>29.124282154994951</v>
      </c>
      <c r="AN236" s="124">
        <f t="shared" si="68"/>
        <v>13.054829013918962</v>
      </c>
      <c r="AO236" s="124">
        <f t="shared" si="69"/>
        <v>11.943702612021488</v>
      </c>
      <c r="AP236" s="124">
        <f t="shared" si="70"/>
        <v>18.924980435446844</v>
      </c>
      <c r="AQ236" s="124">
        <f t="shared" si="71"/>
        <v>9.4530371805428803</v>
      </c>
      <c r="AR236" s="124">
        <f t="shared" si="72"/>
        <v>23.253914181043147</v>
      </c>
      <c r="AS236" s="3">
        <f t="shared" si="77"/>
        <v>203.24378656609287</v>
      </c>
    </row>
    <row r="237" spans="1:45" ht="14">
      <c r="A237">
        <f t="shared" si="80"/>
        <v>79</v>
      </c>
      <c r="B237" s="19">
        <f t="shared" si="80"/>
        <v>159</v>
      </c>
      <c r="C237" s="26">
        <f t="shared" si="73"/>
        <v>147.92675938783603</v>
      </c>
      <c r="D237" s="125">
        <f>(($C$39*$C$118*0.72)*D$40)*('Product half-life and C flows'!B138/100)</f>
        <v>3.2678909225670655E-2</v>
      </c>
      <c r="E237" s="26"/>
      <c r="F237" s="54">
        <f t="shared" si="81"/>
        <v>6.0606231572568161</v>
      </c>
      <c r="G237" s="54">
        <f t="shared" si="81"/>
        <v>0.7542108817919595</v>
      </c>
      <c r="H237" s="125">
        <f>(H$118)*('Product half-life and C flows'!L138/100)</f>
        <v>0.37695170860304511</v>
      </c>
      <c r="I237" s="125">
        <f>(($C$39*$C$118*0.28)*H$41)*('Product half-life and C flows'!N138/100)</f>
        <v>0.99096862714691258</v>
      </c>
      <c r="J237" s="125">
        <f>(($C$39*$C$118*0.28)*H$41)*(+'Product half-life and C flows'!P138/100)</f>
        <v>0.49498932424920694</v>
      </c>
      <c r="K237" s="54">
        <f t="shared" si="53"/>
        <v>1.3434381331919276</v>
      </c>
      <c r="L237" s="26"/>
      <c r="M237" s="83">
        <f>C$158*(0.4*D$14)*('Product half-life and C flows'!B98/100)</f>
        <v>0.55270826795826078</v>
      </c>
      <c r="N237" s="83">
        <f t="shared" si="74"/>
        <v>97.410450236139908</v>
      </c>
      <c r="O237" s="83">
        <f t="shared" si="78"/>
        <v>23.063658997738134</v>
      </c>
      <c r="P237" s="83">
        <f t="shared" si="78"/>
        <v>12.300618132127003</v>
      </c>
      <c r="Q237" s="83">
        <f>C$158*(0.6*C$15)*('Product half-life and C flows'!L98/100)</f>
        <v>11.384188458116016</v>
      </c>
      <c r="R237" s="83">
        <f>C$158*0.6*('Product half-life and C flows'!N98/100)</f>
        <v>18.054865631990431</v>
      </c>
      <c r="S237" s="83">
        <f>C$158*0.6*('Product half-life and C flows'!P98/100)</f>
        <v>9.0184144015936241</v>
      </c>
      <c r="T237" s="83">
        <f t="shared" si="79"/>
        <v>21.910476047851219</v>
      </c>
      <c r="U237" s="3"/>
      <c r="V237" s="88"/>
      <c r="W237" s="88"/>
      <c r="X237" s="88"/>
      <c r="Y237" s="88"/>
      <c r="Z237" s="88"/>
      <c r="AA237" s="88"/>
      <c r="AB237" s="88"/>
      <c r="AC237" s="88"/>
      <c r="AE237">
        <f t="shared" si="60"/>
        <v>79</v>
      </c>
      <c r="AF237" s="3">
        <f>(C$158*$AF$76)*('Product half-life and C flows'!B98/100)</f>
        <v>4.1453120096869558</v>
      </c>
      <c r="AG237" s="3">
        <f t="shared" si="75"/>
        <v>34.805753085997715</v>
      </c>
      <c r="AH237" s="3"/>
      <c r="AI237" s="3">
        <f t="shared" si="76"/>
        <v>38.951065095684669</v>
      </c>
      <c r="AJ237" s="113">
        <f t="shared" si="61"/>
        <v>147.92675938783603</v>
      </c>
      <c r="AK237" s="124">
        <f t="shared" si="65"/>
        <v>0.58538717718393141</v>
      </c>
      <c r="AL237" s="124">
        <f t="shared" si="66"/>
        <v>97.410450236139908</v>
      </c>
      <c r="AM237" s="124">
        <f t="shared" si="67"/>
        <v>29.124282154994951</v>
      </c>
      <c r="AN237" s="124">
        <f t="shared" si="68"/>
        <v>13.054829013918962</v>
      </c>
      <c r="AO237" s="124">
        <f t="shared" si="69"/>
        <v>11.761140166719061</v>
      </c>
      <c r="AP237" s="124">
        <f t="shared" si="70"/>
        <v>19.045834259137344</v>
      </c>
      <c r="AQ237" s="124">
        <f t="shared" si="71"/>
        <v>9.5134037258428314</v>
      </c>
      <c r="AR237" s="124">
        <f t="shared" si="72"/>
        <v>23.253914181043147</v>
      </c>
      <c r="AS237" s="3">
        <f t="shared" si="77"/>
        <v>203.74924091498011</v>
      </c>
    </row>
    <row r="238" spans="1:45" ht="14">
      <c r="A238">
        <f t="shared" si="80"/>
        <v>80</v>
      </c>
      <c r="B238" s="19">
        <f t="shared" si="80"/>
        <v>160</v>
      </c>
      <c r="C238" s="26">
        <f t="shared" si="73"/>
        <v>148.30837454278708</v>
      </c>
      <c r="D238" s="125">
        <f>(($C$39*$C$118*0.72)*D$40)*('Product half-life and C flows'!B139/100)</f>
        <v>3.1565745610712584E-2</v>
      </c>
      <c r="E238" s="26"/>
      <c r="F238" s="54">
        <f t="shared" si="81"/>
        <v>6.0606231572568161</v>
      </c>
      <c r="G238" s="54">
        <f t="shared" si="81"/>
        <v>0.7542108817919595</v>
      </c>
      <c r="H238" s="125">
        <f>(H$118)*('Product half-life and C flows'!L139/100)</f>
        <v>0.3711899086052593</v>
      </c>
      <c r="I238" s="125">
        <f>(($C$39*$C$118*0.28)*H$41)*('Product half-life and C flows'!N139/100)</f>
        <v>0.99385240804580444</v>
      </c>
      <c r="J238" s="125">
        <f>(($C$39*$C$118*0.28)*H$41)*(+'Product half-life and C flows'!P139/100)</f>
        <v>0.49642977424865331</v>
      </c>
      <c r="K238" s="54">
        <f t="shared" si="53"/>
        <v>1.3434381331919276</v>
      </c>
      <c r="L238" s="26"/>
      <c r="M238" s="83">
        <f>C$158*(0.4*D$14)*('Product half-life and C flows'!B99/100)</f>
        <v>0.53388099531801225</v>
      </c>
      <c r="N238" s="83">
        <f t="shared" si="74"/>
        <v>97.919008937551624</v>
      </c>
      <c r="O238" s="83">
        <f t="shared" si="78"/>
        <v>23.063658997738134</v>
      </c>
      <c r="P238" s="83">
        <f t="shared" si="78"/>
        <v>12.300618132127003</v>
      </c>
      <c r="Q238" s="83">
        <f>C$158*(0.6*C$15)*('Product half-life and C flows'!L99/100)</f>
        <v>11.210178324892714</v>
      </c>
      <c r="R238" s="83">
        <f>C$158*0.6*('Product half-life and C flows'!N99/100)</f>
        <v>18.170988394228115</v>
      </c>
      <c r="S238" s="83">
        <f>C$158*0.6*('Product half-life and C flows'!P99/100)</f>
        <v>9.076417779334724</v>
      </c>
      <c r="T238" s="83">
        <f t="shared" si="79"/>
        <v>21.910476047851219</v>
      </c>
      <c r="U238" s="3"/>
      <c r="V238" s="89"/>
      <c r="W238" s="89"/>
      <c r="X238" s="89"/>
      <c r="Y238" s="89"/>
      <c r="Z238" s="89"/>
      <c r="AA238" s="89"/>
      <c r="AB238" s="88"/>
      <c r="AC238" s="89"/>
      <c r="AE238">
        <f t="shared" si="60"/>
        <v>80</v>
      </c>
      <c r="AF238" s="3">
        <f>(C$158*$AF$76)*('Product half-life and C flows'!B99/100)</f>
        <v>4.0041074648850916</v>
      </c>
      <c r="AG238" s="3">
        <f>AG$237*((AE$318-AE238)/80)</f>
        <v>34.805753085997715</v>
      </c>
      <c r="AH238" s="3" t="e">
        <f>#REF!</f>
        <v>#REF!</v>
      </c>
      <c r="AI238" s="3" t="e">
        <f t="shared" si="76"/>
        <v>#REF!</v>
      </c>
      <c r="AJ238" s="113">
        <f t="shared" si="61"/>
        <v>148.30837454278708</v>
      </c>
      <c r="AK238" s="124">
        <f t="shared" si="65"/>
        <v>0.56544674092872482</v>
      </c>
      <c r="AL238" s="124">
        <f t="shared" si="66"/>
        <v>97.919008937551624</v>
      </c>
      <c r="AM238" s="124">
        <f t="shared" si="67"/>
        <v>29.124282154994951</v>
      </c>
      <c r="AN238" s="124">
        <f t="shared" si="68"/>
        <v>13.054829013918962</v>
      </c>
      <c r="AO238" s="124">
        <f t="shared" si="69"/>
        <v>11.581368233497974</v>
      </c>
      <c r="AP238" s="124">
        <f t="shared" si="70"/>
        <v>19.164840802273918</v>
      </c>
      <c r="AQ238" s="124">
        <f t="shared" si="71"/>
        <v>9.5728475535833777</v>
      </c>
      <c r="AR238" s="124">
        <f t="shared" si="72"/>
        <v>23.253914181043147</v>
      </c>
      <c r="AS238" s="3">
        <f t="shared" si="77"/>
        <v>204.23653761779266</v>
      </c>
    </row>
    <row r="239" spans="1:45" ht="14">
      <c r="A239">
        <f>A238+1</f>
        <v>81</v>
      </c>
      <c r="B239" s="19">
        <f>B238+1</f>
        <v>161</v>
      </c>
      <c r="C239" s="26">
        <f t="shared" si="73"/>
        <v>148.68306961179661</v>
      </c>
      <c r="D239" s="26"/>
      <c r="E239" s="26"/>
      <c r="F239" s="26"/>
      <c r="G239" s="26"/>
      <c r="H239" s="26"/>
      <c r="I239" s="126"/>
      <c r="J239" s="26"/>
      <c r="K239" s="26"/>
      <c r="L239" s="26"/>
      <c r="M239" s="83">
        <f>C$158*(0.4*D$14)*('Product half-life and C flows'!B100/100)</f>
        <v>0.51569504870022342</v>
      </c>
      <c r="N239" s="85"/>
      <c r="O239" s="85">
        <f>O238</f>
        <v>23.063658997738134</v>
      </c>
      <c r="P239" s="85">
        <f>P238</f>
        <v>12.300618132127003</v>
      </c>
      <c r="Q239" s="83">
        <f>C$158*(0.6*C$15)*('Product half-life and C flows'!L100/100)</f>
        <v>11.038827979547648</v>
      </c>
      <c r="R239" s="85">
        <f>C$158*0.6*('Product half-life and C flows'!N100/100)</f>
        <v>18.285336191355054</v>
      </c>
      <c r="S239" s="85">
        <f>C$158*0.6*('Product half-life and C flows'!P100/100)</f>
        <v>9.1335345611164129</v>
      </c>
      <c r="T239" s="85">
        <f>Q239</f>
        <v>11.038827979547648</v>
      </c>
      <c r="U239" s="3"/>
      <c r="V239" s="90">
        <f>N$238*(0.4*V$40)*('Product half-life and C flows'!B19/100)</f>
        <v>9.7919008937551624</v>
      </c>
      <c r="W239" s="90">
        <f t="shared" ref="W239:W270" si="82">C$8*(1-EXP(-C$9*$B78))^3</f>
        <v>0</v>
      </c>
      <c r="X239" s="91">
        <f>(N$238*((0.4*X$40))-(N$238*0.03))</f>
        <v>26.438132413138941</v>
      </c>
      <c r="Y239" s="91">
        <f>(N$238*((0.6*Y$41)))</f>
        <v>14.100337287007433</v>
      </c>
      <c r="Z239" s="91">
        <f>N$238*(0.6*Z$41)*('Product half-life and C flows'!L19/100)</f>
        <v>44.063554021898227</v>
      </c>
      <c r="AA239" s="91">
        <f>N$238*0.6*('Product half-life and C flows'!N19/100)</f>
        <v>0</v>
      </c>
      <c r="AB239" s="91">
        <f>N$238*0.6*('Product half-life and C flows'!P19/100)</f>
        <v>0</v>
      </c>
      <c r="AC239" s="91">
        <f>(Z239*AC$42)</f>
        <v>25.116225792481988</v>
      </c>
      <c r="AD239" s="17"/>
      <c r="AE239">
        <f t="shared" si="60"/>
        <v>81</v>
      </c>
      <c r="AF239" s="3">
        <f>(C$158*$AF$76)*('Product half-life and C flows'!B100/100)</f>
        <v>3.8677128652516757</v>
      </c>
      <c r="AG239" s="3">
        <f t="shared" ref="AG239:AG302" si="83">AG$237*((AE$318-AE239)/80)</f>
        <v>34.370681172422742</v>
      </c>
      <c r="AH239" s="3" t="e">
        <f>#REF!</f>
        <v>#REF!</v>
      </c>
      <c r="AI239" s="3" t="e">
        <f t="shared" si="76"/>
        <v>#REF!</v>
      </c>
      <c r="AJ239" s="113">
        <f t="shared" si="61"/>
        <v>148.68306961179661</v>
      </c>
      <c r="AK239" s="124">
        <f t="shared" si="65"/>
        <v>10.307595942455386</v>
      </c>
      <c r="AL239" s="124">
        <f t="shared" si="66"/>
        <v>0</v>
      </c>
      <c r="AM239" s="124">
        <f t="shared" si="67"/>
        <v>49.501791410877075</v>
      </c>
      <c r="AN239" s="124">
        <f t="shared" si="68"/>
        <v>26.400955419134434</v>
      </c>
      <c r="AO239" s="124">
        <f t="shared" si="69"/>
        <v>55.102382001445875</v>
      </c>
      <c r="AP239" s="124">
        <f t="shared" si="70"/>
        <v>18.285336191355054</v>
      </c>
      <c r="AQ239" s="124">
        <f t="shared" si="71"/>
        <v>9.1335345611164129</v>
      </c>
      <c r="AR239" s="124">
        <f t="shared" si="72"/>
        <v>36.155053772029632</v>
      </c>
      <c r="AS239" s="3">
        <f t="shared" si="77"/>
        <v>204.88664929841389</v>
      </c>
    </row>
    <row r="240" spans="1:45" ht="14">
      <c r="A240">
        <f t="shared" ref="A240:B255" si="84">A239+1</f>
        <v>82</v>
      </c>
      <c r="B240" s="19">
        <f t="shared" si="84"/>
        <v>162</v>
      </c>
      <c r="C240" s="26">
        <f t="shared" si="73"/>
        <v>149.05095718270039</v>
      </c>
      <c r="D240" s="26"/>
      <c r="E240" s="26"/>
      <c r="F240" s="26"/>
      <c r="G240" s="26"/>
      <c r="H240" s="26"/>
      <c r="I240" s="126"/>
      <c r="J240" s="26"/>
      <c r="K240" s="26"/>
      <c r="L240" s="26"/>
      <c r="M240" s="83">
        <f>C$158*(0.4*D$14)*('Product half-life and C flows'!B101/100)</f>
        <v>0.49812858218621348</v>
      </c>
      <c r="N240" s="85"/>
      <c r="O240" s="85">
        <f t="shared" ref="O240:P255" si="85">O239</f>
        <v>23.063658997738134</v>
      </c>
      <c r="P240" s="85">
        <f>P239</f>
        <v>12.300618132127003</v>
      </c>
      <c r="Q240" s="83">
        <f>C$158*(0.6*C$15)*('Product half-life and C flows'!L101/100)</f>
        <v>10.870096766565949</v>
      </c>
      <c r="R240" s="85">
        <f>C$158*0.6*('Product half-life and C flows'!N101/100)</f>
        <v>18.397936154151509</v>
      </c>
      <c r="S240" s="85">
        <f>C$158*0.6*('Product half-life and C flows'!P101/100)</f>
        <v>9.1897782987769805</v>
      </c>
      <c r="T240" s="85">
        <f>T239</f>
        <v>11.038827979547648</v>
      </c>
      <c r="U240" s="3"/>
      <c r="V240" s="90">
        <f>N$238*(0.4*V$40)*('Product half-life and C flows'!B20/100)</f>
        <v>9.4583528025097756</v>
      </c>
      <c r="W240" s="90">
        <f t="shared" si="82"/>
        <v>6.6880163224559471E-3</v>
      </c>
      <c r="X240" s="89">
        <f>X239</f>
        <v>26.438132413138941</v>
      </c>
      <c r="Y240" s="89">
        <f>Y239</f>
        <v>14.100337287007433</v>
      </c>
      <c r="Z240" s="91">
        <f>N$238*(0.6*Z$41)*('Product half-life and C flows'!L20/100)</f>
        <v>43.390031712086476</v>
      </c>
      <c r="AA240" s="91">
        <f>N$238*0.6*('Product half-life and C flows'!N20/100)</f>
        <v>0.44946388808104254</v>
      </c>
      <c r="AB240" s="91">
        <f>N$238*0.6*('Product half-life and C flows'!P20/100)</f>
        <v>0.22450743660391737</v>
      </c>
      <c r="AC240" s="89">
        <f>AC239</f>
        <v>25.116225792481988</v>
      </c>
      <c r="AD240" s="17"/>
      <c r="AE240">
        <f t="shared" si="60"/>
        <v>82</v>
      </c>
      <c r="AF240" s="3">
        <f>(C$158*$AF$76)*('Product half-life and C flows'!B101/100)</f>
        <v>3.7359643663966007</v>
      </c>
      <c r="AG240" s="3">
        <f t="shared" si="83"/>
        <v>33.935609258847769</v>
      </c>
      <c r="AH240" s="3" t="e">
        <f>#REF!</f>
        <v>#REF!</v>
      </c>
      <c r="AI240" s="3" t="e">
        <f t="shared" si="76"/>
        <v>#REF!</v>
      </c>
      <c r="AJ240" s="113">
        <f t="shared" si="61"/>
        <v>149.05095718270039</v>
      </c>
      <c r="AK240" s="124">
        <f t="shared" si="65"/>
        <v>9.956481384695989</v>
      </c>
      <c r="AL240" s="124">
        <f t="shared" si="66"/>
        <v>6.6880163224559471E-3</v>
      </c>
      <c r="AM240" s="124">
        <f t="shared" si="67"/>
        <v>49.501791410877075</v>
      </c>
      <c r="AN240" s="124">
        <f t="shared" si="68"/>
        <v>26.400955419134434</v>
      </c>
      <c r="AO240" s="124">
        <f t="shared" si="69"/>
        <v>54.260128478652426</v>
      </c>
      <c r="AP240" s="124">
        <f t="shared" si="70"/>
        <v>18.84740004223255</v>
      </c>
      <c r="AQ240" s="124">
        <f t="shared" si="71"/>
        <v>9.4142857353808971</v>
      </c>
      <c r="AR240" s="124">
        <f t="shared" si="72"/>
        <v>36.155053772029632</v>
      </c>
      <c r="AS240" s="3">
        <f t="shared" si="77"/>
        <v>204.54278425932546</v>
      </c>
    </row>
    <row r="241" spans="1:45" ht="14">
      <c r="A241">
        <f t="shared" si="84"/>
        <v>83</v>
      </c>
      <c r="B241" s="19">
        <f t="shared" si="84"/>
        <v>163</v>
      </c>
      <c r="C241" s="26">
        <f t="shared" si="73"/>
        <v>149.41214854224799</v>
      </c>
      <c r="D241" s="26"/>
      <c r="E241" s="26"/>
      <c r="F241" s="26"/>
      <c r="G241" s="26"/>
      <c r="H241" s="26"/>
      <c r="I241" s="126"/>
      <c r="J241" s="26"/>
      <c r="K241" s="26"/>
      <c r="L241" s="26"/>
      <c r="M241" s="83">
        <f>C$158*(0.4*D$14)*('Product half-life and C flows'!B102/100)</f>
        <v>0.48116049400948885</v>
      </c>
      <c r="N241" s="85"/>
      <c r="O241" s="85">
        <f t="shared" si="85"/>
        <v>23.063658997738134</v>
      </c>
      <c r="P241" s="85">
        <f t="shared" si="85"/>
        <v>12.300618132127003</v>
      </c>
      <c r="Q241" s="83">
        <f>C$158*(0.6*C$15)*('Product half-life and C flows'!L102/100)</f>
        <v>10.703944651862347</v>
      </c>
      <c r="R241" s="85">
        <f>C$158*0.6*('Product half-life and C flows'!N102/100)</f>
        <v>18.508814998697048</v>
      </c>
      <c r="S241" s="85">
        <f>C$158*0.6*('Product half-life and C flows'!P102/100)</f>
        <v>9.2451623370115108</v>
      </c>
      <c r="T241" s="85">
        <f t="shared" ref="T241:T304" si="86">T240</f>
        <v>11.038827979547648</v>
      </c>
      <c r="U241" s="3"/>
      <c r="V241" s="90">
        <f>N$238*(0.4*V$40)*('Product half-life and C flows'!B21/100)</f>
        <v>9.1361665837323169</v>
      </c>
      <c r="W241" s="90">
        <f t="shared" si="82"/>
        <v>5.0418532610901234E-2</v>
      </c>
      <c r="X241" s="89">
        <f t="shared" ref="X241:Y256" si="87">X240</f>
        <v>26.438132413138941</v>
      </c>
      <c r="Y241" s="89">
        <f t="shared" si="87"/>
        <v>14.100337287007433</v>
      </c>
      <c r="Z241" s="91">
        <f>N$238*(0.6*Z$41)*('Product half-life and C flows'!L21/100)</f>
        <v>42.726804357184371</v>
      </c>
      <c r="AA241" s="91">
        <f>N$238*0.6*('Product half-life and C flows'!N21/100)</f>
        <v>0.89205760958571279</v>
      </c>
      <c r="AB241" s="91">
        <f>N$238*0.6*('Product half-life and C flows'!P21/100)</f>
        <v>0.4455832215712851</v>
      </c>
      <c r="AC241" s="89">
        <f t="shared" ref="AC241:AC304" si="88">AC240</f>
        <v>25.116225792481988</v>
      </c>
      <c r="AD241" s="17"/>
      <c r="AE241">
        <f t="shared" si="60"/>
        <v>83</v>
      </c>
      <c r="AF241" s="3">
        <f>(C$158*$AF$76)*('Product half-life and C flows'!B102/100)</f>
        <v>3.6087037050711661</v>
      </c>
      <c r="AG241" s="3">
        <f t="shared" si="83"/>
        <v>33.500537345272804</v>
      </c>
      <c r="AH241" s="3" t="e">
        <f>#REF!</f>
        <v>#REF!</v>
      </c>
      <c r="AI241" s="3" t="e">
        <f t="shared" si="76"/>
        <v>#REF!</v>
      </c>
      <c r="AJ241" s="113">
        <f t="shared" si="61"/>
        <v>149.41214854224799</v>
      </c>
      <c r="AK241" s="124">
        <f t="shared" si="65"/>
        <v>9.6173270777418054</v>
      </c>
      <c r="AL241" s="124">
        <f t="shared" si="66"/>
        <v>5.0418532610901234E-2</v>
      </c>
      <c r="AM241" s="124">
        <f t="shared" si="67"/>
        <v>49.501791410877075</v>
      </c>
      <c r="AN241" s="124">
        <f t="shared" si="68"/>
        <v>26.400955419134434</v>
      </c>
      <c r="AO241" s="124">
        <f t="shared" si="69"/>
        <v>53.430749009046721</v>
      </c>
      <c r="AP241" s="124">
        <f t="shared" si="70"/>
        <v>19.400872608282761</v>
      </c>
      <c r="AQ241" s="124">
        <f t="shared" si="71"/>
        <v>9.6907455585827957</v>
      </c>
      <c r="AR241" s="124">
        <f t="shared" si="72"/>
        <v>36.155053772029632</v>
      </c>
      <c r="AS241" s="3">
        <f t="shared" si="77"/>
        <v>204.24791338830613</v>
      </c>
    </row>
    <row r="242" spans="1:45" ht="14">
      <c r="A242">
        <f t="shared" si="84"/>
        <v>84</v>
      </c>
      <c r="B242" s="19">
        <f t="shared" si="84"/>
        <v>164</v>
      </c>
      <c r="C242" s="26">
        <f t="shared" si="73"/>
        <v>149.76675366721204</v>
      </c>
      <c r="D242" s="26"/>
      <c r="E242" s="26"/>
      <c r="F242" s="26"/>
      <c r="G242" s="26"/>
      <c r="H242" s="26"/>
      <c r="I242" s="126"/>
      <c r="J242" s="26"/>
      <c r="K242" s="26"/>
      <c r="L242" s="26"/>
      <c r="M242" s="83">
        <f>C$158*(0.4*D$14)*('Product half-life and C flows'!B103/100)</f>
        <v>0.46477040120719104</v>
      </c>
      <c r="N242" s="85"/>
      <c r="O242" s="85">
        <f t="shared" si="85"/>
        <v>23.063658997738134</v>
      </c>
      <c r="P242" s="85">
        <f t="shared" si="85"/>
        <v>12.300618132127003</v>
      </c>
      <c r="Q242" s="83">
        <f>C$158*(0.6*C$15)*('Product half-life and C flows'!L103/100)</f>
        <v>10.540332213282458</v>
      </c>
      <c r="R242" s="85">
        <f>C$158*0.6*('Product half-life and C flows'!N103/100)</f>
        <v>18.617999032709363</v>
      </c>
      <c r="S242" s="85">
        <f>C$158*0.6*('Product half-life and C flows'!P103/100)</f>
        <v>9.2996998165381424</v>
      </c>
      <c r="T242" s="85">
        <f t="shared" si="86"/>
        <v>11.038827979547648</v>
      </c>
      <c r="U242" s="3"/>
      <c r="V242" s="90">
        <f>N$238*(0.4*V$40)*('Product half-life and C flows'!B22/100)</f>
        <v>8.8249552103362419</v>
      </c>
      <c r="W242" s="90">
        <f t="shared" si="82"/>
        <v>0.16041335764575598</v>
      </c>
      <c r="X242" s="89">
        <f t="shared" si="87"/>
        <v>26.438132413138941</v>
      </c>
      <c r="Y242" s="89">
        <f t="shared" si="87"/>
        <v>14.100337287007433</v>
      </c>
      <c r="Z242" s="91">
        <f>N$238*(0.6*Z$41)*('Product half-life and C flows'!L22/100)</f>
        <v>42.07371459626259</v>
      </c>
      <c r="AA242" s="91">
        <f>N$238*0.6*('Product half-life and C flows'!N22/100)</f>
        <v>1.3278861767075159</v>
      </c>
      <c r="AB242" s="91">
        <f>N$238*0.6*('Product half-life and C flows'!P22/100)</f>
        <v>0.66327980854521273</v>
      </c>
      <c r="AC242" s="89">
        <f t="shared" si="88"/>
        <v>25.116225792481988</v>
      </c>
      <c r="AD242" s="17"/>
      <c r="AE242">
        <f t="shared" si="60"/>
        <v>84</v>
      </c>
      <c r="AF242" s="3">
        <f>(C$158*$AF$76)*('Product half-life and C flows'!B103/100)</f>
        <v>3.4857780090539325</v>
      </c>
      <c r="AG242" s="3">
        <f t="shared" si="83"/>
        <v>33.065465431697831</v>
      </c>
      <c r="AH242" s="3" t="e">
        <f>#REF!</f>
        <v>#REF!</v>
      </c>
      <c r="AI242" s="3" t="e">
        <f t="shared" si="76"/>
        <v>#REF!</v>
      </c>
      <c r="AJ242" s="113">
        <f t="shared" si="61"/>
        <v>149.76675366721204</v>
      </c>
      <c r="AK242" s="124">
        <f t="shared" si="65"/>
        <v>9.2897256115434335</v>
      </c>
      <c r="AL242" s="124">
        <f t="shared" si="66"/>
        <v>0.16041335764575598</v>
      </c>
      <c r="AM242" s="124">
        <f t="shared" si="67"/>
        <v>49.501791410877075</v>
      </c>
      <c r="AN242" s="124">
        <f t="shared" si="68"/>
        <v>26.400955419134434</v>
      </c>
      <c r="AO242" s="124">
        <f t="shared" si="69"/>
        <v>52.614046809545044</v>
      </c>
      <c r="AP242" s="124">
        <f t="shared" si="70"/>
        <v>19.945885209416879</v>
      </c>
      <c r="AQ242" s="124">
        <f t="shared" si="71"/>
        <v>9.9629796250833547</v>
      </c>
      <c r="AR242" s="124">
        <f t="shared" si="72"/>
        <v>36.155053772029632</v>
      </c>
      <c r="AS242" s="3">
        <f t="shared" si="77"/>
        <v>204.03085121527562</v>
      </c>
    </row>
    <row r="243" spans="1:45" ht="14">
      <c r="A243">
        <f t="shared" si="84"/>
        <v>85</v>
      </c>
      <c r="B243" s="19">
        <f t="shared" si="84"/>
        <v>165</v>
      </c>
      <c r="C243" s="26">
        <f t="shared" si="73"/>
        <v>150.11488121693054</v>
      </c>
      <c r="D243" s="26"/>
      <c r="E243" s="26"/>
      <c r="F243" s="26"/>
      <c r="G243" s="26"/>
      <c r="H243" s="26"/>
      <c r="I243" s="126"/>
      <c r="J243" s="26"/>
      <c r="K243" s="26"/>
      <c r="L243" s="26"/>
      <c r="M243" s="83">
        <f>C$158*(0.4*D$14)*('Product half-life and C flows'!B104/100)</f>
        <v>0.44893861513500172</v>
      </c>
      <c r="N243" s="85"/>
      <c r="O243" s="85">
        <f t="shared" si="85"/>
        <v>23.063658997738134</v>
      </c>
      <c r="P243" s="85">
        <f t="shared" si="85"/>
        <v>12.300618132127003</v>
      </c>
      <c r="Q243" s="83">
        <f>C$158*(0.6*C$15)*('Product half-life and C flows'!L104/100)</f>
        <v>10.379220631249263</v>
      </c>
      <c r="R243" s="85">
        <f>C$158*0.6*('Product half-life and C flows'!N104/100)</f>
        <v>18.725514161786183</v>
      </c>
      <c r="S243" s="85">
        <f>C$158*0.6*('Product half-life and C flows'!P104/100)</f>
        <v>9.3534036772158728</v>
      </c>
      <c r="T243" s="85">
        <f t="shared" si="86"/>
        <v>11.038827979547648</v>
      </c>
      <c r="U243" s="3"/>
      <c r="V243" s="90">
        <f>N$238*(0.4*V$40)*('Product half-life and C flows'!B23/100)</f>
        <v>8.5243448387983776</v>
      </c>
      <c r="W243" s="90">
        <f t="shared" si="82"/>
        <v>0.35859718815808966</v>
      </c>
      <c r="X243" s="89">
        <f t="shared" si="87"/>
        <v>26.438132413138941</v>
      </c>
      <c r="Y243" s="89">
        <f t="shared" si="87"/>
        <v>14.100337287007433</v>
      </c>
      <c r="Z243" s="91">
        <f>N$238*(0.6*Z$41)*('Product half-life and C flows'!L23/100)</f>
        <v>41.43060747369249</v>
      </c>
      <c r="AA243" s="91">
        <f>N$238*0.6*('Product half-life and C flows'!N23/100)</f>
        <v>1.7570529965026274</v>
      </c>
      <c r="AB243" s="91">
        <f>N$238*0.6*('Product half-life and C flows'!P23/100)</f>
        <v>0.87764884940191168</v>
      </c>
      <c r="AC243" s="89">
        <f t="shared" si="88"/>
        <v>25.116225792481988</v>
      </c>
      <c r="AD243" s="17"/>
      <c r="AE243">
        <f t="shared" si="60"/>
        <v>85</v>
      </c>
      <c r="AF243" s="3">
        <f>(C$158*$AF$76)*('Product half-life and C flows'!B104/100)</f>
        <v>3.3670396135125125</v>
      </c>
      <c r="AG243" s="3">
        <f t="shared" si="83"/>
        <v>32.630393518122858</v>
      </c>
      <c r="AH243" s="3" t="e">
        <f>#REF!</f>
        <v>#REF!</v>
      </c>
      <c r="AI243" s="3" t="e">
        <f t="shared" si="76"/>
        <v>#REF!</v>
      </c>
      <c r="AJ243" s="113">
        <f t="shared" si="61"/>
        <v>150.11488121693054</v>
      </c>
      <c r="AK243" s="124">
        <f t="shared" si="65"/>
        <v>8.9732834539333801</v>
      </c>
      <c r="AL243" s="124">
        <f t="shared" si="66"/>
        <v>0.35859718815808966</v>
      </c>
      <c r="AM243" s="124">
        <f t="shared" si="67"/>
        <v>49.501791410877075</v>
      </c>
      <c r="AN243" s="124">
        <f t="shared" si="68"/>
        <v>26.400955419134434</v>
      </c>
      <c r="AO243" s="124">
        <f t="shared" si="69"/>
        <v>51.809828104941751</v>
      </c>
      <c r="AP243" s="124">
        <f t="shared" si="70"/>
        <v>20.482567158288809</v>
      </c>
      <c r="AQ243" s="124">
        <f t="shared" si="71"/>
        <v>10.231052526617784</v>
      </c>
      <c r="AR243" s="124">
        <f t="shared" si="72"/>
        <v>36.155053772029632</v>
      </c>
      <c r="AS243" s="3">
        <f t="shared" si="77"/>
        <v>203.91312903398097</v>
      </c>
    </row>
    <row r="244" spans="1:45" ht="14">
      <c r="A244">
        <f t="shared" si="84"/>
        <v>86</v>
      </c>
      <c r="B244" s="19">
        <f t="shared" si="84"/>
        <v>166</v>
      </c>
      <c r="C244" s="26">
        <f t="shared" si="73"/>
        <v>150.45663852721071</v>
      </c>
      <c r="D244" s="26"/>
      <c r="E244" s="26"/>
      <c r="F244" s="26"/>
      <c r="G244" s="26"/>
      <c r="H244" s="26"/>
      <c r="I244" s="126"/>
      <c r="J244" s="26"/>
      <c r="K244" s="26"/>
      <c r="L244" s="26"/>
      <c r="M244" s="83">
        <f>C$158*(0.4*D$14)*('Product half-life and C flows'!B105/100)</f>
        <v>0.43364611781610757</v>
      </c>
      <c r="N244" s="85"/>
      <c r="O244" s="85">
        <f t="shared" si="85"/>
        <v>23.063658997738134</v>
      </c>
      <c r="P244" s="85">
        <f t="shared" si="85"/>
        <v>12.300618132127003</v>
      </c>
      <c r="Q244" s="83">
        <f>C$158*(0.6*C$15)*('Product half-life and C flows'!L105/100)</f>
        <v>10.22057167955257</v>
      </c>
      <c r="R244" s="85">
        <f>C$158*0.6*('Product half-life and C flows'!N105/100)</f>
        <v>18.831385895551776</v>
      </c>
      <c r="S244" s="85">
        <f>C$158*0.6*('Product half-life and C flows'!P105/100)</f>
        <v>9.4062866611147697</v>
      </c>
      <c r="T244" s="85">
        <f t="shared" si="86"/>
        <v>11.038827979547648</v>
      </c>
      <c r="U244" s="3"/>
      <c r="V244" s="90">
        <f>N$238*(0.4*V$40)*('Product half-life and C flows'!B24/100)</f>
        <v>8.2339743600783599</v>
      </c>
      <c r="W244" s="90">
        <f t="shared" si="82"/>
        <v>0.66078557389625781</v>
      </c>
      <c r="X244" s="89">
        <f t="shared" si="87"/>
        <v>26.438132413138941</v>
      </c>
      <c r="Y244" s="89">
        <f t="shared" si="87"/>
        <v>14.100337287007433</v>
      </c>
      <c r="Z244" s="91">
        <f>N$238*(0.6*Z$41)*('Product half-life and C flows'!L24/100)</f>
        <v>40.797330402380503</v>
      </c>
      <c r="AA244" s="91">
        <f>N$238*0.6*('Product half-life and C flows'!N24/100)</f>
        <v>2.1796598954248299</v>
      </c>
      <c r="AB244" s="91">
        <f>N$238*0.6*('Product half-life and C flows'!P24/100)</f>
        <v>1.088741206505909</v>
      </c>
      <c r="AC244" s="89">
        <f t="shared" si="88"/>
        <v>25.116225792481988</v>
      </c>
      <c r="AD244" s="17"/>
      <c r="AE244">
        <f t="shared" si="60"/>
        <v>86</v>
      </c>
      <c r="AF244" s="3">
        <f>(C$158*$AF$76)*('Product half-life and C flows'!B105/100)</f>
        <v>3.2523458836208068</v>
      </c>
      <c r="AG244" s="3">
        <f t="shared" si="83"/>
        <v>32.195321604547885</v>
      </c>
      <c r="AH244" s="3" t="e">
        <f>#REF!</f>
        <v>#REF!</v>
      </c>
      <c r="AI244" s="3" t="e">
        <f t="shared" si="76"/>
        <v>#REF!</v>
      </c>
      <c r="AJ244" s="113">
        <f t="shared" si="61"/>
        <v>150.45663852721071</v>
      </c>
      <c r="AK244" s="124">
        <f t="shared" si="65"/>
        <v>8.6676204778944683</v>
      </c>
      <c r="AL244" s="124">
        <f t="shared" si="66"/>
        <v>0.66078557389625781</v>
      </c>
      <c r="AM244" s="124">
        <f t="shared" si="67"/>
        <v>49.501791410877075</v>
      </c>
      <c r="AN244" s="124">
        <f t="shared" si="68"/>
        <v>26.400955419134434</v>
      </c>
      <c r="AO244" s="124">
        <f t="shared" si="69"/>
        <v>51.017902081933073</v>
      </c>
      <c r="AP244" s="124">
        <f t="shared" si="70"/>
        <v>21.011045790976606</v>
      </c>
      <c r="AQ244" s="124">
        <f t="shared" si="71"/>
        <v>10.495027867620678</v>
      </c>
      <c r="AR244" s="124">
        <f t="shared" si="72"/>
        <v>36.155053772029632</v>
      </c>
      <c r="AS244" s="3">
        <f t="shared" si="77"/>
        <v>203.91018239436221</v>
      </c>
    </row>
    <row r="245" spans="1:45" ht="14">
      <c r="A245">
        <f t="shared" si="84"/>
        <v>87</v>
      </c>
      <c r="B245" s="19">
        <f t="shared" si="84"/>
        <v>167</v>
      </c>
      <c r="C245" s="26">
        <f t="shared" si="73"/>
        <v>150.79213160552499</v>
      </c>
      <c r="D245" s="26"/>
      <c r="E245" s="26"/>
      <c r="F245" s="26"/>
      <c r="G245" s="26"/>
      <c r="H245" s="26"/>
      <c r="I245" s="126"/>
      <c r="J245" s="26"/>
      <c r="K245" s="26"/>
      <c r="L245" s="26"/>
      <c r="M245" s="83">
        <f>C$158*(0.4*D$14)*('Product half-life and C flows'!B106/100)</f>
        <v>0.4188745390958023</v>
      </c>
      <c r="N245" s="85"/>
      <c r="O245" s="85">
        <f t="shared" si="85"/>
        <v>23.063658997738134</v>
      </c>
      <c r="P245" s="85">
        <f t="shared" si="85"/>
        <v>12.300618132127003</v>
      </c>
      <c r="Q245" s="83">
        <f>C$158*(0.6*C$15)*('Product half-life and C flows'!L106/100)</f>
        <v>10.064347716279256</v>
      </c>
      <c r="R245" s="85">
        <f>C$158*0.6*('Product half-life and C flows'!N106/100)</f>
        <v>18.935639353709501</v>
      </c>
      <c r="S245" s="85">
        <f>C$158*0.6*('Product half-life and C flows'!P106/100)</f>
        <v>9.4583613155392072</v>
      </c>
      <c r="T245" s="85">
        <f t="shared" si="86"/>
        <v>11.038827979547648</v>
      </c>
      <c r="U245" s="3"/>
      <c r="V245" s="90">
        <f>N$238*(0.4*V$40)*('Product half-life and C flows'!B25/100)</f>
        <v>7.9534949658353948</v>
      </c>
      <c r="W245" s="90">
        <f t="shared" si="82"/>
        <v>1.0777084645502373</v>
      </c>
      <c r="X245" s="89">
        <f t="shared" si="87"/>
        <v>26.438132413138941</v>
      </c>
      <c r="Y245" s="89">
        <f t="shared" si="87"/>
        <v>14.100337287007433</v>
      </c>
      <c r="Z245" s="91">
        <f>N$238*(0.6*Z$41)*('Product half-life and C flows'!L25/100)</f>
        <v>40.173733127564475</v>
      </c>
      <c r="AA245" s="91">
        <f>N$238*0.6*('Product half-life and C flows'!N25/100)</f>
        <v>2.5958071434853918</v>
      </c>
      <c r="AB245" s="91">
        <f>N$238*0.6*('Product half-life and C flows'!P25/100)</f>
        <v>1.2966069647779181</v>
      </c>
      <c r="AC245" s="89">
        <f t="shared" si="88"/>
        <v>25.116225792481988</v>
      </c>
      <c r="AD245" s="17"/>
      <c r="AE245">
        <f t="shared" si="60"/>
        <v>87</v>
      </c>
      <c r="AF245" s="3">
        <f>(C$158*$AF$76)*('Product half-life and C flows'!B106/100)</f>
        <v>3.1415590432185172</v>
      </c>
      <c r="AG245" s="3">
        <f t="shared" si="83"/>
        <v>31.760249690972913</v>
      </c>
      <c r="AH245" s="3" t="e">
        <f>#REF!</f>
        <v>#REF!</v>
      </c>
      <c r="AI245" s="3" t="e">
        <f t="shared" si="76"/>
        <v>#REF!</v>
      </c>
      <c r="AJ245" s="113">
        <f t="shared" si="61"/>
        <v>150.79213160552499</v>
      </c>
      <c r="AK245" s="124">
        <f t="shared" si="65"/>
        <v>8.3723695049311964</v>
      </c>
      <c r="AL245" s="124">
        <f t="shared" si="66"/>
        <v>1.0777084645502373</v>
      </c>
      <c r="AM245" s="124">
        <f t="shared" si="67"/>
        <v>49.501791410877075</v>
      </c>
      <c r="AN245" s="124">
        <f t="shared" si="68"/>
        <v>26.400955419134434</v>
      </c>
      <c r="AO245" s="124">
        <f t="shared" si="69"/>
        <v>50.238080843843733</v>
      </c>
      <c r="AP245" s="124">
        <f t="shared" si="70"/>
        <v>21.531446497194892</v>
      </c>
      <c r="AQ245" s="124">
        <f t="shared" si="71"/>
        <v>10.754968280317126</v>
      </c>
      <c r="AR245" s="124">
        <f t="shared" si="72"/>
        <v>36.155053772029632</v>
      </c>
      <c r="AS245" s="3">
        <f t="shared" si="77"/>
        <v>204.03237419287831</v>
      </c>
    </row>
    <row r="246" spans="1:45" ht="14">
      <c r="A246">
        <f t="shared" si="84"/>
        <v>88</v>
      </c>
      <c r="B246" s="19">
        <f t="shared" si="84"/>
        <v>168</v>
      </c>
      <c r="C246" s="26">
        <f t="shared" si="73"/>
        <v>151.12146512743382</v>
      </c>
      <c r="D246" s="26"/>
      <c r="E246" s="26"/>
      <c r="F246" s="26"/>
      <c r="G246" s="26"/>
      <c r="H246" s="26"/>
      <c r="I246" s="126"/>
      <c r="J246" s="26"/>
      <c r="K246" s="26"/>
      <c r="L246" s="26"/>
      <c r="M246" s="83">
        <f>C$158*(0.4*D$14)*('Product half-life and C flows'!B107/100)</f>
        <v>0.40460613457428574</v>
      </c>
      <c r="N246" s="85"/>
      <c r="O246" s="85">
        <f t="shared" si="85"/>
        <v>23.063658997738134</v>
      </c>
      <c r="P246" s="85">
        <f t="shared" si="85"/>
        <v>12.300618132127003</v>
      </c>
      <c r="Q246" s="83">
        <f>C$158*(0.6*C$15)*('Product half-life and C flows'!L107/100)</f>
        <v>9.9105116748821338</v>
      </c>
      <c r="R246" s="85">
        <f>C$158*0.6*('Product half-life and C flows'!N107/100)</f>
        <v>19.038299272001847</v>
      </c>
      <c r="S246" s="85">
        <f>C$158*0.6*('Product half-life and C flows'!P107/100)</f>
        <v>9.5096399960049158</v>
      </c>
      <c r="T246" s="85">
        <f t="shared" si="86"/>
        <v>11.038827979547648</v>
      </c>
      <c r="U246" s="3"/>
      <c r="V246" s="90">
        <f>N$238*(0.4*V$40)*('Product half-life and C flows'!B26/100)</f>
        <v>7.6825697294212816</v>
      </c>
      <c r="W246" s="90">
        <f t="shared" si="82"/>
        <v>1.6158903296459175</v>
      </c>
      <c r="X246" s="89">
        <f t="shared" si="87"/>
        <v>26.438132413138941</v>
      </c>
      <c r="Y246" s="89">
        <f t="shared" si="87"/>
        <v>14.100337287007433</v>
      </c>
      <c r="Z246" s="91">
        <f>N$238*(0.6*Z$41)*('Product half-life and C flows'!L26/100)</f>
        <v>39.559667691163426</v>
      </c>
      <c r="AA246" s="91">
        <f>N$238*0.6*('Product half-life and C flows'!N26/100)</f>
        <v>3.0055934780436897</v>
      </c>
      <c r="AB246" s="91">
        <f>N$238*0.6*('Product half-life and C flows'!P26/100)</f>
        <v>1.5012954435782668</v>
      </c>
      <c r="AC246" s="89">
        <f t="shared" si="88"/>
        <v>25.116225792481988</v>
      </c>
      <c r="AD246" s="17"/>
      <c r="AE246">
        <f t="shared" si="60"/>
        <v>88</v>
      </c>
      <c r="AF246" s="3">
        <f>(C$158*$AF$76)*('Product half-life and C flows'!B107/100)</f>
        <v>3.0345460093071428</v>
      </c>
      <c r="AG246" s="3">
        <f t="shared" si="83"/>
        <v>31.325177777397943</v>
      </c>
      <c r="AH246" s="3" t="e">
        <f>#REF!</f>
        <v>#REF!</v>
      </c>
      <c r="AI246" s="3" t="e">
        <f t="shared" si="76"/>
        <v>#REF!</v>
      </c>
      <c r="AJ246" s="113">
        <f t="shared" si="61"/>
        <v>151.12146512743382</v>
      </c>
      <c r="AK246" s="124">
        <f t="shared" si="65"/>
        <v>8.0871758639955669</v>
      </c>
      <c r="AL246" s="124">
        <f t="shared" si="66"/>
        <v>1.6158903296459175</v>
      </c>
      <c r="AM246" s="124">
        <f t="shared" si="67"/>
        <v>49.501791410877075</v>
      </c>
      <c r="AN246" s="124">
        <f t="shared" si="68"/>
        <v>26.400955419134434</v>
      </c>
      <c r="AO246" s="124">
        <f t="shared" si="69"/>
        <v>49.470179366045556</v>
      </c>
      <c r="AP246" s="124">
        <f t="shared" si="70"/>
        <v>22.043892750045536</v>
      </c>
      <c r="AQ246" s="124">
        <f t="shared" si="71"/>
        <v>11.010935439583182</v>
      </c>
      <c r="AR246" s="124">
        <f t="shared" si="72"/>
        <v>36.155053772029632</v>
      </c>
      <c r="AS246" s="3">
        <f t="shared" si="77"/>
        <v>204.28587435135688</v>
      </c>
    </row>
    <row r="247" spans="1:45" ht="14">
      <c r="A247">
        <f t="shared" si="84"/>
        <v>89</v>
      </c>
      <c r="B247" s="19">
        <f t="shared" si="84"/>
        <v>169</v>
      </c>
      <c r="C247" s="26">
        <f t="shared" si="73"/>
        <v>151.44474243417059</v>
      </c>
      <c r="D247" s="26"/>
      <c r="E247" s="26"/>
      <c r="F247" s="26"/>
      <c r="G247" s="26"/>
      <c r="H247" s="26"/>
      <c r="I247" s="126"/>
      <c r="J247" s="26"/>
      <c r="K247" s="26"/>
      <c r="L247" s="26"/>
      <c r="M247" s="83">
        <f>C$158*(0.4*D$14)*('Product half-life and C flows'!B108/100)</f>
        <v>0.39082376429115756</v>
      </c>
      <c r="N247" s="85"/>
      <c r="O247" s="85">
        <f t="shared" si="85"/>
        <v>23.063658997738134</v>
      </c>
      <c r="P247" s="85">
        <f t="shared" si="85"/>
        <v>12.300618132127003</v>
      </c>
      <c r="Q247" s="83">
        <f>C$158*(0.6*C$15)*('Product half-life and C flows'!L108/100)</f>
        <v>9.7590270553853564</v>
      </c>
      <c r="R247" s="85">
        <f>C$158*0.6*('Product half-life and C flows'!N108/100)</f>
        <v>19.139390008079364</v>
      </c>
      <c r="S247" s="85">
        <f>C$158*0.6*('Product half-life and C flows'!P108/100)</f>
        <v>9.5601348691705077</v>
      </c>
      <c r="T247" s="85">
        <f t="shared" si="86"/>
        <v>11.038827979547648</v>
      </c>
      <c r="U247" s="3"/>
      <c r="V247" s="90">
        <f>N$238*(0.4*V$40)*('Product half-life and C flows'!B27/100)</f>
        <v>7.4208732011463372</v>
      </c>
      <c r="W247" s="90">
        <f t="shared" si="82"/>
        <v>2.2784052810626787</v>
      </c>
      <c r="X247" s="89">
        <f t="shared" si="87"/>
        <v>26.438132413138941</v>
      </c>
      <c r="Y247" s="89">
        <f t="shared" si="87"/>
        <v>14.100337287007433</v>
      </c>
      <c r="Z247" s="91">
        <f>N$238*(0.6*Z$41)*('Product half-life and C flows'!L27/100)</f>
        <v>38.954988396672199</v>
      </c>
      <c r="AA247" s="91">
        <f>N$238*0.6*('Product half-life and C flows'!N27/100)</f>
        <v>3.4091161272341695</v>
      </c>
      <c r="AB247" s="91">
        <f>N$238*0.6*('Product half-life and C flows'!P27/100)</f>
        <v>1.7028552084086761</v>
      </c>
      <c r="AC247" s="89">
        <f t="shared" si="88"/>
        <v>25.116225792481988</v>
      </c>
      <c r="AD247" s="17"/>
      <c r="AE247">
        <f t="shared" si="60"/>
        <v>89</v>
      </c>
      <c r="AF247" s="3">
        <f>(C$158*$AF$76)*('Product half-life and C flows'!B108/100)</f>
        <v>2.9311782321836817</v>
      </c>
      <c r="AG247" s="3">
        <f t="shared" si="83"/>
        <v>30.890105863822971</v>
      </c>
      <c r="AH247" s="3" t="e">
        <f>#REF!</f>
        <v>#REF!</v>
      </c>
      <c r="AI247" s="3" t="e">
        <f t="shared" si="76"/>
        <v>#REF!</v>
      </c>
      <c r="AJ247" s="113">
        <f t="shared" si="61"/>
        <v>151.44474243417059</v>
      </c>
      <c r="AK247" s="124">
        <f t="shared" si="65"/>
        <v>7.8116969654374948</v>
      </c>
      <c r="AL247" s="124">
        <f t="shared" si="66"/>
        <v>2.2784052810626787</v>
      </c>
      <c r="AM247" s="124">
        <f t="shared" si="67"/>
        <v>49.501791410877075</v>
      </c>
      <c r="AN247" s="124">
        <f t="shared" si="68"/>
        <v>26.400955419134434</v>
      </c>
      <c r="AO247" s="124">
        <f t="shared" si="69"/>
        <v>48.714015452057552</v>
      </c>
      <c r="AP247" s="124">
        <f t="shared" si="70"/>
        <v>22.548506135313534</v>
      </c>
      <c r="AQ247" s="124">
        <f t="shared" si="71"/>
        <v>11.262990077579184</v>
      </c>
      <c r="AR247" s="124">
        <f t="shared" si="72"/>
        <v>36.155053772029632</v>
      </c>
      <c r="AS247" s="3">
        <f t="shared" si="77"/>
        <v>204.67341451349159</v>
      </c>
    </row>
    <row r="248" spans="1:45" ht="14">
      <c r="A248">
        <f t="shared" si="84"/>
        <v>90</v>
      </c>
      <c r="B248" s="19">
        <f t="shared" si="84"/>
        <v>170</v>
      </c>
      <c r="C248" s="26">
        <f t="shared" si="73"/>
        <v>151.76206553132781</v>
      </c>
      <c r="D248" s="26"/>
      <c r="E248" s="26"/>
      <c r="F248" s="26"/>
      <c r="G248" s="26"/>
      <c r="H248" s="26"/>
      <c r="I248" s="126"/>
      <c r="J248" s="26"/>
      <c r="K248" s="26"/>
      <c r="L248" s="26"/>
      <c r="M248" s="83">
        <f>C$158*(0.4*D$14)*('Product half-life and C flows'!B109/100)</f>
        <v>0.37751087213598994</v>
      </c>
      <c r="N248" s="85"/>
      <c r="O248" s="85">
        <f t="shared" si="85"/>
        <v>23.063658997738134</v>
      </c>
      <c r="P248" s="85">
        <f t="shared" si="85"/>
        <v>12.300618132127003</v>
      </c>
      <c r="Q248" s="83">
        <f>C$158*(0.6*C$15)*('Product half-life and C flows'!L109/100)</f>
        <v>9.6098579157242199</v>
      </c>
      <c r="R248" s="85">
        <f>C$158*0.6*('Product half-life and C flows'!N109/100)</f>
        <v>19.23893554727989</v>
      </c>
      <c r="S248" s="85">
        <f>C$158*0.6*('Product half-life and C flows'!P109/100)</f>
        <v>9.6098579157242199</v>
      </c>
      <c r="T248" s="85">
        <f t="shared" si="86"/>
        <v>11.038827979547648</v>
      </c>
      <c r="U248" s="3"/>
      <c r="V248" s="90">
        <f>N$238*(0.4*V$40)*('Product half-life and C flows'!B28/100)</f>
        <v>7.1680910173320589</v>
      </c>
      <c r="W248" s="90">
        <f t="shared" si="82"/>
        <v>3.0655233705876594</v>
      </c>
      <c r="X248" s="89">
        <f t="shared" si="87"/>
        <v>26.438132413138941</v>
      </c>
      <c r="Y248" s="89">
        <f t="shared" si="87"/>
        <v>14.100337287007433</v>
      </c>
      <c r="Z248" s="91">
        <f>N$238*(0.6*Z$41)*('Product half-life and C flows'!L28/100)</f>
        <v>38.359551774592695</v>
      </c>
      <c r="AA248" s="91">
        <f>N$238*0.6*('Product half-life and C flows'!N28/100)</f>
        <v>3.8064708330352239</v>
      </c>
      <c r="AB248" s="91">
        <f>N$238*0.6*('Product half-life and C flows'!P28/100)</f>
        <v>1.9013340824351768</v>
      </c>
      <c r="AC248" s="89">
        <f t="shared" si="88"/>
        <v>25.116225792481988</v>
      </c>
      <c r="AD248" s="17"/>
      <c r="AE248">
        <f t="shared" si="60"/>
        <v>90</v>
      </c>
      <c r="AF248" s="3">
        <f>(C$158*$AF$76)*('Product half-life and C flows'!B109/100)</f>
        <v>2.831331541019924</v>
      </c>
      <c r="AG248" s="3">
        <f t="shared" si="83"/>
        <v>30.455033950248001</v>
      </c>
      <c r="AH248" s="3" t="e">
        <f>#REF!</f>
        <v>#REF!</v>
      </c>
      <c r="AI248" s="3" t="e">
        <f t="shared" si="76"/>
        <v>#REF!</v>
      </c>
      <c r="AJ248" s="113">
        <f t="shared" si="61"/>
        <v>151.76206553132781</v>
      </c>
      <c r="AK248" s="124">
        <f t="shared" si="65"/>
        <v>7.545601889468049</v>
      </c>
      <c r="AL248" s="124">
        <f t="shared" si="66"/>
        <v>3.0655233705876594</v>
      </c>
      <c r="AM248" s="124">
        <f t="shared" si="67"/>
        <v>49.501791410877075</v>
      </c>
      <c r="AN248" s="124">
        <f t="shared" si="68"/>
        <v>26.400955419134434</v>
      </c>
      <c r="AO248" s="124">
        <f t="shared" si="69"/>
        <v>47.969409690316915</v>
      </c>
      <c r="AP248" s="124">
        <f t="shared" si="70"/>
        <v>23.045406380315114</v>
      </c>
      <c r="AQ248" s="124">
        <f t="shared" si="71"/>
        <v>11.511191998159397</v>
      </c>
      <c r="AR248" s="124">
        <f t="shared" si="72"/>
        <v>36.155053772029632</v>
      </c>
      <c r="AS248" s="3">
        <f t="shared" si="77"/>
        <v>205.19493393088828</v>
      </c>
    </row>
    <row r="249" spans="1:45" ht="14">
      <c r="A249">
        <f t="shared" si="84"/>
        <v>91</v>
      </c>
      <c r="B249" s="19">
        <f t="shared" si="84"/>
        <v>171</v>
      </c>
      <c r="C249" s="26">
        <f t="shared" si="73"/>
        <v>152.07353508858631</v>
      </c>
      <c r="D249" s="26"/>
      <c r="E249" s="26"/>
      <c r="F249" s="26"/>
      <c r="G249" s="26"/>
      <c r="H249" s="26"/>
      <c r="I249" s="126"/>
      <c r="J249" s="26"/>
      <c r="K249" s="26"/>
      <c r="L249" s="26"/>
      <c r="M249" s="83">
        <f>C$158*(0.4*D$14)*('Product half-life and C flows'!B110/100)</f>
        <v>0.36465146596025488</v>
      </c>
      <c r="N249" s="85"/>
      <c r="O249" s="85">
        <f t="shared" si="85"/>
        <v>23.063658997738134</v>
      </c>
      <c r="P249" s="85">
        <f t="shared" si="85"/>
        <v>12.300618132127003</v>
      </c>
      <c r="Q249" s="83">
        <f>C$158*(0.6*C$15)*('Product half-life and C flows'!L110/100)</f>
        <v>9.4629688632173643</v>
      </c>
      <c r="R249" s="85">
        <f>C$158*0.6*('Product half-life and C flows'!N110/100)</f>
        <v>19.336959508319467</v>
      </c>
      <c r="S249" s="85">
        <f>C$158*0.6*('Product half-life and C flows'!P110/100)</f>
        <v>9.6588209332265063</v>
      </c>
      <c r="T249" s="85">
        <f t="shared" si="86"/>
        <v>11.038827979547648</v>
      </c>
      <c r="U249" s="3"/>
      <c r="V249" s="90">
        <f>N$238*(0.4*V$40)*('Product half-life and C flows'!B29/100)</f>
        <v>6.9239195226808912</v>
      </c>
      <c r="W249" s="90">
        <f t="shared" si="82"/>
        <v>3.9752622463725169</v>
      </c>
      <c r="X249" s="89">
        <f t="shared" si="87"/>
        <v>26.438132413138941</v>
      </c>
      <c r="Y249" s="89">
        <f t="shared" si="87"/>
        <v>14.100337287007433</v>
      </c>
      <c r="Z249" s="91">
        <f>N$238*(0.6*Z$41)*('Product half-life and C flows'!L29/100)</f>
        <v>37.773216548393563</v>
      </c>
      <c r="AA249" s="91">
        <f>N$238*0.6*('Product half-life and C flows'!N29/100)</f>
        <v>4.1977518739854425</v>
      </c>
      <c r="AB249" s="91">
        <f>N$238*0.6*('Product half-life and C flows'!P29/100)</f>
        <v>2.0967791578348867</v>
      </c>
      <c r="AC249" s="89">
        <f t="shared" si="88"/>
        <v>25.116225792481988</v>
      </c>
      <c r="AD249" s="17"/>
      <c r="AE249">
        <f t="shared" si="60"/>
        <v>91</v>
      </c>
      <c r="AF249" s="3">
        <f>(C$158*$AF$76)*('Product half-life and C flows'!B110/100)</f>
        <v>2.7348859947019113</v>
      </c>
      <c r="AG249" s="3">
        <f t="shared" si="83"/>
        <v>30.019962036673032</v>
      </c>
      <c r="AH249" s="3" t="e">
        <f>#REF!</f>
        <v>#REF!</v>
      </c>
      <c r="AI249" s="3" t="e">
        <f t="shared" si="76"/>
        <v>#REF!</v>
      </c>
      <c r="AJ249" s="113">
        <f t="shared" si="61"/>
        <v>152.07353508858631</v>
      </c>
      <c r="AK249" s="124">
        <f t="shared" ref="AK249:AK280" si="89">D249+M249+V249</f>
        <v>7.2885709886411458</v>
      </c>
      <c r="AL249" s="124">
        <f t="shared" ref="AL249:AL280" si="90">E249+N249+W249</f>
        <v>3.9752622463725169</v>
      </c>
      <c r="AM249" s="124">
        <f t="shared" ref="AM249:AM280" si="91">F249+O249+X249</f>
        <v>49.501791410877075</v>
      </c>
      <c r="AN249" s="124">
        <f t="shared" ref="AN249:AN280" si="92">G249+P249+Y249</f>
        <v>26.400955419134434</v>
      </c>
      <c r="AO249" s="124">
        <f t="shared" ref="AO249:AO280" si="93">H249+Q249+Z249</f>
        <v>47.236185411610926</v>
      </c>
      <c r="AP249" s="124">
        <f t="shared" ref="AP249:AP280" si="94">I249+R249+AA249</f>
        <v>23.534711382304909</v>
      </c>
      <c r="AQ249" s="124">
        <f t="shared" ref="AQ249:AQ280" si="95">J249+S249+AB249</f>
        <v>11.755600091061392</v>
      </c>
      <c r="AR249" s="124">
        <f t="shared" si="72"/>
        <v>36.155053772029632</v>
      </c>
      <c r="AS249" s="3">
        <f t="shared" si="77"/>
        <v>205.84813072203201</v>
      </c>
    </row>
    <row r="250" spans="1:45" ht="14">
      <c r="A250">
        <f t="shared" si="84"/>
        <v>92</v>
      </c>
      <c r="B250" s="19">
        <f t="shared" si="84"/>
        <v>172</v>
      </c>
      <c r="C250" s="26">
        <f t="shared" si="73"/>
        <v>152.37925044043024</v>
      </c>
      <c r="D250" s="26"/>
      <c r="E250" s="26"/>
      <c r="F250" s="26"/>
      <c r="G250" s="26"/>
      <c r="H250" s="26"/>
      <c r="I250" s="126"/>
      <c r="J250" s="26"/>
      <c r="K250" s="26"/>
      <c r="L250" s="26"/>
      <c r="M250" s="83">
        <f>C$158*(0.4*D$14)*('Product half-life and C flows'!B111/100)</f>
        <v>0.35223009836671199</v>
      </c>
      <c r="N250" s="85"/>
      <c r="O250" s="85">
        <f t="shared" si="85"/>
        <v>23.063658997738134</v>
      </c>
      <c r="P250" s="85">
        <f t="shared" si="85"/>
        <v>12.300618132127003</v>
      </c>
      <c r="Q250" s="83">
        <f>C$158*(0.6*C$15)*('Product half-life and C flows'!L111/100)</f>
        <v>9.3183250461693028</v>
      </c>
      <c r="R250" s="85">
        <f>C$158*0.6*('Product half-life and C flows'!N111/100)</f>
        <v>19.433485148896207</v>
      </c>
      <c r="S250" s="85">
        <f>C$158*0.6*('Product half-life and C flows'!P111/100)</f>
        <v>9.7070355389091905</v>
      </c>
      <c r="T250" s="85">
        <f t="shared" si="86"/>
        <v>11.038827979547648</v>
      </c>
      <c r="U250" s="3"/>
      <c r="V250" s="90">
        <f>N$238*(0.4*V$40)*('Product half-life and C flows'!B30/100)</f>
        <v>6.6880654055094482</v>
      </c>
      <c r="W250" s="90">
        <f t="shared" si="82"/>
        <v>5.0038566008813614</v>
      </c>
      <c r="X250" s="89">
        <f t="shared" si="87"/>
        <v>26.438132413138941</v>
      </c>
      <c r="Y250" s="89">
        <f t="shared" si="87"/>
        <v>14.100337287007433</v>
      </c>
      <c r="Z250" s="91">
        <f>N$238*(0.6*Z$41)*('Product half-life and C flows'!L30/100)</f>
        <v>37.195843600990145</v>
      </c>
      <c r="AA250" s="91">
        <f>N$238*0.6*('Product half-life and C flows'!N30/100)</f>
        <v>4.5830520875526597</v>
      </c>
      <c r="AB250" s="91">
        <f>N$238*0.6*('Product half-life and C flows'!P30/100)</f>
        <v>2.2892368069693605</v>
      </c>
      <c r="AC250" s="89">
        <f t="shared" si="88"/>
        <v>25.116225792481988</v>
      </c>
      <c r="AD250" s="17"/>
      <c r="AE250">
        <f t="shared" si="60"/>
        <v>92</v>
      </c>
      <c r="AF250" s="3">
        <f>(C$158*$AF$76)*('Product half-life and C flows'!B111/100)</f>
        <v>2.64172573775034</v>
      </c>
      <c r="AG250" s="3">
        <f t="shared" si="83"/>
        <v>29.584890123098056</v>
      </c>
      <c r="AH250" s="3" t="e">
        <f>#REF!</f>
        <v>#REF!</v>
      </c>
      <c r="AI250" s="3" t="e">
        <f t="shared" si="76"/>
        <v>#REF!</v>
      </c>
      <c r="AJ250" s="113">
        <f t="shared" si="61"/>
        <v>152.37925044043024</v>
      </c>
      <c r="AK250" s="124">
        <f t="shared" si="89"/>
        <v>7.0402955038761599</v>
      </c>
      <c r="AL250" s="124">
        <f t="shared" si="90"/>
        <v>5.0038566008813614</v>
      </c>
      <c r="AM250" s="124">
        <f t="shared" si="91"/>
        <v>49.501791410877075</v>
      </c>
      <c r="AN250" s="124">
        <f t="shared" si="92"/>
        <v>26.400955419134434</v>
      </c>
      <c r="AO250" s="124">
        <f t="shared" si="93"/>
        <v>46.514168647159451</v>
      </c>
      <c r="AP250" s="124">
        <f t="shared" si="94"/>
        <v>24.016537236448865</v>
      </c>
      <c r="AQ250" s="124">
        <f t="shared" si="95"/>
        <v>11.996272345878552</v>
      </c>
      <c r="AR250" s="124">
        <f t="shared" si="72"/>
        <v>36.155053772029632</v>
      </c>
      <c r="AS250" s="3">
        <f t="shared" si="77"/>
        <v>206.62893093628554</v>
      </c>
    </row>
    <row r="251" spans="1:45" ht="14">
      <c r="A251">
        <f t="shared" si="84"/>
        <v>93</v>
      </c>
      <c r="B251" s="19">
        <f t="shared" si="84"/>
        <v>173</v>
      </c>
      <c r="C251" s="26">
        <f t="shared" si="73"/>
        <v>152.67930958779479</v>
      </c>
      <c r="D251" s="26"/>
      <c r="E251" s="26"/>
      <c r="F251" s="26"/>
      <c r="G251" s="26"/>
      <c r="H251" s="26"/>
      <c r="I251" s="126"/>
      <c r="J251" s="26"/>
      <c r="K251" s="26"/>
      <c r="L251" s="26"/>
      <c r="M251" s="83">
        <f>C$158*(0.4*D$14)*('Product half-life and C flows'!B112/100)</f>
        <v>0.34023184815317892</v>
      </c>
      <c r="N251" s="85"/>
      <c r="O251" s="85">
        <f t="shared" si="85"/>
        <v>23.063658997738134</v>
      </c>
      <c r="P251" s="85">
        <f t="shared" si="85"/>
        <v>12.300618132127003</v>
      </c>
      <c r="Q251" s="83">
        <f>C$158*(0.6*C$15)*('Product half-life and C flows'!L112/100)</f>
        <v>9.1758921456013258</v>
      </c>
      <c r="R251" s="85">
        <f>C$158*0.6*('Product half-life and C flows'!N112/100)</f>
        <v>19.528535371208569</v>
      </c>
      <c r="S251" s="85">
        <f>C$158*0.6*('Product half-life and C flows'!P112/100)</f>
        <v>9.7545131724318495</v>
      </c>
      <c r="T251" s="85">
        <f t="shared" si="86"/>
        <v>11.038827979547648</v>
      </c>
      <c r="U251" s="3"/>
      <c r="V251" s="90">
        <f>N$238*(0.4*V$40)*('Product half-life and C flows'!B31/100)</f>
        <v>6.4602453454070545</v>
      </c>
      <c r="W251" s="90">
        <f t="shared" si="82"/>
        <v>6.1461563011223976</v>
      </c>
      <c r="X251" s="89">
        <f t="shared" si="87"/>
        <v>26.438132413138941</v>
      </c>
      <c r="Y251" s="89">
        <f t="shared" si="87"/>
        <v>14.100337287007433</v>
      </c>
      <c r="Z251" s="91">
        <f>N$238*(0.6*Z$41)*('Product half-life and C flows'!L31/100)</f>
        <v>36.627295941736755</v>
      </c>
      <c r="AA251" s="91">
        <f>N$238*0.6*('Product half-life and C flows'!N31/100)</f>
        <v>4.9624628921610876</v>
      </c>
      <c r="AB251" s="91">
        <f>N$238*0.6*('Product half-life and C flows'!P31/100)</f>
        <v>2.4787526933871566</v>
      </c>
      <c r="AC251" s="89">
        <f t="shared" si="88"/>
        <v>25.116225792481988</v>
      </c>
      <c r="AD251" s="17"/>
      <c r="AE251">
        <f t="shared" si="60"/>
        <v>93</v>
      </c>
      <c r="AF251" s="3">
        <f>(C$158*$AF$76)*('Product half-life and C flows'!B112/100)</f>
        <v>2.5517388611488414</v>
      </c>
      <c r="AG251" s="3">
        <f t="shared" si="83"/>
        <v>29.149818209523087</v>
      </c>
      <c r="AH251" s="3" t="e">
        <f>#REF!</f>
        <v>#REF!</v>
      </c>
      <c r="AI251" s="3" t="e">
        <f t="shared" si="76"/>
        <v>#REF!</v>
      </c>
      <c r="AJ251" s="113">
        <f t="shared" si="61"/>
        <v>152.67930958779479</v>
      </c>
      <c r="AK251" s="124">
        <f t="shared" si="89"/>
        <v>6.8004771935602335</v>
      </c>
      <c r="AL251" s="124">
        <f t="shared" si="90"/>
        <v>6.1461563011223976</v>
      </c>
      <c r="AM251" s="124">
        <f t="shared" si="91"/>
        <v>49.501791410877075</v>
      </c>
      <c r="AN251" s="124">
        <f t="shared" si="92"/>
        <v>26.400955419134434</v>
      </c>
      <c r="AO251" s="124">
        <f t="shared" si="93"/>
        <v>45.803188087338079</v>
      </c>
      <c r="AP251" s="124">
        <f t="shared" si="94"/>
        <v>24.490998263369658</v>
      </c>
      <c r="AQ251" s="124">
        <f t="shared" si="95"/>
        <v>12.233265865819007</v>
      </c>
      <c r="AR251" s="124">
        <f t="shared" si="72"/>
        <v>36.155053772029632</v>
      </c>
      <c r="AS251" s="3">
        <f t="shared" si="77"/>
        <v>207.53188631325054</v>
      </c>
    </row>
    <row r="252" spans="1:45" ht="14">
      <c r="A252">
        <f t="shared" si="84"/>
        <v>94</v>
      </c>
      <c r="B252" s="19">
        <f t="shared" si="84"/>
        <v>174</v>
      </c>
      <c r="C252" s="26">
        <f t="shared" si="73"/>
        <v>152.97380920059325</v>
      </c>
      <c r="D252" s="26"/>
      <c r="E252" s="26"/>
      <c r="F252" s="26"/>
      <c r="G252" s="26"/>
      <c r="H252" s="26"/>
      <c r="I252" s="126"/>
      <c r="J252" s="26"/>
      <c r="K252" s="26"/>
      <c r="L252" s="26"/>
      <c r="M252" s="83">
        <f>C$158*(0.4*D$14)*('Product half-life and C flows'!B113/100)</f>
        <v>0.32864230238839709</v>
      </c>
      <c r="N252" s="85"/>
      <c r="O252" s="85">
        <f t="shared" si="85"/>
        <v>23.063658997738134</v>
      </c>
      <c r="P252" s="85">
        <f t="shared" si="85"/>
        <v>12.300618132127003</v>
      </c>
      <c r="Q252" s="83">
        <f>C$158*(0.6*C$15)*('Product half-life and C flows'!L113/100)</f>
        <v>9.0356363671087987</v>
      </c>
      <c r="R252" s="85">
        <f>C$158*0.6*('Product half-life and C flows'!N113/100)</f>
        <v>19.622132727389253</v>
      </c>
      <c r="S252" s="85">
        <f>C$158*0.6*('Product half-life and C flows'!P113/100)</f>
        <v>9.8012650985960281</v>
      </c>
      <c r="T252" s="85">
        <f t="shared" si="86"/>
        <v>11.038827979547648</v>
      </c>
      <c r="U252" s="3"/>
      <c r="V252" s="90">
        <f>N$238*(0.4*V$40)*('Product half-life and C flows'!B32/100)</f>
        <v>6.2401856728963123</v>
      </c>
      <c r="W252" s="90">
        <f t="shared" si="82"/>
        <v>7.3959627350682862</v>
      </c>
      <c r="X252" s="89">
        <f t="shared" si="87"/>
        <v>26.438132413138941</v>
      </c>
      <c r="Y252" s="89">
        <f t="shared" si="87"/>
        <v>14.100337287007433</v>
      </c>
      <c r="Z252" s="91">
        <f>N$238*(0.6*Z$41)*('Product half-life and C flows'!L32/100)</f>
        <v>36.067438673923604</v>
      </c>
      <c r="AA252" s="91">
        <f>N$238*0.6*('Product half-life and C flows'!N32/100)</f>
        <v>5.33607430888173</v>
      </c>
      <c r="AB252" s="91">
        <f>N$238*0.6*('Product half-life and C flows'!P32/100)</f>
        <v>2.6653717826582071</v>
      </c>
      <c r="AC252" s="89">
        <f t="shared" si="88"/>
        <v>25.116225792481988</v>
      </c>
      <c r="AD252" s="17"/>
      <c r="AE252">
        <f t="shared" si="60"/>
        <v>94</v>
      </c>
      <c r="AF252" s="3">
        <f>(C$158*$AF$76)*('Product half-life and C flows'!B113/100)</f>
        <v>2.4648172679129781</v>
      </c>
      <c r="AG252" s="3">
        <f t="shared" si="83"/>
        <v>28.714746295948114</v>
      </c>
      <c r="AH252" s="3" t="e">
        <f>#REF!</f>
        <v>#REF!</v>
      </c>
      <c r="AI252" s="3" t="e">
        <f t="shared" si="76"/>
        <v>#REF!</v>
      </c>
      <c r="AJ252" s="113">
        <f t="shared" si="61"/>
        <v>152.97380920059325</v>
      </c>
      <c r="AK252" s="124">
        <f t="shared" si="89"/>
        <v>6.5688279752847096</v>
      </c>
      <c r="AL252" s="124">
        <f t="shared" si="90"/>
        <v>7.3959627350682862</v>
      </c>
      <c r="AM252" s="124">
        <f t="shared" si="91"/>
        <v>49.501791410877075</v>
      </c>
      <c r="AN252" s="124">
        <f t="shared" si="92"/>
        <v>26.400955419134434</v>
      </c>
      <c r="AO252" s="124">
        <f t="shared" si="93"/>
        <v>45.103075041032405</v>
      </c>
      <c r="AP252" s="124">
        <f t="shared" si="94"/>
        <v>24.958207036270984</v>
      </c>
      <c r="AQ252" s="124">
        <f t="shared" si="95"/>
        <v>12.466636881254235</v>
      </c>
      <c r="AR252" s="124">
        <f t="shared" si="72"/>
        <v>36.155053772029632</v>
      </c>
      <c r="AS252" s="3">
        <f t="shared" si="77"/>
        <v>208.55051027095175</v>
      </c>
    </row>
    <row r="253" spans="1:45" ht="14">
      <c r="A253">
        <f t="shared" si="84"/>
        <v>95</v>
      </c>
      <c r="B253" s="19">
        <f t="shared" si="84"/>
        <v>175</v>
      </c>
      <c r="C253" s="26">
        <f t="shared" si="73"/>
        <v>153.26284462107563</v>
      </c>
      <c r="D253" s="26"/>
      <c r="E253" s="26"/>
      <c r="F253" s="26"/>
      <c r="G253" s="26"/>
      <c r="H253" s="26"/>
      <c r="I253" s="126"/>
      <c r="J253" s="26"/>
      <c r="K253" s="26"/>
      <c r="L253" s="26"/>
      <c r="M253" s="83">
        <f>C$158*(0.4*D$14)*('Product half-life and C flows'!B114/100)</f>
        <v>0.3174475390984573</v>
      </c>
      <c r="N253" s="85"/>
      <c r="O253" s="85">
        <f t="shared" si="85"/>
        <v>23.063658997738134</v>
      </c>
      <c r="P253" s="85">
        <f t="shared" si="85"/>
        <v>12.300618132127003</v>
      </c>
      <c r="Q253" s="83">
        <f>C$158*(0.6*C$15)*('Product half-life and C flows'!L114/100)</f>
        <v>8.8975244328429035</v>
      </c>
      <c r="R253" s="85">
        <f>C$158*0.6*('Product half-life and C flows'!N114/100)</f>
        <v>19.714299424856026</v>
      </c>
      <c r="S253" s="85">
        <f>C$158*0.6*('Product half-life and C flows'!P114/100)</f>
        <v>9.847302410017992</v>
      </c>
      <c r="T253" s="85">
        <f t="shared" si="86"/>
        <v>11.038827979547648</v>
      </c>
      <c r="U253" s="3"/>
      <c r="V253" s="90">
        <f>N$238*(0.4*V$40)*('Product half-life and C flows'!B33/100)</f>
        <v>6.0276220406868806</v>
      </c>
      <c r="W253" s="90">
        <f t="shared" si="82"/>
        <v>8.7463117144652891</v>
      </c>
      <c r="X253" s="89">
        <f t="shared" si="87"/>
        <v>26.438132413138941</v>
      </c>
      <c r="Y253" s="89">
        <f t="shared" si="87"/>
        <v>14.100337287007433</v>
      </c>
      <c r="Z253" s="91">
        <f>N$238*(0.6*Z$41)*('Product half-life and C flows'!L33/100)</f>
        <v>35.516138962770434</v>
      </c>
      <c r="AA253" s="91">
        <f>N$238*0.6*('Product half-life and C flows'!N33/100)</f>
        <v>5.7039749827912782</v>
      </c>
      <c r="AB253" s="91">
        <f>N$238*0.6*('Product half-life and C flows'!P33/100)</f>
        <v>2.8491383530425964</v>
      </c>
      <c r="AC253" s="89">
        <f t="shared" si="88"/>
        <v>25.116225792481988</v>
      </c>
      <c r="AD253" s="17"/>
      <c r="AE253">
        <f t="shared" si="60"/>
        <v>95</v>
      </c>
      <c r="AF253" s="3">
        <f>(C$158*$AF$76)*('Product half-life and C flows'!B114/100)</f>
        <v>2.3808565432384294</v>
      </c>
      <c r="AG253" s="3">
        <f t="shared" si="83"/>
        <v>28.279674382373145</v>
      </c>
      <c r="AH253" s="3" t="e">
        <f>#REF!</f>
        <v>#REF!</v>
      </c>
      <c r="AI253" s="3" t="e">
        <f t="shared" si="76"/>
        <v>#REF!</v>
      </c>
      <c r="AJ253" s="113">
        <f t="shared" si="61"/>
        <v>153.26284462107563</v>
      </c>
      <c r="AK253" s="124">
        <f t="shared" si="89"/>
        <v>6.3450695797853376</v>
      </c>
      <c r="AL253" s="124">
        <f t="shared" si="90"/>
        <v>8.7463117144652891</v>
      </c>
      <c r="AM253" s="124">
        <f t="shared" si="91"/>
        <v>49.501791410877075</v>
      </c>
      <c r="AN253" s="124">
        <f t="shared" si="92"/>
        <v>26.400955419134434</v>
      </c>
      <c r="AO253" s="124">
        <f t="shared" si="93"/>
        <v>44.413663395613341</v>
      </c>
      <c r="AP253" s="124">
        <f t="shared" si="94"/>
        <v>25.418274407647303</v>
      </c>
      <c r="AQ253" s="124">
        <f t="shared" si="95"/>
        <v>12.696440763060588</v>
      </c>
      <c r="AR253" s="124">
        <f t="shared" si="72"/>
        <v>36.155053772029632</v>
      </c>
      <c r="AS253" s="3">
        <f t="shared" si="77"/>
        <v>209.67756046261303</v>
      </c>
    </row>
    <row r="254" spans="1:45" ht="14">
      <c r="A254">
        <f t="shared" si="84"/>
        <v>96</v>
      </c>
      <c r="B254" s="19">
        <f t="shared" si="84"/>
        <v>176</v>
      </c>
      <c r="C254" s="26">
        <f t="shared" ref="C254:C285" si="96">B$8*(1-EXP(-B$9*$B254))^3</f>
        <v>153.54650986796895</v>
      </c>
      <c r="D254" s="26"/>
      <c r="E254" s="26"/>
      <c r="F254" s="26"/>
      <c r="G254" s="26"/>
      <c r="H254" s="26"/>
      <c r="I254" s="126"/>
      <c r="J254" s="26"/>
      <c r="K254" s="26"/>
      <c r="L254" s="26"/>
      <c r="M254" s="83">
        <f>C$158*(0.4*D$14)*('Product half-life and C flows'!B115/100)</f>
        <v>0.30663411054299022</v>
      </c>
      <c r="N254" s="85"/>
      <c r="O254" s="85">
        <f t="shared" si="85"/>
        <v>23.063658997738134</v>
      </c>
      <c r="P254" s="85">
        <f t="shared" si="85"/>
        <v>12.300618132127003</v>
      </c>
      <c r="Q254" s="83">
        <f>C$158*(0.6*C$15)*('Product half-life and C flows'!L115/100)</f>
        <v>8.7615235736149657</v>
      </c>
      <c r="R254" s="85">
        <f>C$158*0.6*('Product half-life and C flows'!N115/100)</f>
        <v>19.805057331580798</v>
      </c>
      <c r="S254" s="85">
        <f>C$158*0.6*('Product half-life and C flows'!P115/100)</f>
        <v>9.8926360297606379</v>
      </c>
      <c r="T254" s="85">
        <f t="shared" si="86"/>
        <v>11.038827979547648</v>
      </c>
      <c r="U254" s="3"/>
      <c r="V254" s="90">
        <f>N$238*(0.4*V$40)*('Product half-life and C flows'!B34/100)</f>
        <v>5.8222991061275708</v>
      </c>
      <c r="W254" s="90">
        <f t="shared" si="82"/>
        <v>10.189710224502418</v>
      </c>
      <c r="X254" s="89">
        <f t="shared" si="87"/>
        <v>26.438132413138941</v>
      </c>
      <c r="Y254" s="89">
        <f t="shared" si="87"/>
        <v>14.100337287007433</v>
      </c>
      <c r="Z254" s="91">
        <f>N$238*(0.6*Z$41)*('Product half-life and C flows'!L34/100)</f>
        <v>34.973266003909416</v>
      </c>
      <c r="AA254" s="91">
        <f>N$238*0.6*('Product half-life and C flows'!N34/100)</f>
        <v>6.066252204004531</v>
      </c>
      <c r="AB254" s="91">
        <f>N$238*0.6*('Product half-life and C flows'!P34/100)</f>
        <v>3.0300960059962687</v>
      </c>
      <c r="AC254" s="89">
        <f t="shared" si="88"/>
        <v>25.116225792481988</v>
      </c>
      <c r="AD254" s="17"/>
      <c r="AE254">
        <f t="shared" si="60"/>
        <v>96</v>
      </c>
      <c r="AF254" s="3">
        <f>(C$158*$AF$76)*('Product half-life and C flows'!B115/100)</f>
        <v>2.2997558290724265</v>
      </c>
      <c r="AG254" s="3">
        <f t="shared" si="83"/>
        <v>27.844602468798172</v>
      </c>
      <c r="AH254" s="3" t="e">
        <f>#REF!</f>
        <v>#REF!</v>
      </c>
      <c r="AI254" s="3" t="e">
        <f t="shared" si="76"/>
        <v>#REF!</v>
      </c>
      <c r="AJ254" s="113">
        <f t="shared" si="61"/>
        <v>153.54650986796895</v>
      </c>
      <c r="AK254" s="124">
        <f t="shared" si="89"/>
        <v>6.1289332166705615</v>
      </c>
      <c r="AL254" s="124">
        <f t="shared" si="90"/>
        <v>10.189710224502418</v>
      </c>
      <c r="AM254" s="124">
        <f t="shared" si="91"/>
        <v>49.501791410877075</v>
      </c>
      <c r="AN254" s="124">
        <f t="shared" si="92"/>
        <v>26.400955419134434</v>
      </c>
      <c r="AO254" s="124">
        <f t="shared" si="93"/>
        <v>43.734789577524381</v>
      </c>
      <c r="AP254" s="124">
        <f t="shared" si="94"/>
        <v>25.871309535585329</v>
      </c>
      <c r="AQ254" s="124">
        <f t="shared" si="95"/>
        <v>12.922732035756907</v>
      </c>
      <c r="AR254" s="124">
        <f t="shared" si="72"/>
        <v>36.155053772029632</v>
      </c>
      <c r="AS254" s="3">
        <f t="shared" si="77"/>
        <v>210.90527519208075</v>
      </c>
    </row>
    <row r="255" spans="1:45" ht="14">
      <c r="A255">
        <f t="shared" si="84"/>
        <v>97</v>
      </c>
      <c r="B255" s="19">
        <f t="shared" si="84"/>
        <v>177</v>
      </c>
      <c r="C255" s="26">
        <f t="shared" si="96"/>
        <v>153.82489764135551</v>
      </c>
      <c r="D255" s="26"/>
      <c r="E255" s="26"/>
      <c r="F255" s="26"/>
      <c r="G255" s="26"/>
      <c r="H255" s="26"/>
      <c r="I255" s="126"/>
      <c r="J255" s="26"/>
      <c r="K255" s="26"/>
      <c r="L255" s="26"/>
      <c r="M255" s="83">
        <f>C$158*(0.4*D$14)*('Product half-life and C flows'!B116/100)</f>
        <v>0.2961890270610314</v>
      </c>
      <c r="N255" s="85"/>
      <c r="O255" s="85">
        <f t="shared" si="85"/>
        <v>23.063658997738134</v>
      </c>
      <c r="P255" s="85">
        <f t="shared" si="85"/>
        <v>12.300618132127003</v>
      </c>
      <c r="Q255" s="83">
        <f>C$158*(0.6*C$15)*('Product half-life and C flows'!L116/100)</f>
        <v>8.6276015211214556</v>
      </c>
      <c r="R255" s="85">
        <f>C$158*0.6*('Product half-life and C flows'!N116/100)</f>
        <v>19.894427981278135</v>
      </c>
      <c r="S255" s="85">
        <f>C$158*0.6*('Product half-life and C flows'!P116/100)</f>
        <v>9.9372767139251419</v>
      </c>
      <c r="T255" s="85">
        <f t="shared" si="86"/>
        <v>11.038827979547648</v>
      </c>
      <c r="U255" s="3"/>
      <c r="V255" s="90">
        <f>N$238*(0.4*V$40)*('Product half-life and C flows'!B35/100)</f>
        <v>5.6239702244752765</v>
      </c>
      <c r="W255" s="90">
        <f t="shared" si="82"/>
        <v>11.718333388083606</v>
      </c>
      <c r="X255" s="89">
        <f t="shared" si="87"/>
        <v>26.438132413138941</v>
      </c>
      <c r="Y255" s="89">
        <f t="shared" si="87"/>
        <v>14.100337287007433</v>
      </c>
      <c r="Z255" s="91">
        <f>N$238*(0.6*Z$41)*('Product half-life and C flows'!L35/100)</f>
        <v>34.438690992349812</v>
      </c>
      <c r="AA255" s="91">
        <f>N$238*0.6*('Product half-life and C flows'!N35/100)</f>
        <v>6.4229919283853123</v>
      </c>
      <c r="AB255" s="91">
        <f>N$238*0.6*('Product half-life and C flows'!P35/100)</f>
        <v>3.2082876765161399</v>
      </c>
      <c r="AC255" s="89">
        <f t="shared" si="88"/>
        <v>25.116225792481988</v>
      </c>
      <c r="AD255" s="17"/>
      <c r="AE255">
        <f t="shared" si="60"/>
        <v>97</v>
      </c>
      <c r="AF255" s="3">
        <f>(C$158*$AF$76)*('Product half-life and C flows'!B116/100)</f>
        <v>2.2214177029577353</v>
      </c>
      <c r="AG255" s="3">
        <f t="shared" si="83"/>
        <v>27.409530555223199</v>
      </c>
      <c r="AH255" s="3" t="e">
        <f>#REF!</f>
        <v>#REF!</v>
      </c>
      <c r="AI255" s="3" t="e">
        <f t="shared" si="76"/>
        <v>#REF!</v>
      </c>
      <c r="AJ255" s="113">
        <f t="shared" si="61"/>
        <v>153.82489764135551</v>
      </c>
      <c r="AK255" s="124">
        <f t="shared" si="89"/>
        <v>5.9201592515363082</v>
      </c>
      <c r="AL255" s="124">
        <f t="shared" si="90"/>
        <v>11.718333388083606</v>
      </c>
      <c r="AM255" s="124">
        <f t="shared" si="91"/>
        <v>49.501791410877075</v>
      </c>
      <c r="AN255" s="124">
        <f t="shared" si="92"/>
        <v>26.400955419134434</v>
      </c>
      <c r="AO255" s="124">
        <f t="shared" si="93"/>
        <v>43.066292513471268</v>
      </c>
      <c r="AP255" s="124">
        <f t="shared" si="94"/>
        <v>26.317419909663446</v>
      </c>
      <c r="AQ255" s="124">
        <f t="shared" si="95"/>
        <v>13.145564390441281</v>
      </c>
      <c r="AR255" s="124">
        <f t="shared" si="72"/>
        <v>36.155053772029632</v>
      </c>
      <c r="AS255" s="3">
        <f t="shared" si="77"/>
        <v>212.22557005523703</v>
      </c>
    </row>
    <row r="256" spans="1:45" ht="14">
      <c r="A256">
        <f t="shared" ref="A256:B271" si="97">A255+1</f>
        <v>98</v>
      </c>
      <c r="B256" s="19">
        <f t="shared" si="97"/>
        <v>178</v>
      </c>
      <c r="C256" s="26">
        <f t="shared" si="96"/>
        <v>154.09809932824348</v>
      </c>
      <c r="D256" s="26"/>
      <c r="E256" s="26"/>
      <c r="F256" s="26"/>
      <c r="G256" s="26"/>
      <c r="H256" s="26"/>
      <c r="I256" s="126"/>
      <c r="J256" s="26"/>
      <c r="K256" s="26"/>
      <c r="L256" s="26"/>
      <c r="M256" s="83">
        <f>C$158*(0.4*D$14)*('Product half-life and C flows'!B117/100)</f>
        <v>0.28609974146715422</v>
      </c>
      <c r="N256" s="85"/>
      <c r="O256" s="85">
        <f t="shared" ref="O256:P271" si="98">O255</f>
        <v>23.063658997738134</v>
      </c>
      <c r="P256" s="85">
        <f t="shared" si="98"/>
        <v>12.300618132127003</v>
      </c>
      <c r="Q256" s="83">
        <f>C$158*(0.6*C$15)*('Product half-life and C flows'!L117/100)</f>
        <v>8.4957265002878373</v>
      </c>
      <c r="R256" s="85">
        <f>C$158*0.6*('Product half-life and C flows'!N117/100)</f>
        <v>19.982432578514437</v>
      </c>
      <c r="S256" s="85">
        <f>C$158*0.6*('Product half-life and C flows'!P117/100)</f>
        <v>9.9812350542030153</v>
      </c>
      <c r="T256" s="85">
        <f t="shared" si="86"/>
        <v>11.038827979547648</v>
      </c>
      <c r="U256" s="3"/>
      <c r="V256" s="90">
        <f>N$238*(0.4*V$40)*('Product half-life and C flows'!B36/100)</f>
        <v>5.4323971526122881</v>
      </c>
      <c r="W256" s="90">
        <f t="shared" si="82"/>
        <v>13.324187201714368</v>
      </c>
      <c r="X256" s="89">
        <f t="shared" si="87"/>
        <v>26.438132413138941</v>
      </c>
      <c r="Y256" s="89">
        <f t="shared" si="87"/>
        <v>14.100337287007433</v>
      </c>
      <c r="Z256" s="91">
        <f>N$238*(0.6*Z$41)*('Product half-life and C flows'!L36/100)</f>
        <v>33.912287091916959</v>
      </c>
      <c r="AA256" s="91">
        <f>N$238*0.6*('Product half-life and C flows'!N36/100)</f>
        <v>6.7742787979408305</v>
      </c>
      <c r="AB256" s="91">
        <f>N$238*0.6*('Product half-life and C flows'!P36/100)</f>
        <v>3.3837556433270879</v>
      </c>
      <c r="AC256" s="89">
        <f t="shared" si="88"/>
        <v>25.116225792481988</v>
      </c>
      <c r="AD256" s="17"/>
      <c r="AE256">
        <f t="shared" si="60"/>
        <v>98</v>
      </c>
      <c r="AF256" s="3">
        <f>(C$158*$AF$76)*('Product half-life and C flows'!B117/100)</f>
        <v>2.1457480610036566</v>
      </c>
      <c r="AG256" s="3">
        <f t="shared" si="83"/>
        <v>26.97445864164823</v>
      </c>
      <c r="AH256" s="3" t="e">
        <f>#REF!</f>
        <v>#REF!</v>
      </c>
      <c r="AI256" s="3" t="e">
        <f t="shared" si="76"/>
        <v>#REF!</v>
      </c>
      <c r="AJ256" s="113">
        <f t="shared" si="61"/>
        <v>154.09809932824348</v>
      </c>
      <c r="AK256" s="124">
        <f t="shared" si="89"/>
        <v>5.7184968940794425</v>
      </c>
      <c r="AL256" s="124">
        <f t="shared" si="90"/>
        <v>13.324187201714368</v>
      </c>
      <c r="AM256" s="124">
        <f t="shared" si="91"/>
        <v>49.501791410877075</v>
      </c>
      <c r="AN256" s="124">
        <f t="shared" si="92"/>
        <v>26.400955419134434</v>
      </c>
      <c r="AO256" s="124">
        <f t="shared" si="93"/>
        <v>42.408013592204796</v>
      </c>
      <c r="AP256" s="124">
        <f t="shared" si="94"/>
        <v>26.756711376455268</v>
      </c>
      <c r="AQ256" s="124">
        <f t="shared" si="95"/>
        <v>13.364990697530104</v>
      </c>
      <c r="AR256" s="124">
        <f t="shared" si="72"/>
        <v>36.155053772029632</v>
      </c>
      <c r="AS256" s="3">
        <f t="shared" si="77"/>
        <v>213.63020036402514</v>
      </c>
    </row>
    <row r="257" spans="1:45" ht="14">
      <c r="A257">
        <f t="shared" si="97"/>
        <v>99</v>
      </c>
      <c r="B257" s="19">
        <f t="shared" si="97"/>
        <v>179</v>
      </c>
      <c r="C257" s="26">
        <f t="shared" si="96"/>
        <v>154.36620500878925</v>
      </c>
      <c r="D257" s="26"/>
      <c r="E257" s="26"/>
      <c r="F257" s="26"/>
      <c r="G257" s="26"/>
      <c r="H257" s="26"/>
      <c r="I257" s="126"/>
      <c r="J257" s="26"/>
      <c r="K257" s="26"/>
      <c r="L257" s="26"/>
      <c r="M257" s="83">
        <f>C$158*(0.4*D$14)*('Product half-life and C flows'!B118/100)</f>
        <v>0.27635413397913039</v>
      </c>
      <c r="N257" s="85"/>
      <c r="O257" s="85">
        <f t="shared" si="98"/>
        <v>23.063658997738134</v>
      </c>
      <c r="P257" s="85">
        <f t="shared" si="98"/>
        <v>12.300618132127003</v>
      </c>
      <c r="Q257" s="83">
        <f>C$158*(0.6*C$15)*('Product half-life and C flows'!L118/100)</f>
        <v>8.3658672217294363</v>
      </c>
      <c r="R257" s="85">
        <f>C$158*0.6*('Product half-life and C flows'!N118/100)</f>
        <v>20.06909200373908</v>
      </c>
      <c r="S257" s="85">
        <f>C$158*0.6*('Product half-life and C flows'!P118/100)</f>
        <v>10.024521480389147</v>
      </c>
      <c r="T257" s="85">
        <f t="shared" si="86"/>
        <v>11.038827979547648</v>
      </c>
      <c r="U257" s="3"/>
      <c r="V257" s="90">
        <f>N$238*(0.4*V$40)*('Product half-life and C flows'!B37/100)</f>
        <v>5.2473497628560972</v>
      </c>
      <c r="W257" s="90">
        <f t="shared" si="82"/>
        <v>14.999241888023334</v>
      </c>
      <c r="X257" s="89">
        <f t="shared" ref="X257:Y272" si="99">X256</f>
        <v>26.438132413138941</v>
      </c>
      <c r="Y257" s="89">
        <f t="shared" si="99"/>
        <v>14.100337287007433</v>
      </c>
      <c r="Z257" s="91">
        <f>N$238*(0.6*Z$41)*('Product half-life and C flows'!L37/100)</f>
        <v>33.393929405158516</v>
      </c>
      <c r="AA257" s="91">
        <f>N$238*0.6*('Product half-life and C flows'!N37/100)</f>
        <v>7.1201961609043005</v>
      </c>
      <c r="AB257" s="91">
        <f>N$238*0.6*('Product half-life and C flows'!P37/100)</f>
        <v>3.5565415389132369</v>
      </c>
      <c r="AC257" s="89">
        <f t="shared" si="88"/>
        <v>25.116225792481988</v>
      </c>
      <c r="AD257" s="17"/>
      <c r="AE257">
        <f t="shared" si="60"/>
        <v>99</v>
      </c>
      <c r="AF257" s="3">
        <f>(C$158*$AF$76)*('Product half-life and C flows'!B118/100)</f>
        <v>2.0726560048434779</v>
      </c>
      <c r="AG257" s="3">
        <f t="shared" si="83"/>
        <v>26.539386728073257</v>
      </c>
      <c r="AH257" s="3" t="e">
        <f>#REF!</f>
        <v>#REF!</v>
      </c>
      <c r="AI257" s="3" t="e">
        <f t="shared" si="76"/>
        <v>#REF!</v>
      </c>
      <c r="AJ257" s="113">
        <f t="shared" si="61"/>
        <v>154.36620500878925</v>
      </c>
      <c r="AK257" s="124">
        <f t="shared" si="89"/>
        <v>5.5237038968352277</v>
      </c>
      <c r="AL257" s="124">
        <f t="shared" si="90"/>
        <v>14.999241888023334</v>
      </c>
      <c r="AM257" s="124">
        <f t="shared" si="91"/>
        <v>49.501791410877075</v>
      </c>
      <c r="AN257" s="124">
        <f t="shared" si="92"/>
        <v>26.400955419134434</v>
      </c>
      <c r="AO257" s="124">
        <f t="shared" si="93"/>
        <v>41.759796626887955</v>
      </c>
      <c r="AP257" s="124">
        <f t="shared" si="94"/>
        <v>27.189288164643379</v>
      </c>
      <c r="AQ257" s="124">
        <f t="shared" si="95"/>
        <v>13.581063019302384</v>
      </c>
      <c r="AR257" s="124">
        <f t="shared" si="72"/>
        <v>36.155053772029632</v>
      </c>
      <c r="AS257" s="3">
        <f t="shared" si="77"/>
        <v>215.11089419773344</v>
      </c>
    </row>
    <row r="258" spans="1:45" ht="14">
      <c r="A258">
        <f t="shared" si="97"/>
        <v>100</v>
      </c>
      <c r="B258" s="19">
        <f t="shared" si="97"/>
        <v>180</v>
      </c>
      <c r="C258" s="26">
        <f t="shared" si="96"/>
        <v>154.62930346313073</v>
      </c>
      <c r="D258" s="26"/>
      <c r="E258" s="26"/>
      <c r="F258" s="26"/>
      <c r="G258" s="26"/>
      <c r="H258" s="26"/>
      <c r="I258" s="126"/>
      <c r="J258" s="26"/>
      <c r="K258" s="26"/>
      <c r="L258" s="26"/>
      <c r="M258" s="83">
        <f>C$158*(0.4*D$14)*('Product half-life and C flows'!B119/100)</f>
        <v>0.26694049765900613</v>
      </c>
      <c r="N258" s="85"/>
      <c r="O258" s="85">
        <f t="shared" si="98"/>
        <v>23.063658997738134</v>
      </c>
      <c r="P258" s="85">
        <f t="shared" si="98"/>
        <v>12.300618132127003</v>
      </c>
      <c r="Q258" s="83">
        <f>C$158*(0.6*C$15)*('Product half-life and C flows'!L119/100)</f>
        <v>8.2379928743275599</v>
      </c>
      <c r="R258" s="85">
        <f>C$158*0.6*('Product half-life and C flows'!N119/100)</f>
        <v>20.154426818238594</v>
      </c>
      <c r="S258" s="85">
        <f>C$158*0.6*('Product half-life and C flows'!P119/100)</f>
        <v>10.06714626285644</v>
      </c>
      <c r="T258" s="85">
        <f t="shared" si="86"/>
        <v>11.038827979547648</v>
      </c>
      <c r="U258" s="3"/>
      <c r="V258" s="90">
        <f>N$238*(0.4*V$40)*('Product half-life and C flows'!B38/100)</f>
        <v>5.0686057665178774</v>
      </c>
      <c r="W258" s="90">
        <f t="shared" si="82"/>
        <v>16.7355400849764</v>
      </c>
      <c r="X258" s="89">
        <f t="shared" si="99"/>
        <v>26.438132413138941</v>
      </c>
      <c r="Y258" s="89">
        <f t="shared" si="99"/>
        <v>14.100337287007433</v>
      </c>
      <c r="Z258" s="91">
        <f>N$238*(0.6*Z$41)*('Product half-life and C flows'!L38/100)</f>
        <v>32.883494943710502</v>
      </c>
      <c r="AA258" s="91">
        <f>N$238*0.6*('Product half-life and C flows'!N38/100)</f>
        <v>7.4608260915106088</v>
      </c>
      <c r="AB258" s="91">
        <f>N$238*0.6*('Product half-life and C flows'!P38/100)</f>
        <v>3.7266863593959085</v>
      </c>
      <c r="AC258" s="89">
        <f t="shared" si="88"/>
        <v>25.116225792481988</v>
      </c>
      <c r="AD258" s="17"/>
      <c r="AE258">
        <f t="shared" si="60"/>
        <v>100</v>
      </c>
      <c r="AF258" s="3">
        <f>(C$158*$AF$76)*('Product half-life and C flows'!B119/100)</f>
        <v>2.0020537324425458</v>
      </c>
      <c r="AG258" s="3">
        <f t="shared" si="83"/>
        <v>26.104314814498288</v>
      </c>
      <c r="AH258" s="3" t="e">
        <f>#REF!</f>
        <v>#REF!</v>
      </c>
      <c r="AI258" s="3" t="e">
        <f t="shared" si="76"/>
        <v>#REF!</v>
      </c>
      <c r="AJ258" s="113">
        <f t="shared" si="61"/>
        <v>154.62930346313073</v>
      </c>
      <c r="AK258" s="124">
        <f t="shared" si="89"/>
        <v>5.3355462641768838</v>
      </c>
      <c r="AL258" s="124">
        <f t="shared" si="90"/>
        <v>16.7355400849764</v>
      </c>
      <c r="AM258" s="124">
        <f t="shared" si="91"/>
        <v>49.501791410877075</v>
      </c>
      <c r="AN258" s="124">
        <f t="shared" si="92"/>
        <v>26.400955419134434</v>
      </c>
      <c r="AO258" s="124">
        <f t="shared" si="93"/>
        <v>41.121487818038062</v>
      </c>
      <c r="AP258" s="124">
        <f t="shared" si="94"/>
        <v>27.615252909749202</v>
      </c>
      <c r="AQ258" s="124">
        <f t="shared" si="95"/>
        <v>13.793832622252349</v>
      </c>
      <c r="AR258" s="124">
        <f t="shared" si="72"/>
        <v>36.155053772029632</v>
      </c>
      <c r="AS258" s="3">
        <f t="shared" si="77"/>
        <v>216.65946030123405</v>
      </c>
    </row>
    <row r="259" spans="1:45" ht="14">
      <c r="A259">
        <f t="shared" si="97"/>
        <v>101</v>
      </c>
      <c r="B259" s="19">
        <f t="shared" si="97"/>
        <v>181</v>
      </c>
      <c r="C259" s="26">
        <f t="shared" si="96"/>
        <v>154.88748217879268</v>
      </c>
      <c r="D259" s="26"/>
      <c r="E259" s="26"/>
      <c r="F259" s="26"/>
      <c r="G259" s="26"/>
      <c r="H259" s="26"/>
      <c r="I259" s="126"/>
      <c r="J259" s="26"/>
      <c r="K259" s="26"/>
      <c r="L259" s="26"/>
      <c r="M259" s="83">
        <f>C$158*(0.4*D$14)*('Product half-life and C flows'!B120/100)</f>
        <v>0.25784752435011182</v>
      </c>
      <c r="N259" s="85"/>
      <c r="O259" s="85">
        <f t="shared" si="98"/>
        <v>23.063658997738134</v>
      </c>
      <c r="P259" s="85">
        <f t="shared" si="98"/>
        <v>12.300618132127003</v>
      </c>
      <c r="Q259" s="83">
        <f>C$158*(0.6*C$15)*('Product half-life and C flows'!L120/100)</f>
        <v>8.1120731179190688</v>
      </c>
      <c r="R259" s="85">
        <f>C$158*0.6*('Product half-life and C flows'!N120/100)</f>
        <v>20.238457269015196</v>
      </c>
      <c r="S259" s="85">
        <f>C$158*0.6*('Product half-life and C flows'!P120/100)</f>
        <v>10.109119514992603</v>
      </c>
      <c r="T259" s="85">
        <f t="shared" si="86"/>
        <v>11.038827979547648</v>
      </c>
      <c r="U259" s="3"/>
      <c r="V259" s="90">
        <f>N$238*(0.4*V$40)*('Product half-life and C flows'!B39/100)</f>
        <v>4.8959504468775812</v>
      </c>
      <c r="W259" s="90">
        <f t="shared" si="82"/>
        <v>18.5252835435601</v>
      </c>
      <c r="X259" s="89">
        <f t="shared" si="99"/>
        <v>26.438132413138941</v>
      </c>
      <c r="Y259" s="89">
        <f t="shared" si="99"/>
        <v>14.100337287007433</v>
      </c>
      <c r="Z259" s="91">
        <f>N$238*(0.6*Z$41)*('Product half-life and C flows'!L39/100)</f>
        <v>32.380862599116504</v>
      </c>
      <c r="AA259" s="91">
        <f>N$238*0.6*('Product half-life and C flows'!N39/100)</f>
        <v>7.7962494094696693</v>
      </c>
      <c r="AB259" s="91">
        <f>N$238*0.6*('Product half-life and C flows'!P39/100)</f>
        <v>3.8942304742605742</v>
      </c>
      <c r="AC259" s="89">
        <f t="shared" si="88"/>
        <v>25.116225792481988</v>
      </c>
      <c r="AD259" s="17"/>
      <c r="AE259">
        <f t="shared" si="60"/>
        <v>101</v>
      </c>
      <c r="AF259" s="3">
        <f>(C$158*$AF$76)*('Product half-life and C flows'!B120/100)</f>
        <v>1.9338564326258385</v>
      </c>
      <c r="AG259" s="3">
        <f t="shared" si="83"/>
        <v>25.669242900923315</v>
      </c>
      <c r="AH259" s="3" t="e">
        <f>#REF!</f>
        <v>#REF!</v>
      </c>
      <c r="AI259" s="3" t="e">
        <f t="shared" si="76"/>
        <v>#REF!</v>
      </c>
      <c r="AJ259" s="113">
        <f t="shared" si="61"/>
        <v>154.88748217879268</v>
      </c>
      <c r="AK259" s="124">
        <f t="shared" si="89"/>
        <v>5.1537979712276929</v>
      </c>
      <c r="AL259" s="124">
        <f t="shared" si="90"/>
        <v>18.5252835435601</v>
      </c>
      <c r="AM259" s="124">
        <f t="shared" si="91"/>
        <v>49.501791410877075</v>
      </c>
      <c r="AN259" s="124">
        <f t="shared" si="92"/>
        <v>26.400955419134434</v>
      </c>
      <c r="AO259" s="124">
        <f t="shared" si="93"/>
        <v>40.492935717035571</v>
      </c>
      <c r="AP259" s="124">
        <f t="shared" si="94"/>
        <v>28.034706678484866</v>
      </c>
      <c r="AQ259" s="124">
        <f t="shared" si="95"/>
        <v>14.003349989253177</v>
      </c>
      <c r="AR259" s="124">
        <f t="shared" si="72"/>
        <v>36.155053772029632</v>
      </c>
      <c r="AS259" s="3">
        <f t="shared" si="77"/>
        <v>218.26787450160253</v>
      </c>
    </row>
    <row r="260" spans="1:45" ht="14">
      <c r="A260">
        <f t="shared" si="97"/>
        <v>102</v>
      </c>
      <c r="B260" s="19">
        <f t="shared" si="97"/>
        <v>182</v>
      </c>
      <c r="C260" s="26">
        <f t="shared" si="96"/>
        <v>155.14082735862848</v>
      </c>
      <c r="D260" s="26"/>
      <c r="E260" s="26"/>
      <c r="F260" s="26"/>
      <c r="G260" s="26"/>
      <c r="H260" s="26"/>
      <c r="I260" s="126"/>
      <c r="J260" s="26"/>
      <c r="K260" s="26"/>
      <c r="L260" s="26"/>
      <c r="M260" s="83">
        <f>C$158*(0.4*D$14)*('Product half-life and C flows'!B121/100)</f>
        <v>0.24906429109310674</v>
      </c>
      <c r="N260" s="85"/>
      <c r="O260" s="85">
        <f t="shared" si="98"/>
        <v>23.063658997738134</v>
      </c>
      <c r="P260" s="85">
        <f t="shared" si="98"/>
        <v>12.300618132127003</v>
      </c>
      <c r="Q260" s="83">
        <f>C$158*(0.6*C$15)*('Product half-life and C flows'!L121/100)</f>
        <v>7.9880780760977173</v>
      </c>
      <c r="R260" s="85">
        <f>C$158*0.6*('Product half-life and C flows'!N121/100)</f>
        <v>20.321203293590642</v>
      </c>
      <c r="S260" s="85">
        <f>C$158*0.6*('Product half-life and C flows'!P121/100)</f>
        <v>10.15045119559972</v>
      </c>
      <c r="T260" s="85">
        <f t="shared" si="86"/>
        <v>11.038827979547648</v>
      </c>
      <c r="U260" s="3"/>
      <c r="V260" s="90">
        <f>N$238*(0.4*V$40)*('Product half-life and C flows'!B40/100)</f>
        <v>4.7291764012548878</v>
      </c>
      <c r="W260" s="90">
        <f t="shared" si="82"/>
        <v>20.360901524976995</v>
      </c>
      <c r="X260" s="89">
        <f t="shared" si="99"/>
        <v>26.438132413138941</v>
      </c>
      <c r="Y260" s="89">
        <f t="shared" si="99"/>
        <v>14.100337287007433</v>
      </c>
      <c r="Z260" s="91">
        <f>N$238*(0.6*Z$41)*('Product half-life and C flows'!L40/100)</f>
        <v>31.885913114092773</v>
      </c>
      <c r="AA260" s="91">
        <f>N$238*0.6*('Product half-life and C flows'!N40/100)</f>
        <v>8.1265456991421736</v>
      </c>
      <c r="AB260" s="91">
        <f>N$238*0.6*('Product half-life and C flows'!P40/100)</f>
        <v>4.0592136359351505</v>
      </c>
      <c r="AC260" s="89">
        <f t="shared" si="88"/>
        <v>25.116225792481988</v>
      </c>
      <c r="AD260" s="17"/>
      <c r="AE260">
        <f t="shared" si="60"/>
        <v>102</v>
      </c>
      <c r="AF260" s="3">
        <f>(C$158*$AF$76)*('Product half-life and C flows'!B121/100)</f>
        <v>1.8679821831983003</v>
      </c>
      <c r="AG260" s="3">
        <f t="shared" si="83"/>
        <v>25.234170987348342</v>
      </c>
      <c r="AH260" s="3" t="e">
        <f>#REF!</f>
        <v>#REF!</v>
      </c>
      <c r="AI260" s="3" t="e">
        <f t="shared" si="76"/>
        <v>#REF!</v>
      </c>
      <c r="AJ260" s="113">
        <f t="shared" si="61"/>
        <v>155.14082735862848</v>
      </c>
      <c r="AK260" s="124">
        <f t="shared" si="89"/>
        <v>4.9782406923479945</v>
      </c>
      <c r="AL260" s="124">
        <f t="shared" si="90"/>
        <v>20.360901524976995</v>
      </c>
      <c r="AM260" s="124">
        <f t="shared" si="91"/>
        <v>49.501791410877075</v>
      </c>
      <c r="AN260" s="124">
        <f t="shared" si="92"/>
        <v>26.400955419134434</v>
      </c>
      <c r="AO260" s="124">
        <f t="shared" si="93"/>
        <v>39.873991190190488</v>
      </c>
      <c r="AP260" s="124">
        <f t="shared" si="94"/>
        <v>28.447748992732816</v>
      </c>
      <c r="AQ260" s="124">
        <f t="shared" si="95"/>
        <v>14.209664831534869</v>
      </c>
      <c r="AR260" s="124">
        <f t="shared" si="72"/>
        <v>36.155053772029632</v>
      </c>
      <c r="AS260" s="3">
        <f t="shared" si="77"/>
        <v>219.92834783382432</v>
      </c>
    </row>
    <row r="261" spans="1:45" ht="14">
      <c r="A261">
        <f t="shared" si="97"/>
        <v>103</v>
      </c>
      <c r="B261" s="19">
        <f t="shared" si="97"/>
        <v>183</v>
      </c>
      <c r="C261" s="26">
        <f t="shared" si="96"/>
        <v>155.3894239292618</v>
      </c>
      <c r="D261" s="26"/>
      <c r="E261" s="26"/>
      <c r="F261" s="26"/>
      <c r="G261" s="26"/>
      <c r="H261" s="26"/>
      <c r="I261" s="126"/>
      <c r="J261" s="26"/>
      <c r="K261" s="26"/>
      <c r="L261" s="26"/>
      <c r="M261" s="83">
        <f>C$158*(0.4*D$14)*('Product half-life and C flows'!B122/100)</f>
        <v>0.24058024700474451</v>
      </c>
      <c r="N261" s="85"/>
      <c r="O261" s="85">
        <f t="shared" si="98"/>
        <v>23.063658997738134</v>
      </c>
      <c r="P261" s="85">
        <f t="shared" si="98"/>
        <v>12.300618132127003</v>
      </c>
      <c r="Q261" s="83">
        <f>C$158*(0.6*C$15)*('Product half-life and C flows'!L122/100)</f>
        <v>7.8659783291255101</v>
      </c>
      <c r="R261" s="85">
        <f>C$158*0.6*('Product half-life and C flows'!N122/100)</f>
        <v>20.402684524736763</v>
      </c>
      <c r="S261" s="85">
        <f>C$158*0.6*('Product half-life and C flows'!P122/100)</f>
        <v>10.191151111257122</v>
      </c>
      <c r="T261" s="85">
        <f t="shared" si="86"/>
        <v>11.038827979547648</v>
      </c>
      <c r="U261" s="3"/>
      <c r="V261" s="90">
        <f>N$238*(0.4*V$40)*('Product half-life and C flows'!B41/100)</f>
        <v>4.5680832918661585</v>
      </c>
      <c r="W261" s="90">
        <f t="shared" si="82"/>
        <v>22.235103667138301</v>
      </c>
      <c r="X261" s="89">
        <f t="shared" si="99"/>
        <v>26.438132413138941</v>
      </c>
      <c r="Y261" s="89">
        <f t="shared" si="99"/>
        <v>14.100337287007433</v>
      </c>
      <c r="Z261" s="91">
        <f>N$238*(0.6*Z$41)*('Product half-life and C flows'!L41/100)</f>
        <v>31.398529054232615</v>
      </c>
      <c r="AA261" s="91">
        <f>N$238*0.6*('Product half-life and C flows'!N41/100)</f>
        <v>8.4517933284221876</v>
      </c>
      <c r="AB261" s="91">
        <f>N$238*0.6*('Product half-life and C flows'!P41/100)</f>
        <v>4.2216749892218717</v>
      </c>
      <c r="AC261" s="89">
        <f t="shared" si="88"/>
        <v>25.116225792481988</v>
      </c>
      <c r="AD261" s="17"/>
      <c r="AE261">
        <f t="shared" si="60"/>
        <v>103</v>
      </c>
      <c r="AF261" s="3">
        <f>(C$158*$AF$76)*('Product half-life and C flows'!B122/100)</f>
        <v>1.8043518525355837</v>
      </c>
      <c r="AG261" s="3">
        <f t="shared" si="83"/>
        <v>24.799099073773373</v>
      </c>
      <c r="AH261" s="3" t="e">
        <f>#REF!</f>
        <v>#REF!</v>
      </c>
      <c r="AI261" s="3" t="e">
        <f t="shared" si="76"/>
        <v>#REF!</v>
      </c>
      <c r="AJ261" s="113">
        <f t="shared" si="61"/>
        <v>155.3894239292618</v>
      </c>
      <c r="AK261" s="124">
        <f t="shared" si="89"/>
        <v>4.8086635388709027</v>
      </c>
      <c r="AL261" s="124">
        <f t="shared" si="90"/>
        <v>22.235103667138301</v>
      </c>
      <c r="AM261" s="124">
        <f t="shared" si="91"/>
        <v>49.501791410877075</v>
      </c>
      <c r="AN261" s="124">
        <f t="shared" si="92"/>
        <v>26.400955419134434</v>
      </c>
      <c r="AO261" s="124">
        <f t="shared" si="93"/>
        <v>39.264507383358122</v>
      </c>
      <c r="AP261" s="124">
        <f t="shared" si="94"/>
        <v>28.854477853158951</v>
      </c>
      <c r="AQ261" s="124">
        <f t="shared" si="95"/>
        <v>14.412826100478995</v>
      </c>
      <c r="AR261" s="124">
        <f t="shared" si="72"/>
        <v>36.155053772029632</v>
      </c>
      <c r="AS261" s="3">
        <f t="shared" si="77"/>
        <v>221.63337914504643</v>
      </c>
    </row>
    <row r="262" spans="1:45" ht="14">
      <c r="A262">
        <f t="shared" si="97"/>
        <v>104</v>
      </c>
      <c r="B262" s="19">
        <f t="shared" si="97"/>
        <v>184</v>
      </c>
      <c r="C262" s="26">
        <f t="shared" si="96"/>
        <v>155.63335554999506</v>
      </c>
      <c r="D262" s="26"/>
      <c r="E262" s="26"/>
      <c r="F262" s="26"/>
      <c r="G262" s="26"/>
      <c r="H262" s="26"/>
      <c r="I262" s="126"/>
      <c r="J262" s="26"/>
      <c r="K262" s="26"/>
      <c r="L262" s="26"/>
      <c r="M262" s="83">
        <f>C$158*(0.4*D$14)*('Product half-life and C flows'!B123/100)</f>
        <v>0.23238520060359549</v>
      </c>
      <c r="N262" s="85"/>
      <c r="O262" s="85">
        <f t="shared" si="98"/>
        <v>23.063658997738134</v>
      </c>
      <c r="P262" s="85">
        <f t="shared" si="98"/>
        <v>12.300618132127003</v>
      </c>
      <c r="Q262" s="83">
        <f>C$158*(0.6*C$15)*('Product half-life and C flows'!L123/100)</f>
        <v>7.7457449069524174</v>
      </c>
      <c r="R262" s="85">
        <f>C$158*0.6*('Product half-life and C flows'!N123/100)</f>
        <v>20.482920295133606</v>
      </c>
      <c r="S262" s="85">
        <f>C$158*0.6*('Product half-life and C flows'!P123/100)</f>
        <v>10.231228918648153</v>
      </c>
      <c r="T262" s="85">
        <f t="shared" si="86"/>
        <v>11.038827979547648</v>
      </c>
      <c r="U262" s="3"/>
      <c r="V262" s="90">
        <f>N$238*(0.4*V$40)*('Product half-life and C flows'!B42/100)</f>
        <v>4.4124776051681218</v>
      </c>
      <c r="W262" s="90">
        <f t="shared" si="82"/>
        <v>24.140919721338808</v>
      </c>
      <c r="X262" s="89">
        <f t="shared" si="99"/>
        <v>26.438132413138941</v>
      </c>
      <c r="Y262" s="89">
        <f t="shared" si="99"/>
        <v>14.100337287007433</v>
      </c>
      <c r="Z262" s="91">
        <f>N$238*(0.6*Z$41)*('Product half-life and C flows'!L42/100)</f>
        <v>30.918594780143223</v>
      </c>
      <c r="AA262" s="91">
        <f>N$238*0.6*('Product half-life and C flows'!N42/100)</f>
        <v>8.772069467331173</v>
      </c>
      <c r="AB262" s="91">
        <f>N$238*0.6*('Product half-life and C flows'!P42/100)</f>
        <v>4.3816530805850009</v>
      </c>
      <c r="AC262" s="89">
        <f t="shared" si="88"/>
        <v>25.116225792481988</v>
      </c>
      <c r="AD262" s="17"/>
      <c r="AE262">
        <f t="shared" si="60"/>
        <v>104</v>
      </c>
      <c r="AF262" s="3">
        <f>(C$158*$AF$76)*('Product half-life and C flows'!B123/100)</f>
        <v>1.742889004526966</v>
      </c>
      <c r="AG262" s="3">
        <f t="shared" si="83"/>
        <v>24.3640271601984</v>
      </c>
      <c r="AH262" s="3" t="e">
        <f>#REF!</f>
        <v>#REF!</v>
      </c>
      <c r="AI262" s="3" t="e">
        <f t="shared" si="76"/>
        <v>#REF!</v>
      </c>
      <c r="AJ262" s="113">
        <f t="shared" si="61"/>
        <v>155.63335554999506</v>
      </c>
      <c r="AK262" s="124">
        <f t="shared" si="89"/>
        <v>4.6448628057717176</v>
      </c>
      <c r="AL262" s="124">
        <f t="shared" si="90"/>
        <v>24.140919721338808</v>
      </c>
      <c r="AM262" s="124">
        <f t="shared" si="91"/>
        <v>49.501791410877075</v>
      </c>
      <c r="AN262" s="124">
        <f t="shared" si="92"/>
        <v>26.400955419134434</v>
      </c>
      <c r="AO262" s="124">
        <f t="shared" si="93"/>
        <v>38.664339687095641</v>
      </c>
      <c r="AP262" s="124">
        <f t="shared" si="94"/>
        <v>29.254989762464781</v>
      </c>
      <c r="AQ262" s="124">
        <f t="shared" si="95"/>
        <v>14.612881999233153</v>
      </c>
      <c r="AR262" s="124">
        <f t="shared" si="72"/>
        <v>36.155053772029632</v>
      </c>
      <c r="AS262" s="3">
        <f t="shared" si="77"/>
        <v>223.37579457794527</v>
      </c>
    </row>
    <row r="263" spans="1:45" ht="14">
      <c r="A263">
        <f t="shared" si="97"/>
        <v>105</v>
      </c>
      <c r="B263" s="19">
        <f t="shared" si="97"/>
        <v>185</v>
      </c>
      <c r="C263" s="26">
        <f t="shared" si="96"/>
        <v>155.87270462215298</v>
      </c>
      <c r="D263" s="26"/>
      <c r="E263" s="26"/>
      <c r="F263" s="26"/>
      <c r="G263" s="26"/>
      <c r="H263" s="26"/>
      <c r="I263" s="126"/>
      <c r="J263" s="26"/>
      <c r="K263" s="26"/>
      <c r="L263" s="26"/>
      <c r="M263" s="83">
        <f>C$158*(0.4*D$14)*('Product half-life and C flows'!B124/100)</f>
        <v>0.22446930756750083</v>
      </c>
      <c r="N263" s="85"/>
      <c r="O263" s="85">
        <f t="shared" si="98"/>
        <v>23.063658997738134</v>
      </c>
      <c r="P263" s="85">
        <f t="shared" si="98"/>
        <v>12.300618132127003</v>
      </c>
      <c r="Q263" s="83">
        <f>C$158*(0.6*C$15)*('Product half-life and C flows'!L124/100)</f>
        <v>7.6273492823427773</v>
      </c>
      <c r="R263" s="85">
        <f>C$158*0.6*('Product half-life and C flows'!N124/100)</f>
        <v>20.561929641956439</v>
      </c>
      <c r="S263" s="85">
        <f>C$158*0.6*('Product half-life and C flows'!P124/100)</f>
        <v>10.270694126851366</v>
      </c>
      <c r="T263" s="85">
        <f t="shared" si="86"/>
        <v>11.038827979547648</v>
      </c>
      <c r="U263" s="3"/>
      <c r="V263" s="90">
        <f>N$238*(0.4*V$40)*('Product half-life and C flows'!B43/100)</f>
        <v>4.2621724193991888</v>
      </c>
      <c r="W263" s="90">
        <f t="shared" si="82"/>
        <v>26.071728237167552</v>
      </c>
      <c r="X263" s="89">
        <f t="shared" si="99"/>
        <v>26.438132413138941</v>
      </c>
      <c r="Y263" s="89">
        <f t="shared" si="99"/>
        <v>14.100337287007433</v>
      </c>
      <c r="Z263" s="91">
        <f>N$238*(0.6*Z$41)*('Product half-life and C flows'!L43/100)</f>
        <v>30.445996420008523</v>
      </c>
      <c r="AA263" s="91">
        <f>N$238*0.6*('Product half-life and C flows'!N43/100)</f>
        <v>9.0874501063277293</v>
      </c>
      <c r="AB263" s="91">
        <f>N$238*0.6*('Product half-life and C flows'!P43/100)</f>
        <v>4.5391858672965668</v>
      </c>
      <c r="AC263" s="89">
        <f t="shared" si="88"/>
        <v>25.116225792481988</v>
      </c>
      <c r="AD263" s="17"/>
      <c r="AE263">
        <f t="shared" si="60"/>
        <v>105</v>
      </c>
      <c r="AF263" s="3">
        <f>(C$158*$AF$76)*('Product half-life and C flows'!B124/100)</f>
        <v>1.683519806756256</v>
      </c>
      <c r="AG263" s="3">
        <f t="shared" si="83"/>
        <v>23.928955246623428</v>
      </c>
      <c r="AH263" s="3" t="e">
        <f>#REF!</f>
        <v>#REF!</v>
      </c>
      <c r="AI263" s="3" t="e">
        <f t="shared" si="76"/>
        <v>#REF!</v>
      </c>
      <c r="AJ263" s="113">
        <f t="shared" si="61"/>
        <v>155.87270462215298</v>
      </c>
      <c r="AK263" s="124">
        <f t="shared" si="89"/>
        <v>4.4866417269666901</v>
      </c>
      <c r="AL263" s="124">
        <f t="shared" si="90"/>
        <v>26.071728237167552</v>
      </c>
      <c r="AM263" s="124">
        <f t="shared" si="91"/>
        <v>49.501791410877075</v>
      </c>
      <c r="AN263" s="124">
        <f t="shared" si="92"/>
        <v>26.400955419134434</v>
      </c>
      <c r="AO263" s="124">
        <f t="shared" si="93"/>
        <v>38.073345702351304</v>
      </c>
      <c r="AP263" s="124">
        <f t="shared" si="94"/>
        <v>29.649379748284169</v>
      </c>
      <c r="AQ263" s="124">
        <f t="shared" si="95"/>
        <v>14.809879994147932</v>
      </c>
      <c r="AR263" s="124">
        <f t="shared" si="72"/>
        <v>36.155053772029632</v>
      </c>
      <c r="AS263" s="3">
        <f t="shared" si="77"/>
        <v>225.14877601095878</v>
      </c>
    </row>
    <row r="264" spans="1:45" ht="14">
      <c r="A264">
        <f t="shared" si="97"/>
        <v>106</v>
      </c>
      <c r="B264" s="19">
        <f t="shared" si="97"/>
        <v>186</v>
      </c>
      <c r="C264" s="26">
        <f t="shared" si="96"/>
        <v>156.10755229882932</v>
      </c>
      <c r="D264" s="26"/>
      <c r="E264" s="26"/>
      <c r="F264" s="26"/>
      <c r="G264" s="26"/>
      <c r="H264" s="26"/>
      <c r="I264" s="126"/>
      <c r="J264" s="26"/>
      <c r="K264" s="26"/>
      <c r="L264" s="26"/>
      <c r="M264" s="83">
        <f>C$158*(0.4*D$14)*('Product half-life and C flows'!B125/100)</f>
        <v>0.21682305890805392</v>
      </c>
      <c r="N264" s="85"/>
      <c r="O264" s="85">
        <f t="shared" si="98"/>
        <v>23.063658997738134</v>
      </c>
      <c r="P264" s="85">
        <f t="shared" si="98"/>
        <v>12.300618132127003</v>
      </c>
      <c r="Q264" s="83">
        <f>C$158*(0.6*C$15)*('Product half-life and C flows'!L125/100)</f>
        <v>7.5107633641067792</v>
      </c>
      <c r="R264" s="85">
        <f>C$158*0.6*('Product half-life and C flows'!N125/100)</f>
        <v>20.639731311392598</v>
      </c>
      <c r="S264" s="85">
        <f>C$158*0.6*('Product half-life and C flows'!P125/100)</f>
        <v>10.309556099596698</v>
      </c>
      <c r="T264" s="85">
        <f t="shared" si="86"/>
        <v>11.038827979547648</v>
      </c>
      <c r="U264" s="3"/>
      <c r="V264" s="90">
        <f>N$238*(0.4*V$40)*('Product half-life and C flows'!B44/100)</f>
        <v>4.11698718003918</v>
      </c>
      <c r="W264" s="90">
        <f t="shared" si="82"/>
        <v>28.021275991399175</v>
      </c>
      <c r="X264" s="89">
        <f t="shared" si="99"/>
        <v>26.438132413138941</v>
      </c>
      <c r="Y264" s="89">
        <f t="shared" si="99"/>
        <v>14.100337287007433</v>
      </c>
      <c r="Z264" s="91">
        <f>N$238*(0.6*Z$41)*('Product half-life and C flows'!L44/100)</f>
        <v>29.980621842571278</v>
      </c>
      <c r="AA264" s="91">
        <f>N$238*0.6*('Product half-life and C flows'!N44/100)</f>
        <v>9.3980100743375203</v>
      </c>
      <c r="AB264" s="91">
        <f>N$238*0.6*('Product half-life and C flows'!P44/100)</f>
        <v>4.6943107264423167</v>
      </c>
      <c r="AC264" s="89">
        <f t="shared" si="88"/>
        <v>25.116225792481988</v>
      </c>
      <c r="AD264" s="17"/>
      <c r="AE264">
        <f t="shared" si="60"/>
        <v>106</v>
      </c>
      <c r="AF264" s="3">
        <f>(C$158*$AF$76)*('Product half-life and C flows'!B125/100)</f>
        <v>1.6261729418104043</v>
      </c>
      <c r="AG264" s="3">
        <f t="shared" si="83"/>
        <v>23.493883333048458</v>
      </c>
      <c r="AH264" s="3" t="e">
        <f>#REF!</f>
        <v>#REF!</v>
      </c>
      <c r="AI264" s="3" t="e">
        <f t="shared" si="76"/>
        <v>#REF!</v>
      </c>
      <c r="AJ264" s="113">
        <f t="shared" si="61"/>
        <v>156.10755229882932</v>
      </c>
      <c r="AK264" s="124">
        <f t="shared" si="89"/>
        <v>4.3338102389472342</v>
      </c>
      <c r="AL264" s="124">
        <f t="shared" si="90"/>
        <v>28.021275991399175</v>
      </c>
      <c r="AM264" s="124">
        <f t="shared" si="91"/>
        <v>49.501791410877075</v>
      </c>
      <c r="AN264" s="124">
        <f t="shared" si="92"/>
        <v>26.400955419134434</v>
      </c>
      <c r="AO264" s="124">
        <f t="shared" si="93"/>
        <v>37.491385206678061</v>
      </c>
      <c r="AP264" s="124">
        <f t="shared" si="94"/>
        <v>30.037741385730119</v>
      </c>
      <c r="AQ264" s="124">
        <f t="shared" si="95"/>
        <v>15.003866826039015</v>
      </c>
      <c r="AR264" s="124">
        <f t="shared" si="72"/>
        <v>36.155053772029632</v>
      </c>
      <c r="AS264" s="3">
        <f t="shared" si="77"/>
        <v>226.94588025083476</v>
      </c>
    </row>
    <row r="265" spans="1:45" ht="14">
      <c r="A265">
        <f t="shared" si="97"/>
        <v>107</v>
      </c>
      <c r="B265" s="19">
        <f t="shared" si="97"/>
        <v>187</v>
      </c>
      <c r="C265" s="26">
        <f t="shared" si="96"/>
        <v>156.33797849500814</v>
      </c>
      <c r="D265" s="26"/>
      <c r="E265" s="26"/>
      <c r="F265" s="26"/>
      <c r="G265" s="26"/>
      <c r="H265" s="26"/>
      <c r="I265" s="126"/>
      <c r="J265" s="26"/>
      <c r="K265" s="26"/>
      <c r="L265" s="26"/>
      <c r="M265" s="83">
        <f>C$158*(0.4*D$14)*('Product half-life and C flows'!B126/100)</f>
        <v>0.20943726954790115</v>
      </c>
      <c r="N265" s="85"/>
      <c r="O265" s="85">
        <f t="shared" si="98"/>
        <v>23.063658997738134</v>
      </c>
      <c r="P265" s="85">
        <f t="shared" si="98"/>
        <v>12.300618132127003</v>
      </c>
      <c r="Q265" s="83">
        <f>C$158*(0.6*C$15)*('Product half-life and C flows'!L126/100)</f>
        <v>7.3959594904353851</v>
      </c>
      <c r="R265" s="85">
        <f>C$158*0.6*('Product half-life and C flows'!N126/100)</f>
        <v>20.716343763089302</v>
      </c>
      <c r="S265" s="85">
        <f>C$158*0.6*('Product half-life and C flows'!P126/100)</f>
        <v>10.347824057487163</v>
      </c>
      <c r="T265" s="85">
        <f t="shared" si="86"/>
        <v>11.038827979547648</v>
      </c>
      <c r="U265" s="3"/>
      <c r="V265" s="90">
        <f>N$238*(0.4*V$40)*('Product half-life and C flows'!B45/100)</f>
        <v>3.9767474829176974</v>
      </c>
      <c r="W265" s="90">
        <f t="shared" si="82"/>
        <v>29.983689709930267</v>
      </c>
      <c r="X265" s="89">
        <f t="shared" si="99"/>
        <v>26.438132413138941</v>
      </c>
      <c r="Y265" s="89">
        <f t="shared" si="99"/>
        <v>14.100337287007433</v>
      </c>
      <c r="Z265" s="91">
        <f>N$238*(0.6*Z$41)*('Product half-life and C flows'!L45/100)</f>
        <v>29.522360630528194</v>
      </c>
      <c r="AA265" s="91">
        <f>N$238*0.6*('Product half-life and C flows'!N45/100)</f>
        <v>9.7038230565076038</v>
      </c>
      <c r="AB265" s="91">
        <f>N$238*0.6*('Product half-life and C flows'!P45/100)</f>
        <v>4.8470644637900113</v>
      </c>
      <c r="AC265" s="89">
        <f t="shared" si="88"/>
        <v>25.116225792481988</v>
      </c>
      <c r="AD265" s="17"/>
      <c r="AE265">
        <f t="shared" si="60"/>
        <v>107</v>
      </c>
      <c r="AF265" s="3">
        <f>(C$158*$AF$76)*('Product half-life and C flows'!B126/100)</f>
        <v>1.5707795216092586</v>
      </c>
      <c r="AG265" s="3">
        <f t="shared" si="83"/>
        <v>23.058811419473486</v>
      </c>
      <c r="AH265" s="3" t="e">
        <f>#REF!</f>
        <v>#REF!</v>
      </c>
      <c r="AI265" s="3" t="e">
        <f t="shared" si="76"/>
        <v>#REF!</v>
      </c>
      <c r="AJ265" s="113">
        <f t="shared" si="61"/>
        <v>156.33797849500814</v>
      </c>
      <c r="AK265" s="124">
        <f t="shared" si="89"/>
        <v>4.1861847524655982</v>
      </c>
      <c r="AL265" s="124">
        <f t="shared" si="90"/>
        <v>29.983689709930267</v>
      </c>
      <c r="AM265" s="124">
        <f t="shared" si="91"/>
        <v>49.501791410877075</v>
      </c>
      <c r="AN265" s="124">
        <f t="shared" si="92"/>
        <v>26.400955419134434</v>
      </c>
      <c r="AO265" s="124">
        <f t="shared" si="93"/>
        <v>36.918320120963578</v>
      </c>
      <c r="AP265" s="124">
        <f t="shared" si="94"/>
        <v>30.420166819596908</v>
      </c>
      <c r="AQ265" s="124">
        <f t="shared" si="95"/>
        <v>15.194888521277175</v>
      </c>
      <c r="AR265" s="124">
        <f t="shared" si="72"/>
        <v>36.155053772029632</v>
      </c>
      <c r="AS265" s="3">
        <f t="shared" si="77"/>
        <v>228.76105052627469</v>
      </c>
    </row>
    <row r="266" spans="1:45" ht="14">
      <c r="A266">
        <f t="shared" si="97"/>
        <v>108</v>
      </c>
      <c r="B266" s="19">
        <f t="shared" si="97"/>
        <v>188</v>
      </c>
      <c r="C266" s="26">
        <f t="shared" si="96"/>
        <v>156.56406189803187</v>
      </c>
      <c r="D266" s="26"/>
      <c r="E266" s="26"/>
      <c r="F266" s="26"/>
      <c r="G266" s="26"/>
      <c r="H266" s="26"/>
      <c r="I266" s="126"/>
      <c r="J266" s="26"/>
      <c r="K266" s="26"/>
      <c r="L266" s="26"/>
      <c r="M266" s="83">
        <f>C$158*(0.4*D$14)*('Product half-life and C flows'!B127/100)</f>
        <v>0.20230306728714284</v>
      </c>
      <c r="N266" s="85"/>
      <c r="O266" s="85">
        <f t="shared" si="98"/>
        <v>23.063658997738134</v>
      </c>
      <c r="P266" s="85">
        <f t="shared" si="98"/>
        <v>12.300618132127003</v>
      </c>
      <c r="Q266" s="83">
        <f>C$158*(0.6*C$15)*('Product half-life and C flows'!L127/100)</f>
        <v>7.2829104223371424</v>
      </c>
      <c r="R266" s="85">
        <f>C$158*0.6*('Product half-life and C flows'!N127/100)</f>
        <v>20.79178517453353</v>
      </c>
      <c r="S266" s="85">
        <f>C$158*0.6*('Product half-life and C flows'!P127/100)</f>
        <v>10.385507080186576</v>
      </c>
      <c r="T266" s="85">
        <f t="shared" si="86"/>
        <v>11.038827979547648</v>
      </c>
      <c r="U266" s="3"/>
      <c r="V266" s="90">
        <f>N$238*(0.4*V$40)*('Product half-life and C flows'!B46/100)</f>
        <v>3.8412848647106408</v>
      </c>
      <c r="W266" s="90">
        <f t="shared" si="82"/>
        <v>31.953481416457699</v>
      </c>
      <c r="X266" s="89">
        <f t="shared" si="99"/>
        <v>26.438132413138941</v>
      </c>
      <c r="Y266" s="89">
        <f t="shared" si="99"/>
        <v>14.100337287007433</v>
      </c>
      <c r="Z266" s="91">
        <f>N$238*(0.6*Z$41)*('Product half-life and C flows'!L46/100)</f>
        <v>29.071104054331744</v>
      </c>
      <c r="AA266" s="91">
        <f>N$238*0.6*('Product half-life and C flows'!N46/100)</f>
        <v>10.004961611689369</v>
      </c>
      <c r="AB266" s="91">
        <f>N$238*0.6*('Product half-life and C flows'!P46/100)</f>
        <v>4.9974833225221618</v>
      </c>
      <c r="AC266" s="89">
        <f t="shared" si="88"/>
        <v>25.116225792481988</v>
      </c>
      <c r="AD266" s="17"/>
      <c r="AE266">
        <f t="shared" si="60"/>
        <v>108</v>
      </c>
      <c r="AF266" s="3">
        <f>(C$158*$AF$76)*('Product half-life and C flows'!B127/100)</f>
        <v>1.5172730046535712</v>
      </c>
      <c r="AG266" s="3">
        <f t="shared" si="83"/>
        <v>22.623739505898516</v>
      </c>
      <c r="AH266" s="3" t="e">
        <f>#REF!</f>
        <v>#REF!</v>
      </c>
      <c r="AI266" s="3" t="e">
        <f t="shared" si="76"/>
        <v>#REF!</v>
      </c>
      <c r="AJ266" s="113">
        <f t="shared" si="61"/>
        <v>156.56406189803187</v>
      </c>
      <c r="AK266" s="124">
        <f t="shared" si="89"/>
        <v>4.0435879319977834</v>
      </c>
      <c r="AL266" s="124">
        <f t="shared" si="90"/>
        <v>31.953481416457699</v>
      </c>
      <c r="AM266" s="124">
        <f t="shared" si="91"/>
        <v>49.501791410877075</v>
      </c>
      <c r="AN266" s="124">
        <f t="shared" si="92"/>
        <v>26.400955419134434</v>
      </c>
      <c r="AO266" s="124">
        <f t="shared" si="93"/>
        <v>36.354014476668887</v>
      </c>
      <c r="AP266" s="124">
        <f t="shared" si="94"/>
        <v>30.796746786222897</v>
      </c>
      <c r="AQ266" s="124">
        <f t="shared" si="95"/>
        <v>15.382990402708739</v>
      </c>
      <c r="AR266" s="124">
        <f t="shared" si="72"/>
        <v>36.155053772029632</v>
      </c>
      <c r="AS266" s="3">
        <f t="shared" si="77"/>
        <v>230.58862161609716</v>
      </c>
    </row>
    <row r="267" spans="1:45" ht="14">
      <c r="A267">
        <f t="shared" si="97"/>
        <v>109</v>
      </c>
      <c r="B267" s="19">
        <f t="shared" si="97"/>
        <v>189</v>
      </c>
      <c r="C267" s="26">
        <f t="shared" si="96"/>
        <v>156.78587997838801</v>
      </c>
      <c r="D267" s="26"/>
      <c r="E267" s="26"/>
      <c r="F267" s="26"/>
      <c r="G267" s="26"/>
      <c r="H267" s="26"/>
      <c r="I267" s="126"/>
      <c r="J267" s="26"/>
      <c r="K267" s="26"/>
      <c r="L267" s="26"/>
      <c r="M267" s="83">
        <f>C$158*(0.4*D$14)*('Product half-life and C flows'!B128/100)</f>
        <v>0.19541188214557878</v>
      </c>
      <c r="N267" s="85"/>
      <c r="O267" s="85">
        <f t="shared" si="98"/>
        <v>23.063658997738134</v>
      </c>
      <c r="P267" s="85">
        <f t="shared" si="98"/>
        <v>12.300618132127003</v>
      </c>
      <c r="Q267" s="83">
        <f>C$158*(0.6*C$15)*('Product half-life and C flows'!L128/100)</f>
        <v>7.1715893371753152</v>
      </c>
      <c r="R267" s="85">
        <f>C$158*0.6*('Product half-life and C flows'!N128/100)</f>
        <v>20.866073445364858</v>
      </c>
      <c r="S267" s="85">
        <f>C$158*0.6*('Product half-life and C flows'!P128/100)</f>
        <v>10.422614108573852</v>
      </c>
      <c r="T267" s="85">
        <f t="shared" si="86"/>
        <v>11.038827979547648</v>
      </c>
      <c r="U267" s="3"/>
      <c r="V267" s="90">
        <f>N$238*(0.4*V$40)*('Product half-life and C flows'!B47/100)</f>
        <v>3.7104366005731686</v>
      </c>
      <c r="W267" s="90">
        <f t="shared" si="82"/>
        <v>33.925548553733627</v>
      </c>
      <c r="X267" s="89">
        <f t="shared" si="99"/>
        <v>26.438132413138941</v>
      </c>
      <c r="Y267" s="89">
        <f t="shared" si="99"/>
        <v>14.100337287007433</v>
      </c>
      <c r="Z267" s="91">
        <f>N$238*(0.6*Z$41)*('Product half-life and C flows'!L47/100)</f>
        <v>28.626745046392429</v>
      </c>
      <c r="AA267" s="91">
        <f>N$238*0.6*('Product half-life and C flows'!N47/100)</f>
        <v>10.301497189654203</v>
      </c>
      <c r="AB267" s="91">
        <f>N$238*0.6*('Product half-life and C flows'!P47/100)</f>
        <v>5.1456029918352657</v>
      </c>
      <c r="AC267" s="89">
        <f t="shared" si="88"/>
        <v>25.116225792481988</v>
      </c>
      <c r="AD267" s="17"/>
      <c r="AE267">
        <f t="shared" si="60"/>
        <v>109</v>
      </c>
      <c r="AF267" s="3">
        <f>(C$158*$AF$76)*('Product half-life and C flows'!B128/100)</f>
        <v>1.4655891160918408</v>
      </c>
      <c r="AG267" s="3">
        <f t="shared" si="83"/>
        <v>22.18866759232354</v>
      </c>
      <c r="AH267" s="3" t="e">
        <f>#REF!</f>
        <v>#REF!</v>
      </c>
      <c r="AI267" s="3" t="e">
        <f t="shared" si="76"/>
        <v>#REF!</v>
      </c>
      <c r="AJ267" s="113">
        <f t="shared" si="61"/>
        <v>156.78587997838801</v>
      </c>
      <c r="AK267" s="124">
        <f t="shared" si="89"/>
        <v>3.9058484827187474</v>
      </c>
      <c r="AL267" s="124">
        <f t="shared" si="90"/>
        <v>33.925548553733627</v>
      </c>
      <c r="AM267" s="124">
        <f t="shared" si="91"/>
        <v>49.501791410877075</v>
      </c>
      <c r="AN267" s="124">
        <f t="shared" si="92"/>
        <v>26.400955419134434</v>
      </c>
      <c r="AO267" s="124">
        <f t="shared" si="93"/>
        <v>35.798334383567742</v>
      </c>
      <c r="AP267" s="124">
        <f t="shared" si="94"/>
        <v>31.167570635019061</v>
      </c>
      <c r="AQ267" s="124">
        <f t="shared" si="95"/>
        <v>15.568217100409118</v>
      </c>
      <c r="AR267" s="124">
        <f t="shared" si="72"/>
        <v>36.155053772029632</v>
      </c>
      <c r="AS267" s="3">
        <f t="shared" si="77"/>
        <v>232.42331975748948</v>
      </c>
    </row>
    <row r="268" spans="1:45" ht="14">
      <c r="A268">
        <f t="shared" si="97"/>
        <v>110</v>
      </c>
      <c r="B268" s="19">
        <f t="shared" si="97"/>
        <v>190</v>
      </c>
      <c r="C268" s="26">
        <f t="shared" si="96"/>
        <v>157.00350900079047</v>
      </c>
      <c r="D268" s="26"/>
      <c r="E268" s="26"/>
      <c r="F268" s="26"/>
      <c r="G268" s="26"/>
      <c r="H268" s="26"/>
      <c r="I268" s="126"/>
      <c r="J268" s="26"/>
      <c r="K268" s="26"/>
      <c r="L268" s="26"/>
      <c r="M268" s="83">
        <f>C$158*(0.4*D$14)*('Product half-life and C flows'!B129/100)</f>
        <v>0.18875543606799494</v>
      </c>
      <c r="N268" s="85"/>
      <c r="O268" s="85">
        <f t="shared" si="98"/>
        <v>23.063658997738134</v>
      </c>
      <c r="P268" s="85">
        <f t="shared" si="98"/>
        <v>12.300618132127003</v>
      </c>
      <c r="Q268" s="83">
        <f>C$158*(0.6*C$15)*('Product half-life and C flows'!L129/100)</f>
        <v>7.061969822303789</v>
      </c>
      <c r="R268" s="85">
        <f>C$158*0.6*('Product half-life and C flows'!N129/100)</f>
        <v>20.939226201622461</v>
      </c>
      <c r="S268" s="85">
        <f>C$158*0.6*('Product half-life and C flows'!P129/100)</f>
        <v>10.459153946864362</v>
      </c>
      <c r="T268" s="85">
        <f t="shared" si="86"/>
        <v>11.038827979547648</v>
      </c>
      <c r="U268" s="3"/>
      <c r="V268" s="90">
        <f>N$238*(0.4*V$40)*('Product half-life and C flows'!B48/100)</f>
        <v>3.5840455086660308</v>
      </c>
      <c r="W268" s="90">
        <f t="shared" si="82"/>
        <v>35.895169859521509</v>
      </c>
      <c r="X268" s="89">
        <f t="shared" si="99"/>
        <v>26.438132413138941</v>
      </c>
      <c r="Y268" s="89">
        <f t="shared" si="99"/>
        <v>14.100337287007433</v>
      </c>
      <c r="Z268" s="91">
        <f>N$238*(0.6*Z$41)*('Product half-life and C flows'!L48/100)</f>
        <v>28.18917817567527</v>
      </c>
      <c r="AA268" s="91">
        <f>N$238*0.6*('Product half-life and C flows'!N48/100)</f>
        <v>10.593500148046122</v>
      </c>
      <c r="AB268" s="91">
        <f>N$238*0.6*('Product half-life and C flows'!P48/100)</f>
        <v>5.2914586154076524</v>
      </c>
      <c r="AC268" s="89">
        <f t="shared" si="88"/>
        <v>25.116225792481988</v>
      </c>
      <c r="AD268" s="17"/>
      <c r="AE268">
        <f t="shared" si="60"/>
        <v>110</v>
      </c>
      <c r="AF268" s="3">
        <f>(C$158*$AF$76)*('Product half-life and C flows'!B129/100)</f>
        <v>1.4156657705099618</v>
      </c>
      <c r="AG268" s="3">
        <f t="shared" si="83"/>
        <v>21.753595678748571</v>
      </c>
      <c r="AH268" s="3" t="e">
        <f>#REF!</f>
        <v>#REF!</v>
      </c>
      <c r="AI268" s="3" t="e">
        <f t="shared" si="76"/>
        <v>#REF!</v>
      </c>
      <c r="AJ268" s="113">
        <f t="shared" si="61"/>
        <v>157.00350900079047</v>
      </c>
      <c r="AK268" s="124">
        <f t="shared" si="89"/>
        <v>3.7728009447340258</v>
      </c>
      <c r="AL268" s="124">
        <f t="shared" si="90"/>
        <v>35.895169859521509</v>
      </c>
      <c r="AM268" s="124">
        <f t="shared" si="91"/>
        <v>49.501791410877075</v>
      </c>
      <c r="AN268" s="124">
        <f t="shared" si="92"/>
        <v>26.400955419134434</v>
      </c>
      <c r="AO268" s="124">
        <f t="shared" si="93"/>
        <v>35.251147997979061</v>
      </c>
      <c r="AP268" s="124">
        <f t="shared" si="94"/>
        <v>31.532726349668582</v>
      </c>
      <c r="AQ268" s="124">
        <f t="shared" si="95"/>
        <v>15.750612562272014</v>
      </c>
      <c r="AR268" s="124">
        <f t="shared" si="72"/>
        <v>36.155053772029632</v>
      </c>
      <c r="AS268" s="3">
        <f t="shared" si="77"/>
        <v>234.26025831621632</v>
      </c>
    </row>
    <row r="269" spans="1:45" ht="14">
      <c r="A269">
        <f t="shared" si="97"/>
        <v>111</v>
      </c>
      <c r="B269" s="19">
        <f t="shared" si="97"/>
        <v>191</v>
      </c>
      <c r="C269" s="26">
        <f t="shared" si="96"/>
        <v>157.21702403553022</v>
      </c>
      <c r="D269" s="26"/>
      <c r="E269" s="26"/>
      <c r="F269" s="26"/>
      <c r="G269" s="26"/>
      <c r="H269" s="26"/>
      <c r="I269" s="126"/>
      <c r="J269" s="26"/>
      <c r="K269" s="26"/>
      <c r="L269" s="26"/>
      <c r="M269" s="83">
        <f>C$158*(0.4*D$14)*('Product half-life and C flows'!B130/100)</f>
        <v>0.1823257329801275</v>
      </c>
      <c r="N269" s="85"/>
      <c r="O269" s="85">
        <f t="shared" si="98"/>
        <v>23.063658997738134</v>
      </c>
      <c r="P269" s="85">
        <f t="shared" si="98"/>
        <v>12.300618132127003</v>
      </c>
      <c r="Q269" s="83">
        <f>C$158*(0.6*C$15)*('Product half-life and C flows'!L130/100)</f>
        <v>6.9540258688002856</v>
      </c>
      <c r="R269" s="85">
        <f>C$158*0.6*('Product half-life and C flows'!N130/100)</f>
        <v>21.011260799927129</v>
      </c>
      <c r="S269" s="85">
        <f>C$158*0.6*('Product half-life and C flows'!P130/100)</f>
        <v>10.495135264698863</v>
      </c>
      <c r="T269" s="85">
        <f t="shared" si="86"/>
        <v>11.038827979547648</v>
      </c>
      <c r="U269" s="3"/>
      <c r="V269" s="90">
        <f>N$238*(0.4*V$40)*('Product half-life and C flows'!B49/100)</f>
        <v>3.4619597613404456</v>
      </c>
      <c r="W269" s="90">
        <f t="shared" si="82"/>
        <v>37.85799783686052</v>
      </c>
      <c r="X269" s="89">
        <f t="shared" si="99"/>
        <v>26.438132413138941</v>
      </c>
      <c r="Y269" s="89">
        <f t="shared" si="99"/>
        <v>14.100337287007433</v>
      </c>
      <c r="Z269" s="91">
        <f>N$238*(0.6*Z$41)*('Product half-life and C flows'!L49/100)</f>
        <v>27.758299622684738</v>
      </c>
      <c r="AA269" s="91">
        <f>N$238*0.6*('Product half-life and C flows'!N49/100)</f>
        <v>10.881039769075139</v>
      </c>
      <c r="AB269" s="91">
        <f>N$238*0.6*('Product half-life and C flows'!P49/100)</f>
        <v>5.4350847997378304</v>
      </c>
      <c r="AC269" s="89">
        <f t="shared" si="88"/>
        <v>25.116225792481988</v>
      </c>
      <c r="AD269" s="17"/>
      <c r="AE269">
        <f t="shared" si="60"/>
        <v>111</v>
      </c>
      <c r="AF269" s="3">
        <f>(C$158*$AF$76)*('Product half-life and C flows'!B130/100)</f>
        <v>1.3674429973509561</v>
      </c>
      <c r="AG269" s="3">
        <f t="shared" si="83"/>
        <v>21.318523765173602</v>
      </c>
      <c r="AH269" s="3" t="e">
        <f>#REF!</f>
        <v>#REF!</v>
      </c>
      <c r="AI269" s="3" t="e">
        <f t="shared" si="76"/>
        <v>#REF!</v>
      </c>
      <c r="AJ269" s="113">
        <f t="shared" si="61"/>
        <v>157.21702403553022</v>
      </c>
      <c r="AK269" s="124">
        <f t="shared" si="89"/>
        <v>3.6442854943205729</v>
      </c>
      <c r="AL269" s="124">
        <f t="shared" si="90"/>
        <v>37.85799783686052</v>
      </c>
      <c r="AM269" s="124">
        <f t="shared" si="91"/>
        <v>49.501791410877075</v>
      </c>
      <c r="AN269" s="124">
        <f t="shared" si="92"/>
        <v>26.400955419134434</v>
      </c>
      <c r="AO269" s="124">
        <f t="shared" si="93"/>
        <v>34.712325491485025</v>
      </c>
      <c r="AP269" s="124">
        <f t="shared" si="94"/>
        <v>31.892300569002266</v>
      </c>
      <c r="AQ269" s="124">
        <f t="shared" si="95"/>
        <v>15.930220064436693</v>
      </c>
      <c r="AR269" s="124">
        <f t="shared" si="72"/>
        <v>36.155053772029632</v>
      </c>
      <c r="AS269" s="3">
        <f t="shared" si="77"/>
        <v>236.09493005814619</v>
      </c>
    </row>
    <row r="270" spans="1:45" ht="14">
      <c r="A270">
        <f t="shared" si="97"/>
        <v>112</v>
      </c>
      <c r="B270" s="19">
        <f t="shared" si="97"/>
        <v>192</v>
      </c>
      <c r="C270" s="26">
        <f t="shared" si="96"/>
        <v>157.42649897007195</v>
      </c>
      <c r="D270" s="26"/>
      <c r="E270" s="26"/>
      <c r="F270" s="26"/>
      <c r="G270" s="26"/>
      <c r="H270" s="26"/>
      <c r="I270" s="126"/>
      <c r="J270" s="26"/>
      <c r="K270" s="26"/>
      <c r="L270" s="26"/>
      <c r="M270" s="83">
        <f>C$158*(0.4*D$14)*('Product half-life and C flows'!B131/100)</f>
        <v>0.17611504918335599</v>
      </c>
      <c r="N270" s="85"/>
      <c r="O270" s="85">
        <f t="shared" si="98"/>
        <v>23.063658997738134</v>
      </c>
      <c r="P270" s="85">
        <f t="shared" si="98"/>
        <v>12.300618132127003</v>
      </c>
      <c r="Q270" s="83">
        <f>C$158*(0.6*C$15)*('Product half-life and C flows'!L131/100)</f>
        <v>6.8477318652953185</v>
      </c>
      <c r="R270" s="85">
        <f>C$158*0.6*('Product half-life and C flows'!N131/100)</f>
        <v>21.082194331599446</v>
      </c>
      <c r="S270" s="85">
        <f>C$158*0.6*('Product half-life and C flows'!P131/100)</f>
        <v>10.530566599200519</v>
      </c>
      <c r="T270" s="85">
        <f t="shared" si="86"/>
        <v>11.038827979547648</v>
      </c>
      <c r="U270" s="3"/>
      <c r="V270" s="90">
        <f>N$238*(0.4*V$40)*('Product half-life and C flows'!B50/100)</f>
        <v>3.3440327027547245</v>
      </c>
      <c r="W270" s="90">
        <f t="shared" si="82"/>
        <v>39.810048534318845</v>
      </c>
      <c r="X270" s="89">
        <f t="shared" si="99"/>
        <v>26.438132413138941</v>
      </c>
      <c r="Y270" s="89">
        <f t="shared" si="99"/>
        <v>14.100337287007433</v>
      </c>
      <c r="Z270" s="91">
        <f>N$238*(0.6*Z$41)*('Product half-life and C flows'!L50/100)</f>
        <v>27.334007154831919</v>
      </c>
      <c r="AA270" s="91">
        <f>N$238*0.6*('Product half-life and C flows'!N50/100)</f>
        <v>11.164184275955586</v>
      </c>
      <c r="AB270" s="91">
        <f>N$238*0.6*('Product half-life and C flows'!P50/100)</f>
        <v>5.5765156223554362</v>
      </c>
      <c r="AC270" s="89">
        <f t="shared" si="88"/>
        <v>25.116225792481988</v>
      </c>
      <c r="AD270" s="17"/>
      <c r="AE270">
        <f t="shared" ref="AE270:AE318" si="100">A270</f>
        <v>112</v>
      </c>
      <c r="AF270" s="3">
        <f>(C$158*$AF$76)*('Product half-life and C flows'!B131/100)</f>
        <v>1.32086286887517</v>
      </c>
      <c r="AG270" s="3">
        <f t="shared" si="83"/>
        <v>20.883451851598629</v>
      </c>
      <c r="AH270" s="3" t="e">
        <f>#REF!</f>
        <v>#REF!</v>
      </c>
      <c r="AI270" s="3" t="e">
        <f t="shared" si="76"/>
        <v>#REF!</v>
      </c>
      <c r="AJ270" s="113">
        <f t="shared" ref="AJ270:AJ318" si="101">C270</f>
        <v>157.42649897007195</v>
      </c>
      <c r="AK270" s="124">
        <f t="shared" si="89"/>
        <v>3.5201477519380804</v>
      </c>
      <c r="AL270" s="124">
        <f t="shared" si="90"/>
        <v>39.810048534318845</v>
      </c>
      <c r="AM270" s="124">
        <f t="shared" si="91"/>
        <v>49.501791410877075</v>
      </c>
      <c r="AN270" s="124">
        <f t="shared" si="92"/>
        <v>26.400955419134434</v>
      </c>
      <c r="AO270" s="124">
        <f t="shared" si="93"/>
        <v>34.181739020127239</v>
      </c>
      <c r="AP270" s="124">
        <f t="shared" si="94"/>
        <v>32.24637860755503</v>
      </c>
      <c r="AQ270" s="124">
        <f t="shared" si="95"/>
        <v>16.107082221555956</v>
      </c>
      <c r="AR270" s="124">
        <f t="shared" si="72"/>
        <v>36.155053772029632</v>
      </c>
      <c r="AS270" s="3">
        <f t="shared" si="77"/>
        <v>237.92319673753633</v>
      </c>
    </row>
    <row r="271" spans="1:45" ht="14">
      <c r="A271">
        <f t="shared" si="97"/>
        <v>113</v>
      </c>
      <c r="B271" s="19">
        <f t="shared" si="97"/>
        <v>193</v>
      </c>
      <c r="C271" s="26">
        <f t="shared" si="96"/>
        <v>157.63200652087528</v>
      </c>
      <c r="D271" s="26"/>
      <c r="E271" s="26"/>
      <c r="F271" s="26"/>
      <c r="G271" s="26"/>
      <c r="H271" s="26"/>
      <c r="I271" s="126"/>
      <c r="J271" s="26"/>
      <c r="K271" s="26"/>
      <c r="L271" s="26"/>
      <c r="M271" s="83">
        <f>C$158*(0.4*D$14)*('Product half-life and C flows'!B132/100)</f>
        <v>0.17011592407658943</v>
      </c>
      <c r="N271" s="85"/>
      <c r="O271" s="85">
        <f t="shared" si="98"/>
        <v>23.063658997738134</v>
      </c>
      <c r="P271" s="85">
        <f t="shared" si="98"/>
        <v>12.300618132127003</v>
      </c>
      <c r="Q271" s="83">
        <f>C$158*(0.6*C$15)*('Product half-life and C flows'!L132/100)</f>
        <v>6.7430625918955105</v>
      </c>
      <c r="R271" s="85">
        <f>C$158*0.6*('Product half-life and C flows'!N132/100)</f>
        <v>21.152043626714917</v>
      </c>
      <c r="S271" s="85">
        <f>C$158*0.6*('Product half-life and C flows'!P132/100)</f>
        <v>10.565456357000453</v>
      </c>
      <c r="T271" s="85">
        <f t="shared" si="86"/>
        <v>11.038827979547648</v>
      </c>
      <c r="U271" s="3"/>
      <c r="V271" s="90">
        <f>N$238*(0.4*V$40)*('Product half-life and C flows'!B51/100)</f>
        <v>3.2301226727035282</v>
      </c>
      <c r="W271" s="90">
        <f t="shared" ref="W271:W302" si="102">C$8*(1-EXP(-C$9*$B110))^3</f>
        <v>41.747689244282668</v>
      </c>
      <c r="X271" s="89">
        <f t="shared" si="99"/>
        <v>26.438132413138941</v>
      </c>
      <c r="Y271" s="89">
        <f t="shared" si="99"/>
        <v>14.100337287007433</v>
      </c>
      <c r="Z271" s="91">
        <f>N$238*(0.6*Z$41)*('Product half-life and C flows'!L51/100)</f>
        <v>26.916200102178291</v>
      </c>
      <c r="AA271" s="91">
        <f>N$238*0.6*('Product half-life and C flows'!N51/100)</f>
        <v>11.443000849093108</v>
      </c>
      <c r="AB271" s="91">
        <f>N$238*0.6*('Product half-life and C flows'!P51/100)</f>
        <v>5.7157846399066461</v>
      </c>
      <c r="AC271" s="89">
        <f t="shared" si="88"/>
        <v>25.116225792481988</v>
      </c>
      <c r="AD271" s="17"/>
      <c r="AE271">
        <f t="shared" si="100"/>
        <v>113</v>
      </c>
      <c r="AF271" s="3">
        <f>(C$158*$AF$76)*('Product half-life and C flows'!B132/100)</f>
        <v>1.2758694305744205</v>
      </c>
      <c r="AG271" s="3">
        <f t="shared" si="83"/>
        <v>20.44837993802366</v>
      </c>
      <c r="AH271" s="3" t="e">
        <f>#REF!</f>
        <v>#REF!</v>
      </c>
      <c r="AI271" s="3" t="e">
        <f t="shared" si="76"/>
        <v>#REF!</v>
      </c>
      <c r="AJ271" s="113">
        <f t="shared" si="101"/>
        <v>157.63200652087528</v>
      </c>
      <c r="AK271" s="124">
        <f t="shared" si="89"/>
        <v>3.4002385967801176</v>
      </c>
      <c r="AL271" s="124">
        <f t="shared" si="90"/>
        <v>41.747689244282668</v>
      </c>
      <c r="AM271" s="124">
        <f t="shared" si="91"/>
        <v>49.501791410877075</v>
      </c>
      <c r="AN271" s="124">
        <f t="shared" si="92"/>
        <v>26.400955419134434</v>
      </c>
      <c r="AO271" s="124">
        <f t="shared" si="93"/>
        <v>33.659262694073803</v>
      </c>
      <c r="AP271" s="124">
        <f t="shared" si="94"/>
        <v>32.595044475808024</v>
      </c>
      <c r="AQ271" s="124">
        <f t="shared" si="95"/>
        <v>16.281240996907101</v>
      </c>
      <c r="AR271" s="124">
        <f t="shared" si="72"/>
        <v>36.155053772029632</v>
      </c>
      <c r="AS271" s="3">
        <f t="shared" si="77"/>
        <v>239.74127660989291</v>
      </c>
    </row>
    <row r="272" spans="1:45" ht="14">
      <c r="A272">
        <f t="shared" ref="A272:B287" si="103">A271+1</f>
        <v>114</v>
      </c>
      <c r="B272" s="19">
        <f t="shared" si="103"/>
        <v>194</v>
      </c>
      <c r="C272" s="26">
        <f t="shared" si="96"/>
        <v>157.83361824541831</v>
      </c>
      <c r="D272" s="26"/>
      <c r="E272" s="26"/>
      <c r="F272" s="26"/>
      <c r="G272" s="26"/>
      <c r="H272" s="26"/>
      <c r="I272" s="126"/>
      <c r="J272" s="26"/>
      <c r="K272" s="26"/>
      <c r="L272" s="26"/>
      <c r="M272" s="83">
        <f>C$158*(0.4*D$14)*('Product half-life and C flows'!B133/100)</f>
        <v>0.16432115119419854</v>
      </c>
      <c r="N272" s="85"/>
      <c r="O272" s="85">
        <f t="shared" ref="O272:P287" si="104">O271</f>
        <v>23.063658997738134</v>
      </c>
      <c r="P272" s="85">
        <f t="shared" si="104"/>
        <v>12.300618132127003</v>
      </c>
      <c r="Q272" s="83">
        <f>C$158*(0.6*C$15)*('Product half-life and C flows'!L133/100)</f>
        <v>6.6399932141997944</v>
      </c>
      <c r="R272" s="85">
        <f>C$158*0.6*('Product half-life and C flows'!N133/100)</f>
        <v>21.220825258097193</v>
      </c>
      <c r="S272" s="85">
        <f>C$158*0.6*('Product half-life and C flows'!P133/100)</f>
        <v>10.59981281623236</v>
      </c>
      <c r="T272" s="85">
        <f t="shared" si="86"/>
        <v>11.038827979547648</v>
      </c>
      <c r="U272" s="3"/>
      <c r="V272" s="90">
        <f>N$238*(0.4*V$40)*('Product half-life and C flows'!B52/100)</f>
        <v>3.1200928364481562</v>
      </c>
      <c r="W272" s="90">
        <f t="shared" si="102"/>
        <v>43.667624633970696</v>
      </c>
      <c r="X272" s="89">
        <f t="shared" si="99"/>
        <v>26.438132413138941</v>
      </c>
      <c r="Y272" s="89">
        <f t="shared" si="99"/>
        <v>14.100337287007433</v>
      </c>
      <c r="Z272" s="91">
        <f>N$238*(0.6*Z$41)*('Product half-life and C flows'!L52/100)</f>
        <v>26.504779333550204</v>
      </c>
      <c r="AA272" s="91">
        <f>N$238*0.6*('Product half-life and C flows'!N52/100)</f>
        <v>11.717555642024248</v>
      </c>
      <c r="AB272" s="91">
        <f>N$238*0.6*('Product half-life and C flows'!P52/100)</f>
        <v>5.8529248961160079</v>
      </c>
      <c r="AC272" s="89">
        <f t="shared" si="88"/>
        <v>25.116225792481988</v>
      </c>
      <c r="AD272" s="17"/>
      <c r="AE272">
        <f t="shared" si="100"/>
        <v>114</v>
      </c>
      <c r="AF272" s="3">
        <f>(C$158*$AF$76)*('Product half-life and C flows'!B133/100)</f>
        <v>1.232408633956489</v>
      </c>
      <c r="AG272" s="3">
        <f t="shared" si="83"/>
        <v>20.013308024448683</v>
      </c>
      <c r="AH272" s="3" t="e">
        <f>#REF!</f>
        <v>#REF!</v>
      </c>
      <c r="AI272" s="3" t="e">
        <f t="shared" si="76"/>
        <v>#REF!</v>
      </c>
      <c r="AJ272" s="113">
        <f t="shared" si="101"/>
        <v>157.83361824541831</v>
      </c>
      <c r="AK272" s="124">
        <f t="shared" si="89"/>
        <v>3.2844139876423548</v>
      </c>
      <c r="AL272" s="124">
        <f t="shared" si="90"/>
        <v>43.667624633970696</v>
      </c>
      <c r="AM272" s="124">
        <f t="shared" si="91"/>
        <v>49.501791410877075</v>
      </c>
      <c r="AN272" s="124">
        <f t="shared" si="92"/>
        <v>26.400955419134434</v>
      </c>
      <c r="AO272" s="124">
        <f t="shared" si="93"/>
        <v>33.144772547749994</v>
      </c>
      <c r="AP272" s="124">
        <f t="shared" si="94"/>
        <v>32.938380900121444</v>
      </c>
      <c r="AQ272" s="124">
        <f t="shared" si="95"/>
        <v>16.452737712348366</v>
      </c>
      <c r="AR272" s="124">
        <f t="shared" si="72"/>
        <v>36.155053772029632</v>
      </c>
      <c r="AS272" s="3">
        <f t="shared" si="77"/>
        <v>241.545730383874</v>
      </c>
    </row>
    <row r="273" spans="1:45" ht="14">
      <c r="A273">
        <f t="shared" si="103"/>
        <v>115</v>
      </c>
      <c r="B273" s="19">
        <f t="shared" si="103"/>
        <v>195</v>
      </c>
      <c r="C273" s="26">
        <f t="shared" si="96"/>
        <v>158.03140455440482</v>
      </c>
      <c r="D273" s="26"/>
      <c r="E273" s="26"/>
      <c r="F273" s="26"/>
      <c r="G273" s="26"/>
      <c r="H273" s="26"/>
      <c r="I273" s="126"/>
      <c r="J273" s="26"/>
      <c r="K273" s="26"/>
      <c r="L273" s="26"/>
      <c r="M273" s="83">
        <f>C$158*(0.4*D$14)*('Product half-life and C flows'!B134/100)</f>
        <v>0.15872376954922865</v>
      </c>
      <c r="N273" s="85"/>
      <c r="O273" s="85">
        <f t="shared" si="104"/>
        <v>23.063658997738134</v>
      </c>
      <c r="P273" s="85">
        <f t="shared" si="104"/>
        <v>12.300618132127003</v>
      </c>
      <c r="Q273" s="83">
        <f>C$158*(0.6*C$15)*('Product half-life and C flows'!L134/100)</f>
        <v>6.5384992774070501</v>
      </c>
      <c r="R273" s="85">
        <f>C$158*0.6*('Product half-life and C flows'!N134/100)</f>
        <v>21.288555545250215</v>
      </c>
      <c r="S273" s="85">
        <f>C$158*0.6*('Product half-life and C flows'!P134/100)</f>
        <v>10.633644128496607</v>
      </c>
      <c r="T273" s="85">
        <f t="shared" si="86"/>
        <v>11.038827979547648</v>
      </c>
      <c r="U273" s="3"/>
      <c r="V273" s="90">
        <f>N$238*(0.4*V$40)*('Product half-life and C flows'!B53/100)</f>
        <v>3.0138110203434403</v>
      </c>
      <c r="W273" s="90">
        <f t="shared" si="102"/>
        <v>45.566881743001851</v>
      </c>
      <c r="X273" s="89">
        <f t="shared" ref="X273:Y288" si="105">X272</f>
        <v>26.438132413138941</v>
      </c>
      <c r="Y273" s="89">
        <f t="shared" si="105"/>
        <v>14.100337287007433</v>
      </c>
      <c r="Z273" s="91">
        <f>N$238*(0.6*Z$41)*('Product half-life and C flows'!L53/100)</f>
        <v>26.099647233018512</v>
      </c>
      <c r="AA273" s="91">
        <f>N$238*0.6*('Product half-life and C flows'!N53/100)</f>
        <v>11.9879137971124</v>
      </c>
      <c r="AB273" s="91">
        <f>N$238*0.6*('Product half-life and C flows'!P53/100)</f>
        <v>5.9879689296265726</v>
      </c>
      <c r="AC273" s="89">
        <f t="shared" si="88"/>
        <v>25.116225792481988</v>
      </c>
      <c r="AD273" s="17"/>
      <c r="AE273">
        <f t="shared" si="100"/>
        <v>115</v>
      </c>
      <c r="AF273" s="3">
        <f>(C$158*$AF$76)*('Product half-life and C flows'!B134/100)</f>
        <v>1.1904282716192147</v>
      </c>
      <c r="AG273" s="3">
        <f t="shared" si="83"/>
        <v>19.578236110873714</v>
      </c>
      <c r="AH273" s="3" t="e">
        <f>#REF!</f>
        <v>#REF!</v>
      </c>
      <c r="AI273" s="3" t="e">
        <f t="shared" si="76"/>
        <v>#REF!</v>
      </c>
      <c r="AJ273" s="113">
        <f t="shared" si="101"/>
        <v>158.03140455440482</v>
      </c>
      <c r="AK273" s="124">
        <f t="shared" si="89"/>
        <v>3.1725347898926688</v>
      </c>
      <c r="AL273" s="124">
        <f t="shared" si="90"/>
        <v>45.566881743001851</v>
      </c>
      <c r="AM273" s="124">
        <f t="shared" si="91"/>
        <v>49.501791410877075</v>
      </c>
      <c r="AN273" s="124">
        <f t="shared" si="92"/>
        <v>26.400955419134434</v>
      </c>
      <c r="AO273" s="124">
        <f t="shared" si="93"/>
        <v>32.638146510425564</v>
      </c>
      <c r="AP273" s="124">
        <f t="shared" si="94"/>
        <v>33.276469342362617</v>
      </c>
      <c r="AQ273" s="124">
        <f t="shared" si="95"/>
        <v>16.621613058123181</v>
      </c>
      <c r="AR273" s="124">
        <f t="shared" si="72"/>
        <v>36.155053772029632</v>
      </c>
      <c r="AS273" s="3">
        <f t="shared" si="77"/>
        <v>243.33344604584704</v>
      </c>
    </row>
    <row r="274" spans="1:45" ht="14">
      <c r="A274">
        <f t="shared" si="103"/>
        <v>116</v>
      </c>
      <c r="B274" s="19">
        <f t="shared" si="103"/>
        <v>196</v>
      </c>
      <c r="C274" s="26">
        <f t="shared" si="96"/>
        <v>158.22543472413426</v>
      </c>
      <c r="D274" s="26"/>
      <c r="E274" s="26"/>
      <c r="F274" s="26"/>
      <c r="G274" s="26"/>
      <c r="H274" s="26"/>
      <c r="I274" s="126"/>
      <c r="J274" s="26"/>
      <c r="K274" s="26"/>
      <c r="L274" s="26"/>
      <c r="M274" s="83">
        <f>C$158*(0.4*D$14)*('Product half-life and C flows'!B135/100)</f>
        <v>0.15331705527149517</v>
      </c>
      <c r="N274" s="85"/>
      <c r="O274" s="85">
        <f t="shared" si="104"/>
        <v>23.063658997738134</v>
      </c>
      <c r="P274" s="85">
        <f t="shared" si="104"/>
        <v>12.300618132127003</v>
      </c>
      <c r="Q274" s="83">
        <f>C$158*(0.6*C$15)*('Product half-life and C flows'!L135/100)</f>
        <v>6.4385567005138391</v>
      </c>
      <c r="R274" s="85">
        <f>C$158*0.6*('Product half-life and C flows'!N135/100)</f>
        <v>21.355250558230285</v>
      </c>
      <c r="S274" s="85">
        <f>C$158*0.6*('Product half-life and C flows'!P135/100)</f>
        <v>10.666958320794345</v>
      </c>
      <c r="T274" s="85">
        <f t="shared" si="86"/>
        <v>11.038827979547648</v>
      </c>
      <c r="U274" s="3"/>
      <c r="V274" s="90">
        <f>N$238*(0.4*V$40)*('Product half-life and C flows'!B54/100)</f>
        <v>2.9111495530637863</v>
      </c>
      <c r="W274" s="90">
        <f t="shared" si="102"/>
        <v>47.44279421141578</v>
      </c>
      <c r="X274" s="89">
        <f t="shared" si="105"/>
        <v>26.438132413138941</v>
      </c>
      <c r="Y274" s="89">
        <f t="shared" si="105"/>
        <v>14.100337287007433</v>
      </c>
      <c r="Z274" s="91">
        <f>N$238*(0.6*Z$41)*('Product half-life and C flows'!L54/100)</f>
        <v>25.700707676737633</v>
      </c>
      <c r="AA274" s="91">
        <f>N$238*0.6*('Product half-life and C flows'!N54/100)</f>
        <v>12.254139461003838</v>
      </c>
      <c r="AB274" s="91">
        <f>N$238*0.6*('Product half-life and C flows'!P54/100)</f>
        <v>6.1209487817201982</v>
      </c>
      <c r="AC274" s="89">
        <f t="shared" si="88"/>
        <v>25.116225792481988</v>
      </c>
      <c r="AD274" s="17"/>
      <c r="AE274">
        <f t="shared" si="100"/>
        <v>116</v>
      </c>
      <c r="AF274" s="3">
        <f>(C$158*$AF$76)*('Product half-life and C flows'!B135/100)</f>
        <v>1.1498779145362137</v>
      </c>
      <c r="AG274" s="3">
        <f t="shared" si="83"/>
        <v>19.143164197298745</v>
      </c>
      <c r="AH274" s="3" t="e">
        <f>#REF!</f>
        <v>#REF!</v>
      </c>
      <c r="AI274" s="3" t="e">
        <f t="shared" si="76"/>
        <v>#REF!</v>
      </c>
      <c r="AJ274" s="113">
        <f t="shared" si="101"/>
        <v>158.22543472413426</v>
      </c>
      <c r="AK274" s="124">
        <f t="shared" si="89"/>
        <v>3.0644666083352816</v>
      </c>
      <c r="AL274" s="124">
        <f t="shared" si="90"/>
        <v>47.44279421141578</v>
      </c>
      <c r="AM274" s="124">
        <f t="shared" si="91"/>
        <v>49.501791410877075</v>
      </c>
      <c r="AN274" s="124">
        <f t="shared" si="92"/>
        <v>26.400955419134434</v>
      </c>
      <c r="AO274" s="124">
        <f t="shared" si="93"/>
        <v>32.139264377251472</v>
      </c>
      <c r="AP274" s="124">
        <f t="shared" si="94"/>
        <v>33.609390019234127</v>
      </c>
      <c r="AQ274" s="124">
        <f t="shared" si="95"/>
        <v>16.787907102514545</v>
      </c>
      <c r="AR274" s="124">
        <f t="shared" si="72"/>
        <v>36.155053772029632</v>
      </c>
      <c r="AS274" s="3">
        <f t="shared" si="77"/>
        <v>245.10162292079235</v>
      </c>
    </row>
    <row r="275" spans="1:45" ht="14">
      <c r="A275">
        <f t="shared" si="103"/>
        <v>117</v>
      </c>
      <c r="B275" s="19">
        <f t="shared" si="103"/>
        <v>197</v>
      </c>
      <c r="C275" s="26">
        <f t="shared" si="96"/>
        <v>158.41577690901786</v>
      </c>
      <c r="D275" s="26"/>
      <c r="E275" s="26"/>
      <c r="F275" s="26"/>
      <c r="G275" s="26"/>
      <c r="H275" s="26"/>
      <c r="I275" s="126"/>
      <c r="J275" s="26"/>
      <c r="K275" s="26"/>
      <c r="L275" s="26"/>
      <c r="M275" s="83">
        <f>C$158*(0.4*D$14)*('Product half-life and C flows'!B136/100)</f>
        <v>0.14809451353051575</v>
      </c>
      <c r="N275" s="85"/>
      <c r="O275" s="85">
        <f t="shared" si="104"/>
        <v>23.063658997738134</v>
      </c>
      <c r="P275" s="85">
        <f t="shared" si="104"/>
        <v>12.300618132127003</v>
      </c>
      <c r="Q275" s="83">
        <f>C$158*(0.6*C$15)*('Product half-life and C flows'!L136/100)</f>
        <v>6.3401417706008125</v>
      </c>
      <c r="R275" s="85">
        <f>C$158*0.6*('Product half-life and C flows'!N136/100)</f>
        <v>21.420926121458912</v>
      </c>
      <c r="S275" s="85">
        <f>C$158*0.6*('Product half-life and C flows'!P136/100)</f>
        <v>10.699763297432021</v>
      </c>
      <c r="T275" s="85">
        <f t="shared" si="86"/>
        <v>11.038827979547648</v>
      </c>
      <c r="U275" s="3"/>
      <c r="V275" s="90">
        <f>N$238*(0.4*V$40)*('Product half-life and C flows'!B55/100)</f>
        <v>2.8119851122376383</v>
      </c>
      <c r="W275" s="90">
        <f t="shared" si="102"/>
        <v>49.292986041673906</v>
      </c>
      <c r="X275" s="89">
        <f t="shared" si="105"/>
        <v>26.438132413138941</v>
      </c>
      <c r="Y275" s="89">
        <f t="shared" si="105"/>
        <v>14.100337287007433</v>
      </c>
      <c r="Z275" s="91">
        <f>N$238*(0.6*Z$41)*('Product half-life and C flows'!L55/100)</f>
        <v>25.307866010138742</v>
      </c>
      <c r="AA275" s="91">
        <f>N$238*0.6*('Product half-life and C flows'!N55/100)</f>
        <v>12.5162957998475</v>
      </c>
      <c r="AB275" s="91">
        <f>N$238*0.6*('Product half-life and C flows'!P55/100)</f>
        <v>6.2518960039198292</v>
      </c>
      <c r="AC275" s="89">
        <f t="shared" si="88"/>
        <v>25.116225792481988</v>
      </c>
      <c r="AD275" s="17"/>
      <c r="AE275">
        <f t="shared" si="100"/>
        <v>117</v>
      </c>
      <c r="AF275" s="3">
        <f>(C$158*$AF$76)*('Product half-life and C flows'!B136/100)</f>
        <v>1.1107088514788681</v>
      </c>
      <c r="AG275" s="3">
        <f t="shared" si="83"/>
        <v>18.708092283723772</v>
      </c>
      <c r="AH275" s="3" t="e">
        <f>#REF!</f>
        <v>#REF!</v>
      </c>
      <c r="AI275" s="3" t="e">
        <f t="shared" si="76"/>
        <v>#REF!</v>
      </c>
      <c r="AJ275" s="113">
        <f t="shared" si="101"/>
        <v>158.41577690901786</v>
      </c>
      <c r="AK275" s="124">
        <f t="shared" si="89"/>
        <v>2.9600796257681541</v>
      </c>
      <c r="AL275" s="124">
        <f t="shared" si="90"/>
        <v>49.292986041673906</v>
      </c>
      <c r="AM275" s="124">
        <f t="shared" si="91"/>
        <v>49.501791410877075</v>
      </c>
      <c r="AN275" s="124">
        <f t="shared" si="92"/>
        <v>26.400955419134434</v>
      </c>
      <c r="AO275" s="124">
        <f t="shared" si="93"/>
        <v>31.648007780739555</v>
      </c>
      <c r="AP275" s="124">
        <f t="shared" si="94"/>
        <v>33.93722192130641</v>
      </c>
      <c r="AQ275" s="124">
        <f t="shared" si="95"/>
        <v>16.95165930135185</v>
      </c>
      <c r="AR275" s="124">
        <f t="shared" si="72"/>
        <v>36.155053772029632</v>
      </c>
      <c r="AS275" s="3">
        <f t="shared" si="77"/>
        <v>246.84775527288099</v>
      </c>
    </row>
    <row r="276" spans="1:45" ht="14">
      <c r="A276">
        <f t="shared" si="103"/>
        <v>118</v>
      </c>
      <c r="B276" s="19">
        <f t="shared" si="103"/>
        <v>198</v>
      </c>
      <c r="C276" s="26">
        <f t="shared" si="96"/>
        <v>158.60249815422287</v>
      </c>
      <c r="D276" s="26"/>
      <c r="E276" s="26"/>
      <c r="F276" s="26"/>
      <c r="G276" s="26"/>
      <c r="H276" s="26"/>
      <c r="I276" s="126"/>
      <c r="J276" s="26"/>
      <c r="K276" s="26"/>
      <c r="L276" s="26"/>
      <c r="M276" s="83">
        <f>C$158*(0.4*D$14)*('Product half-life and C flows'!B137/100)</f>
        <v>0.14304987073357706</v>
      </c>
      <c r="N276" s="85"/>
      <c r="O276" s="85">
        <f t="shared" si="104"/>
        <v>23.063658997738134</v>
      </c>
      <c r="P276" s="85">
        <f t="shared" si="104"/>
        <v>12.300618132127003</v>
      </c>
      <c r="Q276" s="83">
        <f>C$158*(0.6*C$15)*('Product half-life and C flows'!L137/100)</f>
        <v>6.2432311372064468</v>
      </c>
      <c r="R276" s="85">
        <f>C$158*0.6*('Product half-life and C flows'!N137/100)</f>
        <v>21.485597817477419</v>
      </c>
      <c r="S276" s="85">
        <f>C$158*0.6*('Product half-life and C flows'!P137/100)</f>
        <v>10.732066841896808</v>
      </c>
      <c r="T276" s="85">
        <f t="shared" si="86"/>
        <v>11.038827979547648</v>
      </c>
      <c r="U276" s="3"/>
      <c r="V276" s="90">
        <f>N$238*(0.4*V$40)*('Product half-life and C flows'!B56/100)</f>
        <v>2.716198576306144</v>
      </c>
      <c r="W276" s="90">
        <f t="shared" si="102"/>
        <v>51.115355146144822</v>
      </c>
      <c r="X276" s="89">
        <f t="shared" si="105"/>
        <v>26.438132413138941</v>
      </c>
      <c r="Y276" s="89">
        <f t="shared" si="105"/>
        <v>14.100337287007433</v>
      </c>
      <c r="Z276" s="91">
        <f>N$238*(0.6*Z$41)*('Product half-life and C flows'!L56/100)</f>
        <v>24.921029025471462</v>
      </c>
      <c r="AA276" s="91">
        <f>N$238*0.6*('Product half-life and C flows'!N56/100)</f>
        <v>12.774445014282133</v>
      </c>
      <c r="AB276" s="91">
        <f>N$238*0.6*('Product half-life and C flows'!P56/100)</f>
        <v>6.3808416654755895</v>
      </c>
      <c r="AC276" s="89">
        <f t="shared" si="88"/>
        <v>25.116225792481988</v>
      </c>
      <c r="AD276" s="17"/>
      <c r="AE276">
        <f t="shared" si="100"/>
        <v>118</v>
      </c>
      <c r="AF276" s="3">
        <f>(C$158*$AF$76)*('Product half-life and C flows'!B137/100)</f>
        <v>1.0728740305018278</v>
      </c>
      <c r="AG276" s="3">
        <f t="shared" si="83"/>
        <v>18.273020370148799</v>
      </c>
      <c r="AH276" s="3" t="e">
        <f>#REF!</f>
        <v>#REF!</v>
      </c>
      <c r="AI276" s="3" t="e">
        <f t="shared" si="76"/>
        <v>#REF!</v>
      </c>
      <c r="AJ276" s="113">
        <f t="shared" si="101"/>
        <v>158.60249815422287</v>
      </c>
      <c r="AK276" s="124">
        <f t="shared" si="89"/>
        <v>2.8592484470397213</v>
      </c>
      <c r="AL276" s="124">
        <f t="shared" si="90"/>
        <v>51.115355146144822</v>
      </c>
      <c r="AM276" s="124">
        <f t="shared" si="91"/>
        <v>49.501791410877075</v>
      </c>
      <c r="AN276" s="124">
        <f t="shared" si="92"/>
        <v>26.400955419134434</v>
      </c>
      <c r="AO276" s="124">
        <f t="shared" si="93"/>
        <v>31.164260162677909</v>
      </c>
      <c r="AP276" s="124">
        <f t="shared" si="94"/>
        <v>34.260042831759549</v>
      </c>
      <c r="AQ276" s="124">
        <f t="shared" si="95"/>
        <v>17.112908507372396</v>
      </c>
      <c r="AR276" s="124">
        <f t="shared" si="72"/>
        <v>36.155053772029632</v>
      </c>
      <c r="AS276" s="3">
        <f t="shared" si="77"/>
        <v>248.56961569703554</v>
      </c>
    </row>
    <row r="277" spans="1:45" ht="14">
      <c r="A277">
        <f t="shared" si="103"/>
        <v>119</v>
      </c>
      <c r="B277" s="19">
        <f t="shared" si="103"/>
        <v>199</v>
      </c>
      <c r="C277" s="26">
        <f t="shared" si="96"/>
        <v>158.78566440842806</v>
      </c>
      <c r="D277" s="26"/>
      <c r="E277" s="26"/>
      <c r="F277" s="26"/>
      <c r="G277" s="26"/>
      <c r="H277" s="26"/>
      <c r="I277" s="126"/>
      <c r="J277" s="26"/>
      <c r="K277" s="26"/>
      <c r="L277" s="26"/>
      <c r="M277" s="83">
        <f>C$158*(0.4*D$14)*('Product half-life and C flows'!B138/100)</f>
        <v>0.13817706698956517</v>
      </c>
      <c r="N277" s="85"/>
      <c r="O277" s="85">
        <f t="shared" si="104"/>
        <v>23.063658997738134</v>
      </c>
      <c r="P277" s="85">
        <f t="shared" si="104"/>
        <v>12.300618132127003</v>
      </c>
      <c r="Q277" s="83">
        <f>C$158*(0.6*C$15)*('Product half-life and C flows'!L138/100)</f>
        <v>6.147801806786795</v>
      </c>
      <c r="R277" s="85">
        <f>C$158*0.6*('Product half-life and C flows'!N138/100)</f>
        <v>21.549280990644135</v>
      </c>
      <c r="S277" s="85">
        <f>C$158*0.6*('Product half-life and C flows'!P138/100)</f>
        <v>10.76387661870336</v>
      </c>
      <c r="T277" s="85">
        <f t="shared" si="86"/>
        <v>11.038827979547648</v>
      </c>
      <c r="U277" s="3"/>
      <c r="V277" s="90">
        <f>N$238*(0.4*V$40)*('Product half-life and C flows'!B57/100)</f>
        <v>2.6236748814280486</v>
      </c>
      <c r="W277" s="90">
        <f t="shared" si="102"/>
        <v>52.908056886839212</v>
      </c>
      <c r="X277" s="89">
        <f t="shared" si="105"/>
        <v>26.438132413138941</v>
      </c>
      <c r="Y277" s="89">
        <f t="shared" si="105"/>
        <v>14.100337287007433</v>
      </c>
      <c r="Z277" s="91">
        <f>N$238*(0.6*Z$41)*('Product half-life and C flows'!L57/100)</f>
        <v>24.540104939688916</v>
      </c>
      <c r="AA277" s="91">
        <f>N$238*0.6*('Product half-life and C flows'!N57/100)</f>
        <v>13.028648354194349</v>
      </c>
      <c r="AB277" s="91">
        <f>N$238*0.6*('Product half-life and C flows'!P57/100)</f>
        <v>6.5078163607364372</v>
      </c>
      <c r="AC277" s="89">
        <f t="shared" si="88"/>
        <v>25.116225792481988</v>
      </c>
      <c r="AD277" s="17"/>
      <c r="AE277">
        <f t="shared" si="100"/>
        <v>119</v>
      </c>
      <c r="AF277" s="3">
        <f>(C$158*$AF$76)*('Product half-life and C flows'!B138/100)</f>
        <v>1.0363280024217387</v>
      </c>
      <c r="AG277" s="3">
        <f t="shared" si="83"/>
        <v>17.837948456573827</v>
      </c>
      <c r="AH277" s="3" t="e">
        <f>#REF!</f>
        <v>#REF!</v>
      </c>
      <c r="AI277" s="3" t="e">
        <f t="shared" si="76"/>
        <v>#REF!</v>
      </c>
      <c r="AJ277" s="113">
        <f t="shared" si="101"/>
        <v>158.78566440842806</v>
      </c>
      <c r="AK277" s="124">
        <f t="shared" si="89"/>
        <v>2.7618519484176138</v>
      </c>
      <c r="AL277" s="124">
        <f t="shared" si="90"/>
        <v>52.908056886839212</v>
      </c>
      <c r="AM277" s="124">
        <f t="shared" si="91"/>
        <v>49.501791410877075</v>
      </c>
      <c r="AN277" s="124">
        <f t="shared" si="92"/>
        <v>26.400955419134434</v>
      </c>
      <c r="AO277" s="124">
        <f t="shared" si="93"/>
        <v>30.687906746475711</v>
      </c>
      <c r="AP277" s="124">
        <f t="shared" si="94"/>
        <v>34.577929344838481</v>
      </c>
      <c r="AQ277" s="124">
        <f t="shared" si="95"/>
        <v>17.271692979439798</v>
      </c>
      <c r="AR277" s="124">
        <f t="shared" si="72"/>
        <v>36.155053772029632</v>
      </c>
      <c r="AS277" s="3">
        <f t="shared" si="77"/>
        <v>250.26523850805194</v>
      </c>
    </row>
    <row r="278" spans="1:45" ht="14">
      <c r="A278">
        <f t="shared" si="103"/>
        <v>120</v>
      </c>
      <c r="B278" s="19">
        <f t="shared" si="103"/>
        <v>200</v>
      </c>
      <c r="C278" s="26">
        <f t="shared" si="96"/>
        <v>158.96534053667563</v>
      </c>
      <c r="D278" s="26"/>
      <c r="E278" s="26"/>
      <c r="F278" s="26"/>
      <c r="G278" s="26"/>
      <c r="H278" s="26"/>
      <c r="I278" s="126"/>
      <c r="J278" s="26"/>
      <c r="K278" s="26"/>
      <c r="L278" s="26"/>
      <c r="M278" s="83">
        <f>C$158*(0.4*D$14)*('Product half-life and C flows'!B139/100)</f>
        <v>0.13347024882950306</v>
      </c>
      <c r="N278" s="85"/>
      <c r="O278" s="85">
        <f t="shared" si="104"/>
        <v>23.063658997738134</v>
      </c>
      <c r="P278" s="85">
        <f t="shared" si="104"/>
        <v>12.300618132127003</v>
      </c>
      <c r="Q278" s="83">
        <f>C$158*(0.6*C$15)*('Product half-life and C flows'!L139/100)</f>
        <v>6.0538311372599098</v>
      </c>
      <c r="R278" s="85">
        <f>C$158*0.6*('Product half-life and C flows'!N139/100)</f>
        <v>21.611990750775075</v>
      </c>
      <c r="S278" s="85">
        <f>C$158*0.6*('Product half-life and C flows'!P139/100)</f>
        <v>10.795200175212321</v>
      </c>
      <c r="T278" s="85">
        <f t="shared" si="86"/>
        <v>11.038827979547648</v>
      </c>
      <c r="U278" s="3"/>
      <c r="V278" s="90">
        <f>N$238*(0.4*V$40)*('Product half-life and C flows'!B58/100)</f>
        <v>2.5343028832589387</v>
      </c>
      <c r="W278" s="90">
        <f t="shared" si="102"/>
        <v>54.669487775772701</v>
      </c>
      <c r="X278" s="89">
        <f t="shared" si="105"/>
        <v>26.438132413138941</v>
      </c>
      <c r="Y278" s="89">
        <f t="shared" si="105"/>
        <v>14.100337287007433</v>
      </c>
      <c r="Z278" s="91">
        <f>N$238*(0.6*Z$41)*('Product half-life and C flows'!L58/100)</f>
        <v>24.165003372670785</v>
      </c>
      <c r="AA278" s="91">
        <f>N$238*0.6*('Product half-life and C flows'!N58/100)</f>
        <v>13.278966133251116</v>
      </c>
      <c r="AB278" s="91">
        <f>N$238*0.6*('Product half-life and C flows'!P58/100)</f>
        <v>6.632850216409147</v>
      </c>
      <c r="AC278" s="89">
        <f t="shared" si="88"/>
        <v>25.116225792481988</v>
      </c>
      <c r="AD278" s="17"/>
      <c r="AE278">
        <f t="shared" si="100"/>
        <v>120</v>
      </c>
      <c r="AF278" s="3">
        <f>(C$158*$AF$76)*('Product half-life and C flows'!B139/100)</f>
        <v>1.0010268662212729</v>
      </c>
      <c r="AG278" s="3">
        <f t="shared" si="83"/>
        <v>17.402876542998857</v>
      </c>
      <c r="AH278" s="3" t="e">
        <f>#REF!</f>
        <v>#REF!</v>
      </c>
      <c r="AI278" s="3" t="e">
        <f t="shared" si="76"/>
        <v>#REF!</v>
      </c>
      <c r="AJ278" s="113">
        <f t="shared" si="101"/>
        <v>158.96534053667563</v>
      </c>
      <c r="AK278" s="124">
        <f t="shared" si="89"/>
        <v>2.6677731320884419</v>
      </c>
      <c r="AL278" s="124">
        <f t="shared" si="90"/>
        <v>54.669487775772701</v>
      </c>
      <c r="AM278" s="124">
        <f t="shared" si="91"/>
        <v>49.501791410877075</v>
      </c>
      <c r="AN278" s="124">
        <f t="shared" si="92"/>
        <v>26.400955419134434</v>
      </c>
      <c r="AO278" s="124">
        <f t="shared" si="93"/>
        <v>30.218834509930694</v>
      </c>
      <c r="AP278" s="124">
        <f t="shared" si="94"/>
        <v>34.890956884026188</v>
      </c>
      <c r="AQ278" s="124">
        <f t="shared" si="95"/>
        <v>17.428050391621468</v>
      </c>
      <c r="AR278" s="124">
        <f t="shared" si="72"/>
        <v>36.155053772029632</v>
      </c>
      <c r="AS278" s="3">
        <f t="shared" si="77"/>
        <v>251.93290329548063</v>
      </c>
    </row>
    <row r="279" spans="1:45" ht="14">
      <c r="A279">
        <f t="shared" si="103"/>
        <v>121</v>
      </c>
      <c r="B279" s="19">
        <f t="shared" si="103"/>
        <v>201</v>
      </c>
      <c r="C279" s="26">
        <f t="shared" si="96"/>
        <v>159.14159033330424</v>
      </c>
      <c r="D279" s="26"/>
      <c r="E279" s="26"/>
      <c r="F279" s="26"/>
      <c r="G279" s="26"/>
      <c r="H279" s="26"/>
      <c r="I279" s="126"/>
      <c r="J279" s="26"/>
      <c r="K279" s="26"/>
      <c r="L279" s="26"/>
      <c r="M279" s="83">
        <f>C$158*(0.4*D$14)*('Product half-life and C flows'!B140/100)</f>
        <v>0.12892376217505586</v>
      </c>
      <c r="N279" s="85"/>
      <c r="O279" s="85">
        <f t="shared" si="104"/>
        <v>23.063658997738134</v>
      </c>
      <c r="P279" s="85">
        <f t="shared" si="104"/>
        <v>12.300618132127003</v>
      </c>
      <c r="Q279" s="83">
        <f>C$158*(0.6*C$15)*('Product half-life and C flows'!L140/100)</f>
        <v>5.9612968326336579</v>
      </c>
      <c r="R279" s="85">
        <f>C$158*0.6*('Product half-life and C flows'!N140/100)</f>
        <v>21.673741976728994</v>
      </c>
      <c r="S279" s="85">
        <f>C$158*0.6*('Product half-life and C flows'!P140/100)</f>
        <v>10.826044943421071</v>
      </c>
      <c r="T279" s="85">
        <f t="shared" si="86"/>
        <v>11.038827979547648</v>
      </c>
      <c r="U279" s="3"/>
      <c r="V279" s="90">
        <f>N$238*(0.4*V$40)*('Product half-life and C flows'!B59/100)</f>
        <v>2.4479752234387906</v>
      </c>
      <c r="W279" s="90">
        <f t="shared" si="102"/>
        <v>56.398269471480361</v>
      </c>
      <c r="X279" s="89">
        <f t="shared" si="105"/>
        <v>26.438132413138941</v>
      </c>
      <c r="Y279" s="89">
        <f t="shared" si="105"/>
        <v>14.100337287007433</v>
      </c>
      <c r="Z279" s="91">
        <f>N$238*(0.6*Z$41)*('Product half-life and C flows'!L59/100)</f>
        <v>23.795635325779212</v>
      </c>
      <c r="AA279" s="91">
        <f>N$238*0.6*('Product half-life and C flows'!N59/100)</f>
        <v>13.525457743210094</v>
      </c>
      <c r="AB279" s="91">
        <f>N$238*0.6*('Product half-life and C flows'!P59/100)</f>
        <v>6.7559728987063385</v>
      </c>
      <c r="AC279" s="89">
        <f t="shared" si="88"/>
        <v>25.116225792481988</v>
      </c>
      <c r="AD279" s="17"/>
      <c r="AE279">
        <f t="shared" si="100"/>
        <v>121</v>
      </c>
      <c r="AF279" s="3">
        <f>(C$158*$AF$76)*('Product half-life and C flows'!B140/100)</f>
        <v>0.96692821631291881</v>
      </c>
      <c r="AG279" s="3">
        <f t="shared" si="83"/>
        <v>16.967804629423885</v>
      </c>
      <c r="AH279" s="3" t="e">
        <f>#REF!</f>
        <v>#REF!</v>
      </c>
      <c r="AI279" s="3" t="e">
        <f t="shared" si="76"/>
        <v>#REF!</v>
      </c>
      <c r="AJ279" s="113">
        <f t="shared" si="101"/>
        <v>159.14159033330424</v>
      </c>
      <c r="AK279" s="124">
        <f t="shared" si="89"/>
        <v>2.5768989856138464</v>
      </c>
      <c r="AL279" s="124">
        <f t="shared" si="90"/>
        <v>56.398269471480361</v>
      </c>
      <c r="AM279" s="124">
        <f t="shared" si="91"/>
        <v>49.501791410877075</v>
      </c>
      <c r="AN279" s="124">
        <f t="shared" si="92"/>
        <v>26.400955419134434</v>
      </c>
      <c r="AO279" s="124">
        <f t="shared" si="93"/>
        <v>29.756932158412869</v>
      </c>
      <c r="AP279" s="124">
        <f t="shared" si="94"/>
        <v>35.199199719939088</v>
      </c>
      <c r="AQ279" s="124">
        <f t="shared" si="95"/>
        <v>17.58201784212741</v>
      </c>
      <c r="AR279" s="124">
        <f t="shared" si="72"/>
        <v>36.155053772029632</v>
      </c>
      <c r="AS279" s="3">
        <f t="shared" si="77"/>
        <v>253.57111877961472</v>
      </c>
    </row>
    <row r="280" spans="1:45" ht="14">
      <c r="A280">
        <f t="shared" si="103"/>
        <v>122</v>
      </c>
      <c r="B280" s="19">
        <f t="shared" si="103"/>
        <v>202</v>
      </c>
      <c r="C280" s="26">
        <f t="shared" si="96"/>
        <v>159.31447653494916</v>
      </c>
      <c r="D280" s="26"/>
      <c r="E280" s="26"/>
      <c r="F280" s="26"/>
      <c r="G280" s="26"/>
      <c r="H280" s="26"/>
      <c r="I280" s="126"/>
      <c r="J280" s="26"/>
      <c r="K280" s="26"/>
      <c r="L280" s="26"/>
      <c r="M280" s="83">
        <f>C$158*(0.4*D$14)*('Product half-life and C flows'!B141/100)</f>
        <v>0.12453214554655334</v>
      </c>
      <c r="N280" s="85"/>
      <c r="O280" s="85">
        <f t="shared" si="104"/>
        <v>23.063658997738134</v>
      </c>
      <c r="P280" s="85">
        <f t="shared" si="104"/>
        <v>12.300618132127003</v>
      </c>
      <c r="Q280" s="83">
        <f>C$158*(0.6*C$15)*('Product half-life and C flows'!L141/100)</f>
        <v>5.8701769377156596</v>
      </c>
      <c r="R280" s="85">
        <f>C$158*0.6*('Product half-life and C flows'!N141/100)</f>
        <v>21.734549319937603</v>
      </c>
      <c r="S280" s="85">
        <f>C$158*0.6*('Product half-life and C flows'!P141/100)</f>
        <v>10.856418241727068</v>
      </c>
      <c r="T280" s="85">
        <f t="shared" si="86"/>
        <v>11.038827979547648</v>
      </c>
      <c r="U280" s="3"/>
      <c r="V280" s="90">
        <f>N$238*(0.4*V$40)*('Product half-life and C flows'!B60/100)</f>
        <v>2.3645882006274448</v>
      </c>
      <c r="W280" s="90">
        <f t="shared" si="102"/>
        <v>58.093233179167008</v>
      </c>
      <c r="X280" s="89">
        <f t="shared" si="105"/>
        <v>26.438132413138941</v>
      </c>
      <c r="Y280" s="89">
        <f t="shared" si="105"/>
        <v>14.100337287007433</v>
      </c>
      <c r="Z280" s="91">
        <f>N$238*(0.6*Z$41)*('Product half-life and C flows'!L60/100)</f>
        <v>23.431913160742507</v>
      </c>
      <c r="AA280" s="91">
        <f>N$238*0.6*('Product half-life and C flows'!N60/100)</f>
        <v>13.768181668011259</v>
      </c>
      <c r="AB280" s="91">
        <f>N$238*0.6*('Product half-life and C flows'!P60/100)</f>
        <v>6.8772136203852412</v>
      </c>
      <c r="AC280" s="89">
        <f t="shared" si="88"/>
        <v>25.116225792481988</v>
      </c>
      <c r="AD280" s="17"/>
      <c r="AE280">
        <f t="shared" si="100"/>
        <v>122</v>
      </c>
      <c r="AF280" s="3">
        <f>(C$158*$AF$76)*('Product half-life and C flows'!B141/100)</f>
        <v>0.93399109159914995</v>
      </c>
      <c r="AG280" s="3">
        <f t="shared" si="83"/>
        <v>16.532732715848915</v>
      </c>
      <c r="AH280" s="3" t="e">
        <f>#REF!</f>
        <v>#REF!</v>
      </c>
      <c r="AI280" s="3" t="e">
        <f t="shared" si="76"/>
        <v>#REF!</v>
      </c>
      <c r="AJ280" s="113">
        <f t="shared" si="101"/>
        <v>159.31447653494916</v>
      </c>
      <c r="AK280" s="124">
        <f t="shared" si="89"/>
        <v>2.4891203461739981</v>
      </c>
      <c r="AL280" s="124">
        <f t="shared" si="90"/>
        <v>58.093233179167008</v>
      </c>
      <c r="AM280" s="124">
        <f t="shared" si="91"/>
        <v>49.501791410877075</v>
      </c>
      <c r="AN280" s="124">
        <f t="shared" si="92"/>
        <v>26.400955419134434</v>
      </c>
      <c r="AO280" s="124">
        <f t="shared" si="93"/>
        <v>29.302090098458166</v>
      </c>
      <c r="AP280" s="124">
        <f t="shared" si="94"/>
        <v>35.502730987948866</v>
      </c>
      <c r="AQ280" s="124">
        <f t="shared" si="95"/>
        <v>17.733631862112311</v>
      </c>
      <c r="AR280" s="124">
        <f t="shared" si="72"/>
        <v>36.155053772029632</v>
      </c>
      <c r="AS280" s="3">
        <f t="shared" si="77"/>
        <v>255.17860707590148</v>
      </c>
    </row>
    <row r="281" spans="1:45" ht="14">
      <c r="A281">
        <f t="shared" si="103"/>
        <v>123</v>
      </c>
      <c r="B281" s="19">
        <f t="shared" si="103"/>
        <v>203</v>
      </c>
      <c r="C281" s="26">
        <f t="shared" si="96"/>
        <v>159.48406083359615</v>
      </c>
      <c r="D281" s="26"/>
      <c r="E281" s="26"/>
      <c r="F281" s="26"/>
      <c r="G281" s="26"/>
      <c r="H281" s="26"/>
      <c r="I281" s="126"/>
      <c r="J281" s="26"/>
      <c r="K281" s="26"/>
      <c r="L281" s="26"/>
      <c r="M281" s="83">
        <f>C$158*(0.4*D$14)*('Product half-life and C flows'!B142/100)</f>
        <v>0.12029012350237225</v>
      </c>
      <c r="N281" s="85"/>
      <c r="O281" s="85">
        <f t="shared" si="104"/>
        <v>23.063658997738134</v>
      </c>
      <c r="P281" s="85">
        <f t="shared" si="104"/>
        <v>12.300618132127003</v>
      </c>
      <c r="Q281" s="83">
        <f>C$158*(0.6*C$15)*('Product half-life and C flows'!L142/100)</f>
        <v>5.7804498329040719</v>
      </c>
      <c r="R281" s="85">
        <f>C$158*0.6*('Product half-life and C flows'!N142/100)</f>
        <v>21.794427207881867</v>
      </c>
      <c r="S281" s="85">
        <f>C$158*0.6*('Product half-life and C flows'!P142/100)</f>
        <v>10.886327276664266</v>
      </c>
      <c r="T281" s="85">
        <f t="shared" si="86"/>
        <v>11.038827979547648</v>
      </c>
      <c r="U281" s="3"/>
      <c r="V281" s="90">
        <f>N$238*(0.4*V$40)*('Product half-life and C flows'!B61/100)</f>
        <v>2.2840416459330792</v>
      </c>
      <c r="W281" s="90">
        <f t="shared" si="102"/>
        <v>59.753404538120442</v>
      </c>
      <c r="X281" s="89">
        <f t="shared" si="105"/>
        <v>26.438132413138941</v>
      </c>
      <c r="Y281" s="89">
        <f t="shared" si="105"/>
        <v>14.100337287007433</v>
      </c>
      <c r="Z281" s="91">
        <f>N$238*(0.6*Z$41)*('Product half-life and C flows'!L61/100)</f>
        <v>23.073750578861603</v>
      </c>
      <c r="AA281" s="91">
        <f>N$238*0.6*('Product half-life and C flows'!N61/100)</f>
        <v>14.007195497653115</v>
      </c>
      <c r="AB281" s="91">
        <f>N$238*0.6*('Product half-life and C flows'!P61/100)</f>
        <v>6.9966011476788754</v>
      </c>
      <c r="AC281" s="89">
        <f t="shared" si="88"/>
        <v>25.116225792481988</v>
      </c>
      <c r="AD281" s="17"/>
      <c r="AE281">
        <f t="shared" si="100"/>
        <v>123</v>
      </c>
      <c r="AF281" s="3">
        <f>(C$158*$AF$76)*('Product half-life and C flows'!B142/100)</f>
        <v>0.90217592626779186</v>
      </c>
      <c r="AG281" s="3">
        <f t="shared" si="83"/>
        <v>16.097660802273943</v>
      </c>
      <c r="AH281" s="3" t="e">
        <f>#REF!</f>
        <v>#REF!</v>
      </c>
      <c r="AI281" s="3" t="e">
        <f t="shared" si="76"/>
        <v>#REF!</v>
      </c>
      <c r="AJ281" s="113">
        <f t="shared" si="101"/>
        <v>159.48406083359615</v>
      </c>
      <c r="AK281" s="124">
        <f t="shared" ref="AK281:AK293" si="106">D281+M281+V281</f>
        <v>2.4043317694354513</v>
      </c>
      <c r="AL281" s="124">
        <f t="shared" ref="AL281:AL293" si="107">E281+N281+W281</f>
        <v>59.753404538120442</v>
      </c>
      <c r="AM281" s="124">
        <f t="shared" ref="AM281:AM293" si="108">F281+O281+X281</f>
        <v>49.501791410877075</v>
      </c>
      <c r="AN281" s="124">
        <f t="shared" ref="AN281:AN293" si="109">G281+P281+Y281</f>
        <v>26.400955419134434</v>
      </c>
      <c r="AO281" s="124">
        <f t="shared" ref="AO281:AO293" si="110">H281+Q281+Z281</f>
        <v>28.854200411765675</v>
      </c>
      <c r="AP281" s="124">
        <f t="shared" ref="AP281:AP293" si="111">I281+R281+AA281</f>
        <v>35.801622705534982</v>
      </c>
      <c r="AQ281" s="124">
        <f t="shared" ref="AQ281:AQ293" si="112">J281+S281+AB281</f>
        <v>17.882928424343142</v>
      </c>
      <c r="AR281" s="124">
        <f t="shared" ref="AR281:AR293" si="113">K281+T281+AC281</f>
        <v>36.155053772029632</v>
      </c>
      <c r="AS281" s="3">
        <f t="shared" si="77"/>
        <v>256.75428845124082</v>
      </c>
    </row>
    <row r="282" spans="1:45" ht="14">
      <c r="A282">
        <f t="shared" si="103"/>
        <v>124</v>
      </c>
      <c r="B282" s="19">
        <f t="shared" si="103"/>
        <v>204</v>
      </c>
      <c r="C282" s="26">
        <f t="shared" si="96"/>
        <v>159.65040388967657</v>
      </c>
      <c r="D282" s="26"/>
      <c r="E282" s="26"/>
      <c r="F282" s="26"/>
      <c r="G282" s="26"/>
      <c r="H282" s="26"/>
      <c r="I282" s="126"/>
      <c r="J282" s="26"/>
      <c r="K282" s="26"/>
      <c r="L282" s="26"/>
      <c r="M282" s="83">
        <f>C$158*(0.4*D$14)*('Product half-life and C flows'!B143/100)</f>
        <v>0.11619260030179779</v>
      </c>
      <c r="N282" s="85"/>
      <c r="O282" s="85">
        <f t="shared" si="104"/>
        <v>23.063658997738134</v>
      </c>
      <c r="P282" s="85">
        <f t="shared" si="104"/>
        <v>12.300618132127003</v>
      </c>
      <c r="Q282" s="83">
        <f>C$158*(0.6*C$15)*('Product half-life and C flows'!L143/100)</f>
        <v>5.6920942290580081</v>
      </c>
      <c r="R282" s="85">
        <f>C$158*0.6*('Product half-life and C flows'!N143/100)</f>
        <v>21.853389847515142</v>
      </c>
      <c r="S282" s="85">
        <f>C$158*0.6*('Product half-life and C flows'!P143/100)</f>
        <v>10.915779144612953</v>
      </c>
      <c r="T282" s="85">
        <f t="shared" si="86"/>
        <v>11.038827979547648</v>
      </c>
      <c r="U282" s="3"/>
      <c r="V282" s="90">
        <f>N$238*(0.4*V$40)*('Product half-life and C flows'!B62/100)</f>
        <v>2.2062388025840609</v>
      </c>
      <c r="W282" s="90">
        <f t="shared" si="102"/>
        <v>61.377989059788973</v>
      </c>
      <c r="X282" s="89">
        <f t="shared" si="105"/>
        <v>26.438132413138941</v>
      </c>
      <c r="Y282" s="89">
        <f t="shared" si="105"/>
        <v>14.100337287007433</v>
      </c>
      <c r="Z282" s="91">
        <f>N$238*(0.6*Z$41)*('Product half-life and C flows'!L62/100)</f>
        <v>22.721062600534392</v>
      </c>
      <c r="AA282" s="91">
        <f>N$238*0.6*('Product half-life and C flows'!N62/100)</f>
        <v>14.242555941856807</v>
      </c>
      <c r="AB282" s="91">
        <f>N$238*0.6*('Product half-life and C flows'!P62/100)</f>
        <v>7.1141638071212787</v>
      </c>
      <c r="AC282" s="89">
        <f t="shared" si="88"/>
        <v>25.116225792481988</v>
      </c>
      <c r="AD282" s="17"/>
      <c r="AE282">
        <f t="shared" si="100"/>
        <v>124</v>
      </c>
      <c r="AF282" s="3">
        <f>(C$158*$AF$76)*('Product half-life and C flows'!B143/100)</f>
        <v>0.87144450226348336</v>
      </c>
      <c r="AG282" s="3">
        <f t="shared" si="83"/>
        <v>15.662588888698972</v>
      </c>
      <c r="AH282" s="3" t="e">
        <f>#REF!</f>
        <v>#REF!</v>
      </c>
      <c r="AI282" s="3" t="e">
        <f t="shared" si="76"/>
        <v>#REF!</v>
      </c>
      <c r="AJ282" s="113">
        <f t="shared" si="101"/>
        <v>159.65040388967657</v>
      </c>
      <c r="AK282" s="124">
        <f t="shared" si="106"/>
        <v>2.3224314028858588</v>
      </c>
      <c r="AL282" s="124">
        <f t="shared" si="107"/>
        <v>61.377989059788973</v>
      </c>
      <c r="AM282" s="124">
        <f t="shared" si="108"/>
        <v>49.501791410877075</v>
      </c>
      <c r="AN282" s="124">
        <f t="shared" si="109"/>
        <v>26.400955419134434</v>
      </c>
      <c r="AO282" s="124">
        <f t="shared" si="110"/>
        <v>28.413156829592399</v>
      </c>
      <c r="AP282" s="124">
        <f t="shared" si="111"/>
        <v>36.095945789371953</v>
      </c>
      <c r="AQ282" s="124">
        <f t="shared" si="112"/>
        <v>18.029942951734231</v>
      </c>
      <c r="AR282" s="124">
        <f t="shared" si="113"/>
        <v>36.155053772029632</v>
      </c>
      <c r="AS282" s="3">
        <f t="shared" si="77"/>
        <v>258.29726663541453</v>
      </c>
    </row>
    <row r="283" spans="1:45" ht="14">
      <c r="A283">
        <f t="shared" si="103"/>
        <v>125</v>
      </c>
      <c r="B283" s="19">
        <f t="shared" si="103"/>
        <v>205</v>
      </c>
      <c r="C283" s="26">
        <f t="shared" si="96"/>
        <v>159.81356534519131</v>
      </c>
      <c r="D283" s="26"/>
      <c r="E283" s="26"/>
      <c r="F283" s="26"/>
      <c r="G283" s="26"/>
      <c r="H283" s="26"/>
      <c r="I283" s="126"/>
      <c r="J283" s="26"/>
      <c r="K283" s="26"/>
      <c r="L283" s="26"/>
      <c r="M283" s="83">
        <f>C$158*(0.4*D$14)*('Product half-life and C flows'!B144/100)</f>
        <v>0.11223465378375042</v>
      </c>
      <c r="N283" s="85"/>
      <c r="O283" s="85">
        <f t="shared" si="104"/>
        <v>23.063658997738134</v>
      </c>
      <c r="P283" s="85">
        <f t="shared" si="104"/>
        <v>12.300618132127003</v>
      </c>
      <c r="Q283" s="83">
        <f>C$158*(0.6*C$15)*('Product half-life and C flows'!L144/100)</f>
        <v>5.605089162446359</v>
      </c>
      <c r="R283" s="85">
        <f>C$158*0.6*('Product half-life and C flows'!N144/100)</f>
        <v>21.911451228633982</v>
      </c>
      <c r="S283" s="85">
        <f>C$158*0.6*('Product half-life and C flows'!P144/100)</f>
        <v>10.944780833483504</v>
      </c>
      <c r="T283" s="85">
        <f t="shared" si="86"/>
        <v>11.038827979547648</v>
      </c>
      <c r="U283" s="3"/>
      <c r="V283" s="90">
        <f>N$238*(0.4*V$40)*('Product half-life and C flows'!B63/100)</f>
        <v>2.1310862096995944</v>
      </c>
      <c r="W283" s="90">
        <f t="shared" si="102"/>
        <v>62.966358162848096</v>
      </c>
      <c r="X283" s="89">
        <f t="shared" si="105"/>
        <v>26.438132413138941</v>
      </c>
      <c r="Y283" s="89">
        <f t="shared" si="105"/>
        <v>14.100337287007433</v>
      </c>
      <c r="Z283" s="91">
        <f>N$238*(0.6*Z$41)*('Product half-life and C flows'!L63/100)</f>
        <v>22.373765545092972</v>
      </c>
      <c r="AA283" s="91">
        <f>N$238*0.6*('Product half-life and C flows'!N63/100)</f>
        <v>14.474318843521383</v>
      </c>
      <c r="AB283" s="91">
        <f>N$238*0.6*('Product half-life and C flows'!P63/100)</f>
        <v>7.2299294922684192</v>
      </c>
      <c r="AC283" s="89">
        <f t="shared" si="88"/>
        <v>25.116225792481988</v>
      </c>
      <c r="AD283" s="17"/>
      <c r="AE283">
        <f t="shared" si="100"/>
        <v>125</v>
      </c>
      <c r="AF283" s="3">
        <f>(C$158*$AF$76)*('Product half-life and C flows'!B144/100)</f>
        <v>0.841759903378128</v>
      </c>
      <c r="AG283" s="3">
        <f t="shared" si="83"/>
        <v>15.227516975124001</v>
      </c>
      <c r="AH283" s="3" t="e">
        <f>#REF!</f>
        <v>#REF!</v>
      </c>
      <c r="AI283" s="3" t="e">
        <f t="shared" si="76"/>
        <v>#REF!</v>
      </c>
      <c r="AJ283" s="113">
        <f t="shared" si="101"/>
        <v>159.81356534519131</v>
      </c>
      <c r="AK283" s="124">
        <f t="shared" si="106"/>
        <v>2.243320863483345</v>
      </c>
      <c r="AL283" s="124">
        <f t="shared" si="107"/>
        <v>62.966358162848096</v>
      </c>
      <c r="AM283" s="124">
        <f t="shared" si="108"/>
        <v>49.501791410877075</v>
      </c>
      <c r="AN283" s="124">
        <f t="shared" si="109"/>
        <v>26.400955419134434</v>
      </c>
      <c r="AO283" s="124">
        <f t="shared" si="110"/>
        <v>27.97885470753933</v>
      </c>
      <c r="AP283" s="124">
        <f t="shared" si="111"/>
        <v>36.385770072155367</v>
      </c>
      <c r="AQ283" s="124">
        <f t="shared" si="112"/>
        <v>18.174710325751924</v>
      </c>
      <c r="AR283" s="124">
        <f t="shared" si="113"/>
        <v>36.155053772029632</v>
      </c>
      <c r="AS283" s="3">
        <f t="shared" si="77"/>
        <v>259.80681473381924</v>
      </c>
    </row>
    <row r="284" spans="1:45" ht="14">
      <c r="A284">
        <f t="shared" si="103"/>
        <v>126</v>
      </c>
      <c r="B284" s="19">
        <f t="shared" si="103"/>
        <v>206</v>
      </c>
      <c r="C284" s="26">
        <f t="shared" si="96"/>
        <v>159.97360383685276</v>
      </c>
      <c r="D284" s="26"/>
      <c r="E284" s="26"/>
      <c r="F284" s="26"/>
      <c r="G284" s="26"/>
      <c r="H284" s="26"/>
      <c r="I284" s="126"/>
      <c r="J284" s="26"/>
      <c r="K284" s="26"/>
      <c r="L284" s="26"/>
      <c r="M284" s="83">
        <f>C$158*(0.4*D$14)*('Product half-life and C flows'!B145/100)</f>
        <v>0.10841152945402693</v>
      </c>
      <c r="N284" s="85"/>
      <c r="O284" s="85">
        <f t="shared" si="104"/>
        <v>23.063658997738134</v>
      </c>
      <c r="P284" s="85">
        <f t="shared" si="104"/>
        <v>12.300618132127003</v>
      </c>
      <c r="Q284" s="83">
        <f>C$158*(0.6*C$15)*('Product half-life and C flows'!L145/100)</f>
        <v>5.5194139897738248</v>
      </c>
      <c r="R284" s="85">
        <f>C$158*0.6*('Product half-life and C flows'!N145/100)</f>
        <v>21.968625127197456</v>
      </c>
      <c r="S284" s="85">
        <f>C$158*0.6*('Product half-life and C flows'!P145/100)</f>
        <v>10.973339224374348</v>
      </c>
      <c r="T284" s="85">
        <f t="shared" si="86"/>
        <v>11.038827979547648</v>
      </c>
      <c r="U284" s="3"/>
      <c r="V284" s="90">
        <f>N$238*(0.4*V$40)*('Product half-life and C flows'!B64/100)</f>
        <v>2.05849359001959</v>
      </c>
      <c r="W284" s="90">
        <f t="shared" si="102"/>
        <v>64.518035837226023</v>
      </c>
      <c r="X284" s="89">
        <f t="shared" si="105"/>
        <v>26.438132413138941</v>
      </c>
      <c r="Y284" s="89">
        <f t="shared" si="105"/>
        <v>14.100337287007433</v>
      </c>
      <c r="Z284" s="91">
        <f>N$238*(0.6*Z$41)*('Product half-life and C flows'!L64/100)</f>
        <v>22.031777010949114</v>
      </c>
      <c r="AA284" s="91">
        <f>N$238*0.6*('Product half-life and C flows'!N64/100)</f>
        <v>14.702539191973385</v>
      </c>
      <c r="AB284" s="91">
        <f>N$238*0.6*('Product half-life and C flows'!P64/100)</f>
        <v>7.3439256703163718</v>
      </c>
      <c r="AC284" s="89">
        <f t="shared" si="88"/>
        <v>25.116225792481988</v>
      </c>
      <c r="AD284" s="17"/>
      <c r="AE284">
        <f t="shared" si="100"/>
        <v>126</v>
      </c>
      <c r="AF284" s="3">
        <f>(C$158*$AF$76)*('Product half-life and C flows'!B145/100)</f>
        <v>0.81308647090520203</v>
      </c>
      <c r="AG284" s="3">
        <f t="shared" si="83"/>
        <v>14.792445061549028</v>
      </c>
      <c r="AH284" s="3" t="e">
        <f>#REF!</f>
        <v>#REF!</v>
      </c>
      <c r="AI284" s="3" t="e">
        <f t="shared" si="76"/>
        <v>#REF!</v>
      </c>
      <c r="AJ284" s="113">
        <f t="shared" si="101"/>
        <v>159.97360383685276</v>
      </c>
      <c r="AK284" s="124">
        <f t="shared" si="106"/>
        <v>2.1669051194736171</v>
      </c>
      <c r="AL284" s="124">
        <f t="shared" si="107"/>
        <v>64.518035837226023</v>
      </c>
      <c r="AM284" s="124">
        <f t="shared" si="108"/>
        <v>49.501791410877075</v>
      </c>
      <c r="AN284" s="124">
        <f t="shared" si="109"/>
        <v>26.400955419134434</v>
      </c>
      <c r="AO284" s="124">
        <f t="shared" si="110"/>
        <v>27.551191000722937</v>
      </c>
      <c r="AP284" s="124">
        <f t="shared" si="111"/>
        <v>36.671164319170842</v>
      </c>
      <c r="AQ284" s="124">
        <f t="shared" si="112"/>
        <v>18.31726489469072</v>
      </c>
      <c r="AR284" s="124">
        <f t="shared" si="113"/>
        <v>36.155053772029632</v>
      </c>
      <c r="AS284" s="3">
        <f t="shared" si="77"/>
        <v>261.28236177332525</v>
      </c>
    </row>
    <row r="285" spans="1:45" ht="14">
      <c r="A285">
        <f t="shared" si="103"/>
        <v>127</v>
      </c>
      <c r="B285" s="19">
        <f t="shared" si="103"/>
        <v>207</v>
      </c>
      <c r="C285" s="26">
        <f t="shared" si="96"/>
        <v>160.13057700923375</v>
      </c>
      <c r="D285" s="26"/>
      <c r="E285" s="26"/>
      <c r="F285" s="26"/>
      <c r="G285" s="26"/>
      <c r="H285" s="26"/>
      <c r="I285" s="126"/>
      <c r="J285" s="26"/>
      <c r="K285" s="26"/>
      <c r="L285" s="26"/>
      <c r="M285" s="83">
        <f>C$158*(0.4*D$14)*('Product half-life and C flows'!B146/100)</f>
        <v>0.10471863477395059</v>
      </c>
      <c r="N285" s="85"/>
      <c r="O285" s="85">
        <f t="shared" si="104"/>
        <v>23.063658997738134</v>
      </c>
      <c r="P285" s="85">
        <f t="shared" si="104"/>
        <v>12.300618132127003</v>
      </c>
      <c r="Q285" s="83">
        <f>C$158*(0.6*C$15)*('Product half-life and C flows'!L146/100)</f>
        <v>5.4350483832829743</v>
      </c>
      <c r="R285" s="85">
        <f>C$158*0.6*('Product half-life and C flows'!N146/100)</f>
        <v>22.024925108595681</v>
      </c>
      <c r="S285" s="85">
        <f>C$158*0.6*('Product half-life and C flows'!P146/100)</f>
        <v>11.001461093204631</v>
      </c>
      <c r="T285" s="85">
        <f t="shared" si="86"/>
        <v>11.038827979547648</v>
      </c>
      <c r="U285" s="3"/>
      <c r="V285" s="90">
        <f>N$238*(0.4*V$40)*('Product half-life and C flows'!B65/100)</f>
        <v>1.9883737414588492</v>
      </c>
      <c r="W285" s="90">
        <f t="shared" si="102"/>
        <v>66.032685957059485</v>
      </c>
      <c r="X285" s="89">
        <f t="shared" si="105"/>
        <v>26.438132413138941</v>
      </c>
      <c r="Y285" s="89">
        <f t="shared" si="105"/>
        <v>14.100337287007433</v>
      </c>
      <c r="Z285" s="91">
        <f>N$238*(0.6*Z$41)*('Product half-life and C flows'!L65/100)</f>
        <v>21.695015856043241</v>
      </c>
      <c r="AA285" s="91">
        <f>N$238*0.6*('Product half-life and C flows'!N65/100)</f>
        <v>14.927271136013905</v>
      </c>
      <c r="AB285" s="91">
        <f>N$238*0.6*('Product half-life and C flows'!P65/100)</f>
        <v>7.4561793886183292</v>
      </c>
      <c r="AC285" s="89">
        <f t="shared" si="88"/>
        <v>25.116225792481988</v>
      </c>
      <c r="AD285" s="17"/>
      <c r="AE285">
        <f t="shared" si="100"/>
        <v>127</v>
      </c>
      <c r="AF285" s="3">
        <f>(C$158*$AF$76)*('Product half-life and C flows'!B146/100)</f>
        <v>0.78538976080462941</v>
      </c>
      <c r="AG285" s="3">
        <f t="shared" si="83"/>
        <v>14.357373147974057</v>
      </c>
      <c r="AH285" s="3" t="e">
        <f>#REF!</f>
        <v>#REF!</v>
      </c>
      <c r="AI285" s="3" t="e">
        <f t="shared" si="76"/>
        <v>#REF!</v>
      </c>
      <c r="AJ285" s="113">
        <f t="shared" si="101"/>
        <v>160.13057700923375</v>
      </c>
      <c r="AK285" s="124">
        <f t="shared" si="106"/>
        <v>2.0930923762327995</v>
      </c>
      <c r="AL285" s="124">
        <f t="shared" si="107"/>
        <v>66.032685957059485</v>
      </c>
      <c r="AM285" s="124">
        <f t="shared" si="108"/>
        <v>49.501791410877075</v>
      </c>
      <c r="AN285" s="124">
        <f t="shared" si="109"/>
        <v>26.400955419134434</v>
      </c>
      <c r="AO285" s="124">
        <f t="shared" si="110"/>
        <v>27.130064239326217</v>
      </c>
      <c r="AP285" s="124">
        <f t="shared" si="111"/>
        <v>36.952196244609588</v>
      </c>
      <c r="AQ285" s="124">
        <f t="shared" si="112"/>
        <v>18.45764048182296</v>
      </c>
      <c r="AR285" s="124">
        <f t="shared" si="113"/>
        <v>36.155053772029632</v>
      </c>
      <c r="AS285" s="3">
        <f t="shared" si="77"/>
        <v>262.72347990109216</v>
      </c>
    </row>
    <row r="286" spans="1:45" ht="14">
      <c r="A286">
        <f t="shared" si="103"/>
        <v>128</v>
      </c>
      <c r="B286" s="19">
        <f t="shared" si="103"/>
        <v>208</v>
      </c>
      <c r="C286" s="26">
        <f t="shared" ref="C286:C317" si="114">B$8*(1-EXP(-B$9*$B286))^3</f>
        <v>160.28454152791318</v>
      </c>
      <c r="D286" s="26"/>
      <c r="E286" s="26"/>
      <c r="F286" s="26"/>
      <c r="G286" s="26"/>
      <c r="H286" s="26"/>
      <c r="I286" s="126"/>
      <c r="J286" s="26"/>
      <c r="K286" s="26"/>
      <c r="L286" s="26"/>
      <c r="M286" s="83">
        <f>C$158*(0.4*D$14)*('Product half-life and C flows'!B147/100)</f>
        <v>0.10115153364357148</v>
      </c>
      <c r="N286" s="85"/>
      <c r="O286" s="85">
        <f t="shared" si="104"/>
        <v>23.063658997738134</v>
      </c>
      <c r="P286" s="85">
        <f t="shared" si="104"/>
        <v>12.300618132127003</v>
      </c>
      <c r="Q286" s="83">
        <f>C$158*(0.6*C$15)*('Product half-life and C flows'!L147/100)</f>
        <v>5.3519723259311736</v>
      </c>
      <c r="R286" s="85">
        <f>C$158*0.6*('Product half-life and C flows'!N147/100)</f>
        <v>22.080364530868447</v>
      </c>
      <c r="S286" s="85">
        <f>C$158*0.6*('Product half-life and C flows'!P147/100)</f>
        <v>11.029153112321898</v>
      </c>
      <c r="T286" s="85">
        <f t="shared" si="86"/>
        <v>11.038827979547648</v>
      </c>
      <c r="U286" s="3"/>
      <c r="V286" s="90">
        <f>N$238*(0.4*V$40)*('Product half-life and C flows'!B66/100)</f>
        <v>1.9206424323553204</v>
      </c>
      <c r="W286" s="90">
        <f t="shared" si="102"/>
        <v>67.510100252580912</v>
      </c>
      <c r="X286" s="89">
        <f t="shared" si="105"/>
        <v>26.438132413138941</v>
      </c>
      <c r="Y286" s="89">
        <f t="shared" si="105"/>
        <v>14.100337287007433</v>
      </c>
      <c r="Z286" s="91">
        <f>N$238*(0.6*Z$41)*('Product half-life and C flows'!L66/100)</f>
        <v>21.363402178592185</v>
      </c>
      <c r="AA286" s="91">
        <f>N$238*0.6*('Product half-life and C flows'!N66/100)</f>
        <v>15.148567996766241</v>
      </c>
      <c r="AB286" s="91">
        <f>N$238*0.6*('Product half-life and C flows'!P66/100)</f>
        <v>7.5667172811020151</v>
      </c>
      <c r="AC286" s="89">
        <f t="shared" si="88"/>
        <v>25.116225792481988</v>
      </c>
      <c r="AD286" s="17"/>
      <c r="AE286">
        <f t="shared" si="100"/>
        <v>128</v>
      </c>
      <c r="AF286" s="3">
        <f>(C$158*$AF$76)*('Product half-life and C flows'!B147/100)</f>
        <v>0.75863650232678592</v>
      </c>
      <c r="AG286" s="3">
        <f t="shared" si="83"/>
        <v>13.922301234399086</v>
      </c>
      <c r="AH286" s="3" t="e">
        <f>#REF!</f>
        <v>#REF!</v>
      </c>
      <c r="AI286" s="3" t="e">
        <f t="shared" si="76"/>
        <v>#REF!</v>
      </c>
      <c r="AJ286" s="113">
        <f t="shared" si="101"/>
        <v>160.28454152791318</v>
      </c>
      <c r="AK286" s="124">
        <f t="shared" si="106"/>
        <v>2.0217939659988917</v>
      </c>
      <c r="AL286" s="124">
        <f t="shared" si="107"/>
        <v>67.510100252580912</v>
      </c>
      <c r="AM286" s="124">
        <f t="shared" si="108"/>
        <v>49.501791410877075</v>
      </c>
      <c r="AN286" s="124">
        <f t="shared" si="109"/>
        <v>26.400955419134434</v>
      </c>
      <c r="AO286" s="124">
        <f t="shared" si="110"/>
        <v>26.715374504523361</v>
      </c>
      <c r="AP286" s="124">
        <f t="shared" si="111"/>
        <v>37.22893252763469</v>
      </c>
      <c r="AQ286" s="124">
        <f t="shared" si="112"/>
        <v>18.595870393423915</v>
      </c>
      <c r="AR286" s="124">
        <f t="shared" si="113"/>
        <v>36.155053772029632</v>
      </c>
      <c r="AS286" s="3">
        <f t="shared" si="77"/>
        <v>264.12987224620292</v>
      </c>
    </row>
    <row r="287" spans="1:45" ht="14">
      <c r="A287">
        <f t="shared" si="103"/>
        <v>129</v>
      </c>
      <c r="B287" s="19">
        <f t="shared" si="103"/>
        <v>209</v>
      </c>
      <c r="C287" s="26">
        <f t="shared" si="114"/>
        <v>160.43555309260927</v>
      </c>
      <c r="D287" s="26"/>
      <c r="E287" s="26"/>
      <c r="F287" s="26"/>
      <c r="G287" s="26"/>
      <c r="H287" s="26"/>
      <c r="I287" s="126"/>
      <c r="J287" s="26"/>
      <c r="K287" s="26"/>
      <c r="L287" s="26"/>
      <c r="M287" s="83">
        <f>C$158*(0.4*D$14)*('Product half-life and C flows'!B148/100)</f>
        <v>9.7705941072789376E-2</v>
      </c>
      <c r="N287" s="85"/>
      <c r="O287" s="85">
        <f t="shared" si="104"/>
        <v>23.063658997738134</v>
      </c>
      <c r="P287" s="85">
        <f t="shared" si="104"/>
        <v>12.300618132127003</v>
      </c>
      <c r="Q287" s="83">
        <f>C$158*(0.6*C$15)*('Product half-life and C flows'!L148/100)</f>
        <v>5.2701661066412298</v>
      </c>
      <c r="R287" s="85">
        <f>C$158*0.6*('Product half-life and C flows'!N148/100)</f>
        <v>22.134956547874605</v>
      </c>
      <c r="S287" s="85">
        <f>C$158*0.6*('Product half-life and C flows'!P148/100)</f>
        <v>11.056421852085213</v>
      </c>
      <c r="T287" s="85">
        <f t="shared" si="86"/>
        <v>11.038827979547648</v>
      </c>
      <c r="U287" s="3"/>
      <c r="V287" s="90">
        <f>N$238*(0.4*V$40)*('Product half-life and C flows'!B67/100)</f>
        <v>1.8552183002865841</v>
      </c>
      <c r="W287" s="90">
        <f t="shared" si="102"/>
        <v>68.950186942718261</v>
      </c>
      <c r="X287" s="89">
        <f t="shared" si="105"/>
        <v>26.438132413138941</v>
      </c>
      <c r="Y287" s="89">
        <f t="shared" si="105"/>
        <v>14.100337287007433</v>
      </c>
      <c r="Z287" s="91">
        <f>N$238*(0.6*Z$41)*('Product half-life and C flows'!L67/100)</f>
        <v>21.036857298131295</v>
      </c>
      <c r="AA287" s="91">
        <f>N$238*0.6*('Product half-life and C flows'!N67/100)</f>
        <v>15.366482280327142</v>
      </c>
      <c r="AB287" s="91">
        <f>N$238*0.6*('Product half-life and C flows'!P67/100)</f>
        <v>7.6755655745889779</v>
      </c>
      <c r="AC287" s="89">
        <f t="shared" si="88"/>
        <v>25.116225792481988</v>
      </c>
      <c r="AD287" s="17"/>
      <c r="AE287">
        <f t="shared" si="100"/>
        <v>129</v>
      </c>
      <c r="AF287" s="3">
        <f>(C$158*$AF$76)*('Product half-life and C flows'!B148/100)</f>
        <v>0.73279455804592031</v>
      </c>
      <c r="AG287" s="3">
        <f t="shared" si="83"/>
        <v>13.487229320824115</v>
      </c>
      <c r="AH287" s="3" t="e">
        <f>#REF!</f>
        <v>#REF!</v>
      </c>
      <c r="AI287" s="3" t="e">
        <f t="shared" ref="AI287:AI318" si="115">AF287+AG287+AH287</f>
        <v>#REF!</v>
      </c>
      <c r="AJ287" s="113">
        <f t="shared" si="101"/>
        <v>160.43555309260927</v>
      </c>
      <c r="AK287" s="124">
        <f t="shared" si="106"/>
        <v>1.9529242413593735</v>
      </c>
      <c r="AL287" s="124">
        <f t="shared" si="107"/>
        <v>68.950186942718261</v>
      </c>
      <c r="AM287" s="124">
        <f t="shared" si="108"/>
        <v>49.501791410877075</v>
      </c>
      <c r="AN287" s="124">
        <f t="shared" si="109"/>
        <v>26.400955419134434</v>
      </c>
      <c r="AO287" s="124">
        <f t="shared" si="110"/>
        <v>26.307023404772526</v>
      </c>
      <c r="AP287" s="124">
        <f t="shared" si="111"/>
        <v>37.501438828201749</v>
      </c>
      <c r="AQ287" s="124">
        <f t="shared" si="112"/>
        <v>18.731987426674191</v>
      </c>
      <c r="AR287" s="124">
        <f t="shared" si="113"/>
        <v>36.155053772029632</v>
      </c>
      <c r="AS287" s="3">
        <f t="shared" ref="AS287:AS318" si="116">SUM(AK287:AR287)</f>
        <v>265.50136144576726</v>
      </c>
    </row>
    <row r="288" spans="1:45" ht="14">
      <c r="A288">
        <f t="shared" ref="A288:B303" si="117">A287+1</f>
        <v>130</v>
      </c>
      <c r="B288" s="19">
        <f t="shared" si="117"/>
        <v>210</v>
      </c>
      <c r="C288" s="26">
        <f t="shared" si="114"/>
        <v>160.58366645029093</v>
      </c>
      <c r="D288" s="26"/>
      <c r="E288" s="26"/>
      <c r="F288" s="26"/>
      <c r="G288" s="26"/>
      <c r="H288" s="26"/>
      <c r="I288" s="126"/>
      <c r="J288" s="26"/>
      <c r="K288" s="26"/>
      <c r="L288" s="26"/>
      <c r="M288" s="83">
        <f>C$158*(0.4*D$14)*('Product half-life and C flows'!B149/100)</f>
        <v>9.4377718033997512E-2</v>
      </c>
      <c r="N288" s="85"/>
      <c r="O288" s="85">
        <f t="shared" ref="O288:P303" si="118">O287</f>
        <v>23.063658997738134</v>
      </c>
      <c r="P288" s="85">
        <f t="shared" si="118"/>
        <v>12.300618132127003</v>
      </c>
      <c r="Q288" s="83">
        <f>C$158*(0.6*C$15)*('Product half-life and C flows'!L149/100)</f>
        <v>5.1896103156246314</v>
      </c>
      <c r="R288" s="85">
        <f>C$158*0.6*('Product half-life and C flows'!N149/100)</f>
        <v>22.188714112413013</v>
      </c>
      <c r="S288" s="85">
        <f>C$158*0.6*('Product half-life and C flows'!P149/100)</f>
        <v>11.083273782424079</v>
      </c>
      <c r="T288" s="85">
        <f t="shared" si="86"/>
        <v>11.038827979547648</v>
      </c>
      <c r="U288" s="3"/>
      <c r="V288" s="90">
        <f>N$238*(0.4*V$40)*('Product half-life and C flows'!B68/100)</f>
        <v>1.7920227543330147</v>
      </c>
      <c r="W288" s="90">
        <f t="shared" si="102"/>
        <v>70.352960023466522</v>
      </c>
      <c r="X288" s="89">
        <f t="shared" si="105"/>
        <v>26.438132413138941</v>
      </c>
      <c r="Y288" s="89">
        <f t="shared" si="105"/>
        <v>14.100337287007433</v>
      </c>
      <c r="Z288" s="91">
        <f>N$238*(0.6*Z$41)*('Product half-life and C flows'!L68/100)</f>
        <v>20.715303736846245</v>
      </c>
      <c r="AA288" s="91">
        <f>N$238*0.6*('Product half-life and C flows'!N68/100)</f>
        <v>15.581065690224698</v>
      </c>
      <c r="AB288" s="91">
        <f>N$238*0.6*('Product half-life and C flows'!P68/100)</f>
        <v>7.7827500950173265</v>
      </c>
      <c r="AC288" s="89">
        <f t="shared" si="88"/>
        <v>25.116225792481988</v>
      </c>
      <c r="AD288" s="17"/>
      <c r="AE288">
        <f t="shared" si="100"/>
        <v>130</v>
      </c>
      <c r="AF288" s="3">
        <f>(C$158*$AF$76)*('Product half-life and C flows'!B149/100)</f>
        <v>0.70783288525498123</v>
      </c>
      <c r="AG288" s="3">
        <f t="shared" si="83"/>
        <v>13.052157407249144</v>
      </c>
      <c r="AH288" s="3" t="e">
        <f>#REF!</f>
        <v>#REF!</v>
      </c>
      <c r="AI288" s="3" t="e">
        <f t="shared" si="115"/>
        <v>#REF!</v>
      </c>
      <c r="AJ288" s="113">
        <f t="shared" si="101"/>
        <v>160.58366645029093</v>
      </c>
      <c r="AK288" s="124">
        <f t="shared" si="106"/>
        <v>1.8864004723670122</v>
      </c>
      <c r="AL288" s="124">
        <f t="shared" si="107"/>
        <v>70.352960023466522</v>
      </c>
      <c r="AM288" s="124">
        <f t="shared" si="108"/>
        <v>49.501791410877075</v>
      </c>
      <c r="AN288" s="124">
        <f t="shared" si="109"/>
        <v>26.400955419134434</v>
      </c>
      <c r="AO288" s="124">
        <f t="shared" si="110"/>
        <v>25.904914052470875</v>
      </c>
      <c r="AP288" s="124">
        <f t="shared" si="111"/>
        <v>37.769779802637714</v>
      </c>
      <c r="AQ288" s="124">
        <f t="shared" si="112"/>
        <v>18.866023877441407</v>
      </c>
      <c r="AR288" s="124">
        <f t="shared" si="113"/>
        <v>36.155053772029632</v>
      </c>
      <c r="AS288" s="3">
        <f t="shared" si="116"/>
        <v>266.8378788304247</v>
      </c>
    </row>
    <row r="289" spans="1:45" ht="14">
      <c r="A289">
        <f t="shared" si="117"/>
        <v>131</v>
      </c>
      <c r="B289" s="19">
        <f t="shared" si="117"/>
        <v>211</v>
      </c>
      <c r="C289" s="26">
        <f t="shared" si="114"/>
        <v>160.72893540825862</v>
      </c>
      <c r="D289" s="26"/>
      <c r="E289" s="26"/>
      <c r="F289" s="26"/>
      <c r="G289" s="26"/>
      <c r="H289" s="26"/>
      <c r="I289" s="126"/>
      <c r="J289" s="26"/>
      <c r="K289" s="26"/>
      <c r="L289" s="26"/>
      <c r="M289" s="83">
        <f>C$158*(0.4*D$14)*('Product half-life and C flows'!B150/100)</f>
        <v>9.1162866490063707E-2</v>
      </c>
      <c r="N289" s="85"/>
      <c r="O289" s="85">
        <f t="shared" si="118"/>
        <v>23.063658997738134</v>
      </c>
      <c r="P289" s="85">
        <f t="shared" si="118"/>
        <v>12.300618132127003</v>
      </c>
      <c r="Q289" s="83">
        <f>C$158*(0.6*C$15)*('Product half-life and C flows'!L150/100)</f>
        <v>5.1102858397762843</v>
      </c>
      <c r="R289" s="85">
        <f>C$158*0.6*('Product half-life and C flows'!N150/100)</f>
        <v>22.241649979295811</v>
      </c>
      <c r="S289" s="85">
        <f>C$158*0.6*('Product half-life and C flows'!P150/100)</f>
        <v>11.109715274373526</v>
      </c>
      <c r="T289" s="85">
        <f t="shared" si="86"/>
        <v>11.038827979547648</v>
      </c>
      <c r="U289" s="3"/>
      <c r="V289" s="90">
        <f>N$238*(0.4*V$40)*('Product half-life and C flows'!B69/100)</f>
        <v>1.7309798806702228</v>
      </c>
      <c r="W289" s="90">
        <f t="shared" si="102"/>
        <v>71.718529201659706</v>
      </c>
      <c r="X289" s="89">
        <f t="shared" ref="X289:Y304" si="119">X288</f>
        <v>26.438132413138941</v>
      </c>
      <c r="Y289" s="89">
        <f t="shared" si="119"/>
        <v>14.100337287007433</v>
      </c>
      <c r="Z289" s="91">
        <f>N$238*(0.6*Z$41)*('Product half-life and C flows'!L69/100)</f>
        <v>20.398665201190251</v>
      </c>
      <c r="AA289" s="91">
        <f>N$238*0.6*('Product half-life and C flows'!N69/100)</f>
        <v>15.792369139685798</v>
      </c>
      <c r="AB289" s="91">
        <f>N$238*0.6*('Product half-life and C flows'!P69/100)</f>
        <v>7.8882962735693267</v>
      </c>
      <c r="AC289" s="89">
        <f t="shared" si="88"/>
        <v>25.116225792481988</v>
      </c>
      <c r="AD289" s="17"/>
      <c r="AE289">
        <f t="shared" si="100"/>
        <v>131</v>
      </c>
      <c r="AF289" s="3">
        <f>(C$158*$AF$76)*('Product half-life and C flows'!B150/100)</f>
        <v>0.68372149867547771</v>
      </c>
      <c r="AG289" s="3">
        <f t="shared" si="83"/>
        <v>12.617085493674171</v>
      </c>
      <c r="AH289" s="3" t="e">
        <f>#REF!</f>
        <v>#REF!</v>
      </c>
      <c r="AI289" s="3" t="e">
        <f t="shared" si="115"/>
        <v>#REF!</v>
      </c>
      <c r="AJ289" s="113">
        <f t="shared" si="101"/>
        <v>160.72893540825862</v>
      </c>
      <c r="AK289" s="124">
        <f t="shared" si="106"/>
        <v>1.8221427471602865</v>
      </c>
      <c r="AL289" s="124">
        <f t="shared" si="107"/>
        <v>71.718529201659706</v>
      </c>
      <c r="AM289" s="124">
        <f t="shared" si="108"/>
        <v>49.501791410877075</v>
      </c>
      <c r="AN289" s="124">
        <f t="shared" si="109"/>
        <v>26.400955419134434</v>
      </c>
      <c r="AO289" s="124">
        <f t="shared" si="110"/>
        <v>25.508951040966537</v>
      </c>
      <c r="AP289" s="124">
        <f t="shared" si="111"/>
        <v>38.034019118981611</v>
      </c>
      <c r="AQ289" s="124">
        <f t="shared" si="112"/>
        <v>18.998011547942852</v>
      </c>
      <c r="AR289" s="124">
        <f t="shared" si="113"/>
        <v>36.155053772029632</v>
      </c>
      <c r="AS289" s="3">
        <f t="shared" si="116"/>
        <v>268.13945425875215</v>
      </c>
    </row>
    <row r="290" spans="1:45" ht="14">
      <c r="A290">
        <f t="shared" si="117"/>
        <v>132</v>
      </c>
      <c r="B290" s="19">
        <f t="shared" si="117"/>
        <v>212</v>
      </c>
      <c r="C290" s="26">
        <f t="shared" si="114"/>
        <v>160.87141284718754</v>
      </c>
      <c r="D290" s="26"/>
      <c r="E290" s="26"/>
      <c r="F290" s="26"/>
      <c r="G290" s="26"/>
      <c r="H290" s="26"/>
      <c r="I290" s="126"/>
      <c r="J290" s="26"/>
      <c r="K290" s="26"/>
      <c r="L290" s="26"/>
      <c r="M290" s="83">
        <f>C$158*(0.4*D$14)*('Product half-life and C flows'!B151/100)</f>
        <v>8.8057524591677983E-2</v>
      </c>
      <c r="N290" s="85"/>
      <c r="O290" s="85">
        <f t="shared" si="118"/>
        <v>23.063658997738134</v>
      </c>
      <c r="P290" s="85">
        <f t="shared" si="118"/>
        <v>12.300618132127003</v>
      </c>
      <c r="Q290" s="83">
        <f>C$158*(0.6*C$15)*('Product half-life and C flows'!L151/100)</f>
        <v>5.0321738581396263</v>
      </c>
      <c r="R290" s="85">
        <f>C$158*0.6*('Product half-life and C flows'!N151/100)</f>
        <v>22.293776708374676</v>
      </c>
      <c r="S290" s="85">
        <f>C$158*0.6*('Product half-life and C flows'!P151/100)</f>
        <v>11.135752601585747</v>
      </c>
      <c r="T290" s="85">
        <f t="shared" si="86"/>
        <v>11.038827979547648</v>
      </c>
      <c r="U290" s="3"/>
      <c r="V290" s="90">
        <f>N$238*(0.4*V$40)*('Product half-life and C flows'!B70/100)</f>
        <v>1.6720163513773629</v>
      </c>
      <c r="W290" s="90">
        <f t="shared" si="102"/>
        <v>73.047090459435708</v>
      </c>
      <c r="X290" s="89">
        <f t="shared" si="119"/>
        <v>26.438132413138941</v>
      </c>
      <c r="Y290" s="89">
        <f t="shared" si="119"/>
        <v>14.100337287007433</v>
      </c>
      <c r="Z290" s="91">
        <f>N$238*(0.6*Z$41)*('Product half-life and C flows'!L70/100)</f>
        <v>20.086866563782241</v>
      </c>
      <c r="AA290" s="91">
        <f>N$238*0.6*('Product half-life and C flows'!N70/100)</f>
        <v>16.000442763716077</v>
      </c>
      <c r="AB290" s="91">
        <f>N$238*0.6*('Product half-life and C flows'!P70/100)</f>
        <v>7.9922291527053302</v>
      </c>
      <c r="AC290" s="89">
        <f t="shared" si="88"/>
        <v>25.116225792481988</v>
      </c>
      <c r="AD290" s="17"/>
      <c r="AE290">
        <f t="shared" si="100"/>
        <v>132</v>
      </c>
      <c r="AF290" s="3">
        <f>(C$158*$AF$76)*('Product half-life and C flows'!B151/100)</f>
        <v>0.6604314344375849</v>
      </c>
      <c r="AG290" s="3">
        <f t="shared" si="83"/>
        <v>12.1820135800992</v>
      </c>
      <c r="AH290" s="3" t="e">
        <f>#REF!</f>
        <v>#REF!</v>
      </c>
      <c r="AI290" s="3" t="e">
        <f t="shared" si="115"/>
        <v>#REF!</v>
      </c>
      <c r="AJ290" s="113">
        <f t="shared" si="101"/>
        <v>160.87141284718754</v>
      </c>
      <c r="AK290" s="124">
        <f t="shared" si="106"/>
        <v>1.7600738759690409</v>
      </c>
      <c r="AL290" s="124">
        <f t="shared" si="107"/>
        <v>73.047090459435708</v>
      </c>
      <c r="AM290" s="124">
        <f t="shared" si="108"/>
        <v>49.501791410877075</v>
      </c>
      <c r="AN290" s="124">
        <f t="shared" si="109"/>
        <v>26.400955419134434</v>
      </c>
      <c r="AO290" s="124">
        <f t="shared" si="110"/>
        <v>25.119040421921866</v>
      </c>
      <c r="AP290" s="124">
        <f t="shared" si="111"/>
        <v>38.294219472090752</v>
      </c>
      <c r="AQ290" s="124">
        <f t="shared" si="112"/>
        <v>19.127981754291078</v>
      </c>
      <c r="AR290" s="124">
        <f t="shared" si="113"/>
        <v>36.155053772029632</v>
      </c>
      <c r="AS290" s="3">
        <f t="shared" si="116"/>
        <v>269.4062065857496</v>
      </c>
    </row>
    <row r="291" spans="1:45" ht="14">
      <c r="A291">
        <f t="shared" si="117"/>
        <v>133</v>
      </c>
      <c r="B291" s="19">
        <f t="shared" si="117"/>
        <v>213</v>
      </c>
      <c r="C291" s="26">
        <f t="shared" si="114"/>
        <v>161.0111507341245</v>
      </c>
      <c r="D291" s="26"/>
      <c r="E291" s="26"/>
      <c r="F291" s="26"/>
      <c r="G291" s="26"/>
      <c r="H291" s="26"/>
      <c r="I291" s="126"/>
      <c r="J291" s="26"/>
      <c r="K291" s="26"/>
      <c r="L291" s="26"/>
      <c r="M291" s="83">
        <f>C$158*(0.4*D$14)*('Product half-life and C flows'!B152/100)</f>
        <v>8.5057962038294715E-2</v>
      </c>
      <c r="N291" s="85"/>
      <c r="O291" s="85">
        <f t="shared" si="118"/>
        <v>23.063658997738134</v>
      </c>
      <c r="P291" s="85">
        <f t="shared" si="118"/>
        <v>12.300618132127003</v>
      </c>
      <c r="Q291" s="83">
        <f>C$158*(0.6*C$15)*('Product half-life and C flows'!L152/100)</f>
        <v>4.955255837441066</v>
      </c>
      <c r="R291" s="85">
        <f>C$158*0.6*('Product half-life and C flows'!N152/100)</f>
        <v>22.345106667520849</v>
      </c>
      <c r="S291" s="85">
        <f>C$158*0.6*('Product half-life and C flows'!P152/100)</f>
        <v>11.1613919418186</v>
      </c>
      <c r="T291" s="85">
        <f t="shared" si="86"/>
        <v>11.038827979547648</v>
      </c>
      <c r="U291" s="3"/>
      <c r="V291" s="90">
        <f>N$238*(0.4*V$40)*('Product half-life and C flows'!B71/100)</f>
        <v>1.6150613363517636</v>
      </c>
      <c r="W291" s="90">
        <f t="shared" si="102"/>
        <v>74.338917231292029</v>
      </c>
      <c r="X291" s="89">
        <f t="shared" si="119"/>
        <v>26.438132413138941</v>
      </c>
      <c r="Y291" s="89">
        <f t="shared" si="119"/>
        <v>14.100337287007433</v>
      </c>
      <c r="Z291" s="91">
        <f>N$238*(0.6*Z$41)*('Product half-life and C flows'!L71/100)</f>
        <v>19.779833845581713</v>
      </c>
      <c r="AA291" s="91">
        <f>N$238*0.6*('Product half-life and C flows'!N71/100)</f>
        <v>16.205335930995226</v>
      </c>
      <c r="AB291" s="91">
        <f>N$238*0.6*('Product half-life and C flows'!P71/100)</f>
        <v>8.0945733921055059</v>
      </c>
      <c r="AC291" s="89">
        <f t="shared" si="88"/>
        <v>25.116225792481988</v>
      </c>
      <c r="AD291" s="17"/>
      <c r="AE291">
        <f t="shared" si="100"/>
        <v>133</v>
      </c>
      <c r="AF291" s="3">
        <f>(C$158*$AF$76)*('Product half-life and C flows'!B152/100)</f>
        <v>0.63793471528721024</v>
      </c>
      <c r="AG291" s="3">
        <f t="shared" si="83"/>
        <v>11.746941666524229</v>
      </c>
      <c r="AH291" s="3" t="e">
        <f>#REF!</f>
        <v>#REF!</v>
      </c>
      <c r="AI291" s="3" t="e">
        <f t="shared" si="115"/>
        <v>#REF!</v>
      </c>
      <c r="AJ291" s="113">
        <f t="shared" si="101"/>
        <v>161.0111507341245</v>
      </c>
      <c r="AK291" s="124">
        <f t="shared" si="106"/>
        <v>1.7001192983900584</v>
      </c>
      <c r="AL291" s="124">
        <f t="shared" si="107"/>
        <v>74.338917231292029</v>
      </c>
      <c r="AM291" s="124">
        <f t="shared" si="108"/>
        <v>49.501791410877075</v>
      </c>
      <c r="AN291" s="124">
        <f t="shared" si="109"/>
        <v>26.400955419134434</v>
      </c>
      <c r="AO291" s="124">
        <f t="shared" si="110"/>
        <v>24.735089683022778</v>
      </c>
      <c r="AP291" s="124">
        <f t="shared" si="111"/>
        <v>38.550442598516071</v>
      </c>
      <c r="AQ291" s="124">
        <f t="shared" si="112"/>
        <v>19.255965333924106</v>
      </c>
      <c r="AR291" s="124">
        <f t="shared" si="113"/>
        <v>36.155053772029632</v>
      </c>
      <c r="AS291" s="3">
        <f t="shared" si="116"/>
        <v>270.63833474718621</v>
      </c>
    </row>
    <row r="292" spans="1:45" ht="14">
      <c r="A292">
        <f t="shared" si="117"/>
        <v>134</v>
      </c>
      <c r="B292" s="19">
        <f t="shared" si="117"/>
        <v>214</v>
      </c>
      <c r="C292" s="26">
        <f t="shared" si="114"/>
        <v>161.14820013543206</v>
      </c>
      <c r="D292" s="26"/>
      <c r="E292" s="26"/>
      <c r="F292" s="26"/>
      <c r="G292" s="26"/>
      <c r="H292" s="26"/>
      <c r="I292" s="126"/>
      <c r="J292" s="26"/>
      <c r="K292" s="26"/>
      <c r="L292" s="26"/>
      <c r="M292" s="83">
        <f>C$158*(0.4*D$14)*('Product half-life and C flows'!B153/100)</f>
        <v>8.21605755970993E-2</v>
      </c>
      <c r="N292" s="85"/>
      <c r="O292" s="85">
        <f t="shared" si="118"/>
        <v>23.063658997738134</v>
      </c>
      <c r="P292" s="85">
        <f t="shared" si="118"/>
        <v>12.300618132127003</v>
      </c>
      <c r="Q292" s="83">
        <f>C$158*(0.6*C$15)*('Product half-life and C flows'!L153/100)</f>
        <v>4.8795135276926782</v>
      </c>
      <c r="R292" s="85">
        <f>C$158*0.6*('Product half-life and C flows'!N153/100)</f>
        <v>22.395652035559607</v>
      </c>
      <c r="S292" s="85">
        <f>C$158*0.6*('Product half-life and C flows'!P153/100)</f>
        <v>11.186639378401395</v>
      </c>
      <c r="T292" s="85">
        <f t="shared" si="86"/>
        <v>11.038827979547648</v>
      </c>
      <c r="U292" s="3"/>
      <c r="V292" s="90">
        <f>N$238*(0.4*V$40)*('Product half-life and C flows'!B72/100)</f>
        <v>1.5600464182240783</v>
      </c>
      <c r="W292" s="90">
        <f t="shared" si="102"/>
        <v>75.59435217302817</v>
      </c>
      <c r="X292" s="89">
        <f t="shared" si="119"/>
        <v>26.438132413138941</v>
      </c>
      <c r="Y292" s="89">
        <f t="shared" si="119"/>
        <v>14.100337287007433</v>
      </c>
      <c r="Z292" s="91">
        <f>N$238*(0.6*Z$41)*('Product half-life and C flows'!L72/100)</f>
        <v>19.477494198336096</v>
      </c>
      <c r="AA292" s="91">
        <f>N$238*0.6*('Product half-life and C flows'!N72/100)</f>
        <v>16.407097255590472</v>
      </c>
      <c r="AB292" s="91">
        <f>N$238*0.6*('Product half-life and C flows'!P72/100)</f>
        <v>8.1953532745207109</v>
      </c>
      <c r="AC292" s="89">
        <f t="shared" si="88"/>
        <v>25.116225792481988</v>
      </c>
      <c r="AD292" s="17"/>
      <c r="AE292">
        <f t="shared" si="100"/>
        <v>134</v>
      </c>
      <c r="AF292" s="3">
        <f>(C$158*$AF$76)*('Product half-life and C flows'!B153/100)</f>
        <v>0.61620431697824474</v>
      </c>
      <c r="AG292" s="3">
        <f t="shared" si="83"/>
        <v>11.311869752949258</v>
      </c>
      <c r="AH292" s="3" t="e">
        <f>#REF!</f>
        <v>#REF!</v>
      </c>
      <c r="AI292" s="3" t="e">
        <f t="shared" si="115"/>
        <v>#REF!</v>
      </c>
      <c r="AJ292" s="113">
        <f t="shared" si="101"/>
        <v>161.14820013543206</v>
      </c>
      <c r="AK292" s="124">
        <f t="shared" si="106"/>
        <v>1.6422069938211776</v>
      </c>
      <c r="AL292" s="124">
        <f t="shared" si="107"/>
        <v>75.59435217302817</v>
      </c>
      <c r="AM292" s="124">
        <f t="shared" si="108"/>
        <v>49.501791410877075</v>
      </c>
      <c r="AN292" s="124">
        <f t="shared" si="109"/>
        <v>26.400955419134434</v>
      </c>
      <c r="AO292" s="124">
        <f t="shared" si="110"/>
        <v>24.357007726028776</v>
      </c>
      <c r="AP292" s="124">
        <f t="shared" si="111"/>
        <v>38.802749291150079</v>
      </c>
      <c r="AQ292" s="124">
        <f t="shared" si="112"/>
        <v>19.381992652922108</v>
      </c>
      <c r="AR292" s="124">
        <f t="shared" si="113"/>
        <v>36.155053772029632</v>
      </c>
      <c r="AS292" s="3">
        <f t="shared" si="116"/>
        <v>271.83610943899146</v>
      </c>
    </row>
    <row r="293" spans="1:45" ht="14">
      <c r="A293">
        <f t="shared" si="117"/>
        <v>135</v>
      </c>
      <c r="B293" s="19">
        <f t="shared" si="117"/>
        <v>215</v>
      </c>
      <c r="C293" s="26">
        <f t="shared" si="114"/>
        <v>161.28261122967328</v>
      </c>
      <c r="D293" s="26"/>
      <c r="E293" s="26"/>
      <c r="F293" s="26"/>
      <c r="G293" s="26"/>
      <c r="H293" s="26"/>
      <c r="I293" s="126"/>
      <c r="J293" s="26"/>
      <c r="K293" s="26"/>
      <c r="L293" s="26"/>
      <c r="M293" s="83">
        <f>C$158*(0.4*D$14)*('Product half-life and C flows'!B154/100)</f>
        <v>7.9361884774614311E-2</v>
      </c>
      <c r="N293" s="85"/>
      <c r="O293" s="85">
        <f t="shared" si="118"/>
        <v>23.063658997738134</v>
      </c>
      <c r="P293" s="85">
        <f t="shared" si="118"/>
        <v>12.300618132127003</v>
      </c>
      <c r="Q293" s="83">
        <f>C$158*(0.6*C$15)*('Product half-life and C flows'!L154/100)</f>
        <v>4.8049289578621099</v>
      </c>
      <c r="R293" s="85">
        <f>C$158*0.6*('Product half-life and C flows'!N154/100)</f>
        <v>22.445424805159874</v>
      </c>
      <c r="S293" s="85">
        <f>C$158*0.6*('Product half-life and C flows'!P154/100)</f>
        <v>11.211500901678251</v>
      </c>
      <c r="T293" s="85">
        <f t="shared" si="86"/>
        <v>11.038827979547648</v>
      </c>
      <c r="U293" s="3"/>
      <c r="V293" s="90">
        <f>N$238*(0.4*V$40)*('Product half-life and C flows'!B73/100)</f>
        <v>1.5069055101717201</v>
      </c>
      <c r="W293" s="90">
        <f t="shared" si="102"/>
        <v>76.813799499943926</v>
      </c>
      <c r="X293" s="89">
        <f t="shared" si="119"/>
        <v>26.438132413138941</v>
      </c>
      <c r="Y293" s="89">
        <f t="shared" si="119"/>
        <v>14.100337287007433</v>
      </c>
      <c r="Z293" s="91">
        <f>N$238*(0.6*Z$41)*('Product half-life and C flows'!L73/100)</f>
        <v>19.179775887296348</v>
      </c>
      <c r="AA293" s="91">
        <f>N$238*0.6*('Product half-life and C flows'!N73/100)</f>
        <v>16.605774608490993</v>
      </c>
      <c r="AB293" s="91">
        <f>N$238*0.6*('Product half-life and C flows'!P73/100)</f>
        <v>8.2945927115339604</v>
      </c>
      <c r="AC293" s="89">
        <f t="shared" si="88"/>
        <v>25.116225792481988</v>
      </c>
      <c r="AD293" s="17"/>
      <c r="AE293">
        <f t="shared" si="100"/>
        <v>135</v>
      </c>
      <c r="AF293" s="3">
        <f>(C$158*$AF$76)*('Product half-life and C flows'!B154/100)</f>
        <v>0.59521413580960725</v>
      </c>
      <c r="AG293" s="3">
        <f t="shared" si="83"/>
        <v>10.876797839374285</v>
      </c>
      <c r="AH293" s="3" t="e">
        <f>#REF!</f>
        <v>#REF!</v>
      </c>
      <c r="AI293" s="3" t="e">
        <f t="shared" si="115"/>
        <v>#REF!</v>
      </c>
      <c r="AJ293" s="113">
        <f t="shared" si="101"/>
        <v>161.28261122967328</v>
      </c>
      <c r="AK293" s="124">
        <f t="shared" si="106"/>
        <v>1.5862673949463344</v>
      </c>
      <c r="AL293" s="124">
        <f t="shared" si="107"/>
        <v>76.813799499943926</v>
      </c>
      <c r="AM293" s="124">
        <f t="shared" si="108"/>
        <v>49.501791410877075</v>
      </c>
      <c r="AN293" s="124">
        <f t="shared" si="109"/>
        <v>26.400955419134434</v>
      </c>
      <c r="AO293" s="124">
        <f t="shared" si="110"/>
        <v>23.984704845158458</v>
      </c>
      <c r="AP293" s="124">
        <f t="shared" si="111"/>
        <v>39.051199413650863</v>
      </c>
      <c r="AQ293" s="124">
        <f t="shared" si="112"/>
        <v>19.506093613212212</v>
      </c>
      <c r="AR293" s="124">
        <f t="shared" si="113"/>
        <v>36.155053772029632</v>
      </c>
      <c r="AS293" s="3">
        <f t="shared" si="116"/>
        <v>272.99986536895295</v>
      </c>
    </row>
    <row r="294" spans="1:45" ht="14">
      <c r="A294">
        <f t="shared" si="117"/>
        <v>136</v>
      </c>
      <c r="B294" s="19">
        <f t="shared" si="117"/>
        <v>216</v>
      </c>
      <c r="C294" s="26">
        <f t="shared" si="114"/>
        <v>161.41443332043016</v>
      </c>
      <c r="D294" s="26"/>
      <c r="E294" s="26"/>
      <c r="F294" s="26"/>
      <c r="G294" s="26"/>
      <c r="H294" s="26"/>
      <c r="I294" s="126"/>
      <c r="J294" s="26"/>
      <c r="K294" s="26"/>
      <c r="L294" s="26"/>
      <c r="M294" s="83">
        <f>C$158*(0.4*D$14)*('Product half-life and C flows'!B155/100)</f>
        <v>7.665852763574757E-2</v>
      </c>
      <c r="N294" s="85"/>
      <c r="O294" s="85">
        <f t="shared" si="118"/>
        <v>23.063658997738134</v>
      </c>
      <c r="P294" s="85">
        <f t="shared" si="118"/>
        <v>12.300618132127003</v>
      </c>
      <c r="Q294" s="83">
        <f>C$158*(0.6*C$15)*('Product half-life and C flows'!L155/100)</f>
        <v>4.731484431608683</v>
      </c>
      <c r="R294" s="85">
        <f>C$158*0.6*('Product half-life and C flows'!N155/100)</f>
        <v>22.49443678567966</v>
      </c>
      <c r="S294" s="85">
        <f>C$158*0.6*('Product half-life and C flows'!P155/100)</f>
        <v>11.235982410429393</v>
      </c>
      <c r="T294" s="85">
        <f t="shared" si="86"/>
        <v>11.038827979547648</v>
      </c>
      <c r="U294" s="3"/>
      <c r="V294" s="90">
        <f>N$238*(0.4*V$40)*('Product half-life and C flows'!B74/100)</f>
        <v>1.4555747765318927</v>
      </c>
      <c r="W294" s="90">
        <f t="shared" si="102"/>
        <v>77.997717870301713</v>
      </c>
      <c r="X294" s="89">
        <f t="shared" si="119"/>
        <v>26.438132413138941</v>
      </c>
      <c r="Y294" s="89">
        <f t="shared" si="119"/>
        <v>14.100337287007433</v>
      </c>
      <c r="Z294" s="91">
        <f>N$238*(0.6*Z$41)*('Product half-life and C flows'!L74/100)</f>
        <v>18.886608274196782</v>
      </c>
      <c r="AA294" s="91">
        <f>N$238*0.6*('Product half-life and C flows'!N74/100)</f>
        <v>16.801415128966106</v>
      </c>
      <c r="AB294" s="91">
        <f>N$238*0.6*('Product half-life and C flows'!P74/100)</f>
        <v>8.3923152492338158</v>
      </c>
      <c r="AC294" s="89">
        <f t="shared" si="88"/>
        <v>25.116225792481988</v>
      </c>
      <c r="AD294" s="17"/>
      <c r="AE294">
        <f t="shared" si="100"/>
        <v>136</v>
      </c>
      <c r="AF294" s="3">
        <f>(C$158*$AF$76)*('Product half-life and C flows'!B155/100)</f>
        <v>0.57493895726810673</v>
      </c>
      <c r="AG294" s="3">
        <f t="shared" si="83"/>
        <v>10.441725925799314</v>
      </c>
      <c r="AH294" s="3" t="e">
        <f>#REF!</f>
        <v>#REF!</v>
      </c>
      <c r="AI294" s="3" t="e">
        <f t="shared" si="115"/>
        <v>#REF!</v>
      </c>
      <c r="AJ294" s="113">
        <f t="shared" si="101"/>
        <v>161.41443332043016</v>
      </c>
      <c r="AK294" s="124">
        <f t="shared" ref="AK294:AK318" si="120">D294+M294+V294</f>
        <v>1.5322333041676404</v>
      </c>
      <c r="AL294" s="124">
        <f t="shared" ref="AL294:AL318" si="121">E294+N294+W294</f>
        <v>77.997717870301713</v>
      </c>
      <c r="AM294" s="124">
        <f t="shared" ref="AM294:AM318" si="122">F294+O294+X294</f>
        <v>49.501791410877075</v>
      </c>
      <c r="AN294" s="124">
        <f t="shared" ref="AN294:AN318" si="123">G294+P294+Y294</f>
        <v>26.400955419134434</v>
      </c>
      <c r="AO294" s="124">
        <f t="shared" ref="AO294:AO318" si="124">H294+Q294+Z294</f>
        <v>23.618092705805466</v>
      </c>
      <c r="AP294" s="124">
        <f t="shared" ref="AP294:AP318" si="125">I294+R294+AA294</f>
        <v>39.295851914645766</v>
      </c>
      <c r="AQ294" s="124">
        <f t="shared" ref="AQ294:AQ318" si="126">J294+S294+AB294</f>
        <v>19.628297659663211</v>
      </c>
      <c r="AR294" s="124">
        <f t="shared" ref="AR294:AR318" si="127">K294+T294+AC294</f>
        <v>36.155053772029632</v>
      </c>
      <c r="AS294" s="3">
        <f t="shared" si="116"/>
        <v>274.12999405662492</v>
      </c>
    </row>
    <row r="295" spans="1:45" ht="14">
      <c r="A295">
        <f t="shared" si="117"/>
        <v>137</v>
      </c>
      <c r="B295" s="19">
        <f t="shared" si="117"/>
        <v>217</v>
      </c>
      <c r="C295" s="26">
        <f t="shared" si="114"/>
        <v>161.54371484905107</v>
      </c>
      <c r="D295" s="26"/>
      <c r="E295" s="26"/>
      <c r="F295" s="26"/>
      <c r="G295" s="26"/>
      <c r="H295" s="26"/>
      <c r="I295" s="126"/>
      <c r="J295" s="26"/>
      <c r="K295" s="26"/>
      <c r="L295" s="26"/>
      <c r="M295" s="83">
        <f>C$158*(0.4*D$14)*('Product half-life and C flows'!B156/100)</f>
        <v>7.4047256765257863E-2</v>
      </c>
      <c r="N295" s="85"/>
      <c r="O295" s="85">
        <f t="shared" si="118"/>
        <v>23.063658997738134</v>
      </c>
      <c r="P295" s="85">
        <f t="shared" si="118"/>
        <v>12.300618132127003</v>
      </c>
      <c r="Q295" s="83">
        <f>C$158*(0.6*C$15)*('Product half-life and C flows'!L156/100)</f>
        <v>4.6591625230846523</v>
      </c>
      <c r="R295" s="85">
        <f>C$158*0.6*('Product half-life and C flows'!N156/100)</f>
        <v>22.542699605968032</v>
      </c>
      <c r="S295" s="85">
        <f>C$158*0.6*('Product half-life and C flows'!P156/100)</f>
        <v>11.260089713270736</v>
      </c>
      <c r="T295" s="85">
        <f t="shared" si="86"/>
        <v>11.038827979547648</v>
      </c>
      <c r="U295" s="3"/>
      <c r="V295" s="90">
        <f>N$238*(0.4*V$40)*('Product half-life and C flows'!B75/100)</f>
        <v>1.4059925561188193</v>
      </c>
      <c r="W295" s="90">
        <f t="shared" si="102"/>
        <v>79.146613789176996</v>
      </c>
      <c r="X295" s="89">
        <f t="shared" si="119"/>
        <v>26.438132413138941</v>
      </c>
      <c r="Y295" s="89">
        <f t="shared" si="119"/>
        <v>14.100337287007433</v>
      </c>
      <c r="Z295" s="91">
        <f>N$238*(0.6*Z$41)*('Product half-life and C flows'!L75/100)</f>
        <v>18.597921800495072</v>
      </c>
      <c r="AA295" s="91">
        <f>N$238*0.6*('Product half-life and C flows'!N75/100)</f>
        <v>16.994065235749712</v>
      </c>
      <c r="AB295" s="91">
        <f>N$238*0.6*('Product half-life and C flows'!P75/100)</f>
        <v>8.4885440738010516</v>
      </c>
      <c r="AC295" s="89">
        <f t="shared" si="88"/>
        <v>25.116225792481988</v>
      </c>
      <c r="AD295" s="17"/>
      <c r="AE295">
        <f t="shared" si="100"/>
        <v>137</v>
      </c>
      <c r="AF295" s="3">
        <f>(C$158*$AF$76)*('Product half-life and C flows'!B156/100)</f>
        <v>0.55535442573943394</v>
      </c>
      <c r="AG295" s="3">
        <f t="shared" si="83"/>
        <v>10.006654012224342</v>
      </c>
      <c r="AH295" s="3" t="e">
        <f>#REF!</f>
        <v>#REF!</v>
      </c>
      <c r="AI295" s="3" t="e">
        <f t="shared" si="115"/>
        <v>#REF!</v>
      </c>
      <c r="AJ295" s="113">
        <f t="shared" si="101"/>
        <v>161.54371484905107</v>
      </c>
      <c r="AK295" s="124">
        <f t="shared" si="120"/>
        <v>1.4800398128840773</v>
      </c>
      <c r="AL295" s="124">
        <f t="shared" si="121"/>
        <v>79.146613789176996</v>
      </c>
      <c r="AM295" s="124">
        <f t="shared" si="122"/>
        <v>49.501791410877075</v>
      </c>
      <c r="AN295" s="124">
        <f t="shared" si="123"/>
        <v>26.400955419134434</v>
      </c>
      <c r="AO295" s="124">
        <f t="shared" si="124"/>
        <v>23.257084323579726</v>
      </c>
      <c r="AP295" s="124">
        <f t="shared" si="125"/>
        <v>39.536764841717741</v>
      </c>
      <c r="AQ295" s="124">
        <f t="shared" si="126"/>
        <v>19.748633787071789</v>
      </c>
      <c r="AR295" s="124">
        <f t="shared" si="127"/>
        <v>36.155053772029632</v>
      </c>
      <c r="AS295" s="3">
        <f t="shared" si="116"/>
        <v>275.22693715647148</v>
      </c>
    </row>
    <row r="296" spans="1:45" ht="14">
      <c r="A296">
        <f t="shared" si="117"/>
        <v>138</v>
      </c>
      <c r="B296" s="19">
        <f t="shared" si="117"/>
        <v>218</v>
      </c>
      <c r="C296" s="26">
        <f t="shared" si="114"/>
        <v>161.67050340732089</v>
      </c>
      <c r="D296" s="26"/>
      <c r="E296" s="26"/>
      <c r="F296" s="26"/>
      <c r="G296" s="26"/>
      <c r="H296" s="26"/>
      <c r="I296" s="126"/>
      <c r="J296" s="26"/>
      <c r="K296" s="26"/>
      <c r="L296" s="26"/>
      <c r="M296" s="83">
        <f>C$158*(0.4*D$14)*('Product half-life and C flows'!B157/100)</f>
        <v>7.1524935366788597E-2</v>
      </c>
      <c r="N296" s="85"/>
      <c r="O296" s="85">
        <f t="shared" si="118"/>
        <v>23.063658997738134</v>
      </c>
      <c r="P296" s="85">
        <f t="shared" si="118"/>
        <v>12.300618132127003</v>
      </c>
      <c r="Q296" s="83">
        <f>C$158*(0.6*C$15)*('Product half-life and C flows'!L157/100)</f>
        <v>4.5879460728006629</v>
      </c>
      <c r="R296" s="85">
        <f>C$158*0.6*('Product half-life and C flows'!N157/100)</f>
        <v>22.590224717124215</v>
      </c>
      <c r="S296" s="85">
        <f>C$158*0.6*('Product half-life and C flows'!P157/100)</f>
        <v>11.283828530032066</v>
      </c>
      <c r="T296" s="85">
        <f t="shared" si="86"/>
        <v>11.038827979547648</v>
      </c>
      <c r="U296" s="3"/>
      <c r="V296" s="90">
        <f>N$238*(0.4*V$40)*('Product half-life and C flows'!B76/100)</f>
        <v>1.358099288153072</v>
      </c>
      <c r="W296" s="90">
        <f t="shared" si="102"/>
        <v>80.261035507330135</v>
      </c>
      <c r="X296" s="89">
        <f t="shared" si="119"/>
        <v>26.438132413138941</v>
      </c>
      <c r="Y296" s="89">
        <f t="shared" si="119"/>
        <v>14.100337287007433</v>
      </c>
      <c r="Z296" s="91">
        <f>N$238*(0.6*Z$41)*('Product half-life and C flows'!L76/100)</f>
        <v>18.313647970868377</v>
      </c>
      <c r="AA296" s="91">
        <f>N$238*0.6*('Product half-life and C flows'!N76/100)</f>
        <v>17.183770638053925</v>
      </c>
      <c r="AB296" s="91">
        <f>N$238*0.6*('Product half-life and C flows'!P76/100)</f>
        <v>8.5833020170099505</v>
      </c>
      <c r="AC296" s="89">
        <f t="shared" si="88"/>
        <v>25.116225792481988</v>
      </c>
      <c r="AD296" s="17"/>
      <c r="AE296">
        <f t="shared" si="100"/>
        <v>138</v>
      </c>
      <c r="AF296" s="3">
        <f>(C$158*$AF$76)*('Product half-life and C flows'!B157/100)</f>
        <v>0.53643701525091436</v>
      </c>
      <c r="AG296" s="3">
        <f t="shared" si="83"/>
        <v>9.5715820986493725</v>
      </c>
      <c r="AH296" s="3" t="e">
        <f>#REF!</f>
        <v>#REF!</v>
      </c>
      <c r="AI296" s="3" t="e">
        <f t="shared" si="115"/>
        <v>#REF!</v>
      </c>
      <c r="AJ296" s="113">
        <f t="shared" si="101"/>
        <v>161.67050340732089</v>
      </c>
      <c r="AK296" s="124">
        <f t="shared" si="120"/>
        <v>1.4296242235198606</v>
      </c>
      <c r="AL296" s="124">
        <f t="shared" si="121"/>
        <v>80.261035507330135</v>
      </c>
      <c r="AM296" s="124">
        <f t="shared" si="122"/>
        <v>49.501791410877075</v>
      </c>
      <c r="AN296" s="124">
        <f t="shared" si="123"/>
        <v>26.400955419134434</v>
      </c>
      <c r="AO296" s="124">
        <f t="shared" si="124"/>
        <v>22.901594043669039</v>
      </c>
      <c r="AP296" s="124">
        <f t="shared" si="125"/>
        <v>39.773995355178144</v>
      </c>
      <c r="AQ296" s="124">
        <f t="shared" si="126"/>
        <v>19.867130547042017</v>
      </c>
      <c r="AR296" s="124">
        <f t="shared" si="127"/>
        <v>36.155053772029632</v>
      </c>
      <c r="AS296" s="3">
        <f t="shared" si="116"/>
        <v>276.29118027878036</v>
      </c>
    </row>
    <row r="297" spans="1:45" ht="14">
      <c r="A297">
        <f t="shared" si="117"/>
        <v>139</v>
      </c>
      <c r="B297" s="19">
        <f t="shared" si="117"/>
        <v>219</v>
      </c>
      <c r="C297" s="26">
        <f t="shared" si="114"/>
        <v>161.79484575004849</v>
      </c>
      <c r="D297" s="26"/>
      <c r="E297" s="26"/>
      <c r="F297" s="26"/>
      <c r="G297" s="26"/>
      <c r="H297" s="26"/>
      <c r="I297" s="126"/>
      <c r="J297" s="26"/>
      <c r="K297" s="26"/>
      <c r="L297" s="26"/>
      <c r="M297" s="83">
        <f>C$158*(0.4*D$14)*('Product half-life and C flows'!B158/100)</f>
        <v>6.9088533494782584E-2</v>
      </c>
      <c r="N297" s="85"/>
      <c r="O297" s="85">
        <f t="shared" si="118"/>
        <v>23.063658997738134</v>
      </c>
      <c r="P297" s="85">
        <f t="shared" si="118"/>
        <v>12.300618132127003</v>
      </c>
      <c r="Q297" s="83">
        <f>C$158*(0.6*C$15)*('Product half-life and C flows'!L158/100)</f>
        <v>4.5178181835543993</v>
      </c>
      <c r="R297" s="85">
        <f>C$158*0.6*('Product half-life and C flows'!N158/100)</f>
        <v>22.637023395214555</v>
      </c>
      <c r="S297" s="85">
        <f>C$158*0.6*('Product half-life and C flows'!P158/100)</f>
        <v>11.307204493114153</v>
      </c>
      <c r="T297" s="85">
        <f t="shared" si="86"/>
        <v>11.038827979547648</v>
      </c>
      <c r="U297" s="3"/>
      <c r="V297" s="90">
        <f>N$238*(0.4*V$40)*('Product half-life and C flows'!B77/100)</f>
        <v>1.3118374407140245</v>
      </c>
      <c r="W297" s="90">
        <f t="shared" si="102"/>
        <v>81.341567389573953</v>
      </c>
      <c r="X297" s="89">
        <f t="shared" si="119"/>
        <v>26.438132413138941</v>
      </c>
      <c r="Y297" s="89">
        <f t="shared" si="119"/>
        <v>14.100337287007433</v>
      </c>
      <c r="Z297" s="91">
        <f>N$238*(0.6*Z$41)*('Product half-life and C flows'!L77/100)</f>
        <v>18.033719336961802</v>
      </c>
      <c r="AA297" s="91">
        <f>N$238*0.6*('Product half-life and C flows'!N77/100)</f>
        <v>17.37057634641425</v>
      </c>
      <c r="AB297" s="91">
        <f>N$238*0.6*('Product half-life and C flows'!P77/100)</f>
        <v>8.6766115616454744</v>
      </c>
      <c r="AC297" s="89">
        <f t="shared" si="88"/>
        <v>25.116225792481988</v>
      </c>
      <c r="AD297" s="17"/>
      <c r="AE297">
        <f t="shared" si="100"/>
        <v>139</v>
      </c>
      <c r="AF297" s="3">
        <f>(C$158*$AF$76)*('Product half-life and C flows'!B158/100)</f>
        <v>0.51816400121086936</v>
      </c>
      <c r="AG297" s="3">
        <f t="shared" si="83"/>
        <v>9.1365101850743997</v>
      </c>
      <c r="AH297" s="3" t="e">
        <f>#REF!</f>
        <v>#REF!</v>
      </c>
      <c r="AI297" s="3" t="e">
        <f t="shared" si="115"/>
        <v>#REF!</v>
      </c>
      <c r="AJ297" s="113">
        <f t="shared" si="101"/>
        <v>161.79484575004849</v>
      </c>
      <c r="AK297" s="124">
        <f t="shared" si="120"/>
        <v>1.3809259742088071</v>
      </c>
      <c r="AL297" s="124">
        <f t="shared" si="121"/>
        <v>81.341567389573953</v>
      </c>
      <c r="AM297" s="124">
        <f t="shared" si="122"/>
        <v>49.501791410877075</v>
      </c>
      <c r="AN297" s="124">
        <f t="shared" si="123"/>
        <v>26.400955419134434</v>
      </c>
      <c r="AO297" s="124">
        <f t="shared" si="124"/>
        <v>22.551537520516202</v>
      </c>
      <c r="AP297" s="124">
        <f t="shared" si="125"/>
        <v>40.007599741628809</v>
      </c>
      <c r="AQ297" s="124">
        <f t="shared" si="126"/>
        <v>19.983816054759629</v>
      </c>
      <c r="AR297" s="124">
        <f t="shared" si="127"/>
        <v>36.155053772029632</v>
      </c>
      <c r="AS297" s="3">
        <f t="shared" si="116"/>
        <v>277.32324728272857</v>
      </c>
    </row>
    <row r="298" spans="1:45" ht="14">
      <c r="A298">
        <f t="shared" si="117"/>
        <v>140</v>
      </c>
      <c r="B298" s="19">
        <f t="shared" si="117"/>
        <v>220</v>
      </c>
      <c r="C298" s="26">
        <f t="shared" si="114"/>
        <v>161.91678780756789</v>
      </c>
      <c r="D298" s="26"/>
      <c r="E298" s="26"/>
      <c r="F298" s="26"/>
      <c r="G298" s="26"/>
      <c r="H298" s="26"/>
      <c r="I298" s="126"/>
      <c r="J298" s="26"/>
      <c r="K298" s="26"/>
      <c r="L298" s="26"/>
      <c r="M298" s="83">
        <f>C$158*(0.4*D$14)*('Product half-life and C flows'!B159/100)</f>
        <v>6.6735124414751532E-2</v>
      </c>
      <c r="N298" s="85"/>
      <c r="O298" s="85">
        <f t="shared" si="118"/>
        <v>23.063658997738134</v>
      </c>
      <c r="P298" s="85">
        <f t="shared" si="118"/>
        <v>12.300618132127003</v>
      </c>
      <c r="Q298" s="83">
        <f>C$158*(0.6*C$15)*('Product half-life and C flows'!L159/100)</f>
        <v>4.4487622164214518</v>
      </c>
      <c r="R298" s="85">
        <f>C$158*0.6*('Product half-life and C flows'!N159/100)</f>
        <v>22.683106743947942</v>
      </c>
      <c r="S298" s="85">
        <f>C$158*0.6*('Product half-life and C flows'!P159/100)</f>
        <v>11.330223148825137</v>
      </c>
      <c r="T298" s="85">
        <f t="shared" si="86"/>
        <v>11.038827979547648</v>
      </c>
      <c r="U298" s="3"/>
      <c r="V298" s="90">
        <f>N$238*(0.4*V$40)*('Product half-life and C flows'!B78/100)</f>
        <v>1.2671514416294689</v>
      </c>
      <c r="W298" s="90">
        <f t="shared" si="102"/>
        <v>82.388824727217184</v>
      </c>
      <c r="X298" s="89">
        <f t="shared" si="119"/>
        <v>26.438132413138941</v>
      </c>
      <c r="Y298" s="89">
        <f t="shared" si="119"/>
        <v>14.100337287007433</v>
      </c>
      <c r="Z298" s="91">
        <f>N$238*(0.6*Z$41)*('Product half-life and C flows'!L78/100)</f>
        <v>17.758069481385217</v>
      </c>
      <c r="AA298" s="91">
        <f>N$238*0.6*('Product half-life and C flows'!N78/100)</f>
        <v>17.554526683369023</v>
      </c>
      <c r="AB298" s="91">
        <f>N$238*0.6*('Product half-life and C flows'!P78/100)</f>
        <v>8.7684948468376707</v>
      </c>
      <c r="AC298" s="89">
        <f t="shared" si="88"/>
        <v>25.116225792481988</v>
      </c>
      <c r="AD298" s="17"/>
      <c r="AE298">
        <f t="shared" si="100"/>
        <v>140</v>
      </c>
      <c r="AF298" s="3">
        <f>(C$158*$AF$76)*('Product half-life and C flows'!B159/100)</f>
        <v>0.50051343311063645</v>
      </c>
      <c r="AG298" s="3">
        <f t="shared" si="83"/>
        <v>8.7014382714994287</v>
      </c>
      <c r="AH298" s="3" t="e">
        <f>#REF!</f>
        <v>#REF!</v>
      </c>
      <c r="AI298" s="3" t="e">
        <f t="shared" si="115"/>
        <v>#REF!</v>
      </c>
      <c r="AJ298" s="113">
        <f t="shared" si="101"/>
        <v>161.91678780756789</v>
      </c>
      <c r="AK298" s="124">
        <f t="shared" si="120"/>
        <v>1.3338865660442205</v>
      </c>
      <c r="AL298" s="124">
        <f t="shared" si="121"/>
        <v>82.388824727217184</v>
      </c>
      <c r="AM298" s="124">
        <f t="shared" si="122"/>
        <v>49.501791410877075</v>
      </c>
      <c r="AN298" s="124">
        <f t="shared" si="123"/>
        <v>26.400955419134434</v>
      </c>
      <c r="AO298" s="124">
        <f t="shared" si="124"/>
        <v>22.20683169780667</v>
      </c>
      <c r="AP298" s="124">
        <f t="shared" si="125"/>
        <v>40.237633427316965</v>
      </c>
      <c r="AQ298" s="124">
        <f t="shared" si="126"/>
        <v>20.09871799566281</v>
      </c>
      <c r="AR298" s="124">
        <f t="shared" si="127"/>
        <v>36.155053772029632</v>
      </c>
      <c r="AS298" s="3">
        <f t="shared" si="116"/>
        <v>278.323695016089</v>
      </c>
    </row>
    <row r="299" spans="1:45" ht="14">
      <c r="A299">
        <f t="shared" si="117"/>
        <v>141</v>
      </c>
      <c r="B299" s="19">
        <f t="shared" si="117"/>
        <v>221</v>
      </c>
      <c r="C299" s="26">
        <f t="shared" si="114"/>
        <v>162.03637469814757</v>
      </c>
      <c r="D299" s="26"/>
      <c r="E299" s="26"/>
      <c r="F299" s="26"/>
      <c r="G299" s="26"/>
      <c r="H299" s="26"/>
      <c r="I299" s="126"/>
      <c r="J299" s="26"/>
      <c r="K299" s="26"/>
      <c r="L299" s="26"/>
      <c r="M299" s="83">
        <f>C$158*(0.4*D$14)*('Product half-life and C flows'!B160/100)</f>
        <v>6.446188108752797E-2</v>
      </c>
      <c r="N299" s="85"/>
      <c r="O299" s="85">
        <f t="shared" si="118"/>
        <v>23.063658997738134</v>
      </c>
      <c r="P299" s="85">
        <f t="shared" si="118"/>
        <v>12.300618132127003</v>
      </c>
      <c r="Q299" s="83">
        <f>C$158*(0.6*C$15)*('Product half-life and C flows'!L160/100)</f>
        <v>4.380761786807482</v>
      </c>
      <c r="R299" s="85">
        <f>C$158*0.6*('Product half-life and C flows'!N160/100)</f>
        <v>22.72848569731033</v>
      </c>
      <c r="S299" s="85">
        <f>C$158*0.6*('Product half-life and C flows'!P160/100)</f>
        <v>11.352889958696458</v>
      </c>
      <c r="T299" s="85">
        <f t="shared" si="86"/>
        <v>11.038827979547648</v>
      </c>
      <c r="U299" s="3"/>
      <c r="V299" s="90">
        <f>N$238*(0.4*V$40)*('Product half-life and C flows'!B79/100)</f>
        <v>1.2239876117193953</v>
      </c>
      <c r="W299" s="90">
        <f t="shared" si="102"/>
        <v>83.403448969491279</v>
      </c>
      <c r="X299" s="89">
        <f t="shared" si="119"/>
        <v>26.438132413138941</v>
      </c>
      <c r="Y299" s="89">
        <f t="shared" si="119"/>
        <v>14.100337287007433</v>
      </c>
      <c r="Z299" s="91">
        <f>N$238*(0.6*Z$41)*('Product half-life and C flows'!L79/100)</f>
        <v>17.486633001954708</v>
      </c>
      <c r="AA299" s="91">
        <f>N$238*0.6*('Product half-life and C flows'!N79/100)</f>
        <v>17.73566529397565</v>
      </c>
      <c r="AB299" s="91">
        <f>N$238*0.6*('Product half-life and C flows'!P79/100)</f>
        <v>8.8589736733145052</v>
      </c>
      <c r="AC299" s="89">
        <f t="shared" si="88"/>
        <v>25.116225792481988</v>
      </c>
      <c r="AD299" s="17"/>
      <c r="AE299">
        <f t="shared" si="100"/>
        <v>141</v>
      </c>
      <c r="AF299" s="3">
        <f>(C$158*$AF$76)*('Product half-life and C flows'!B160/100)</f>
        <v>0.48346410815645974</v>
      </c>
      <c r="AG299" s="3">
        <f t="shared" si="83"/>
        <v>8.2663663579244577</v>
      </c>
      <c r="AH299" s="3" t="e">
        <f>#REF!</f>
        <v>#REF!</v>
      </c>
      <c r="AI299" s="3" t="e">
        <f t="shared" si="115"/>
        <v>#REF!</v>
      </c>
      <c r="AJ299" s="113">
        <f t="shared" si="101"/>
        <v>162.03637469814757</v>
      </c>
      <c r="AK299" s="124">
        <f t="shared" si="120"/>
        <v>1.2884494928069232</v>
      </c>
      <c r="AL299" s="124">
        <f t="shared" si="121"/>
        <v>83.403448969491279</v>
      </c>
      <c r="AM299" s="124">
        <f t="shared" si="122"/>
        <v>49.501791410877075</v>
      </c>
      <c r="AN299" s="124">
        <f t="shared" si="123"/>
        <v>26.400955419134434</v>
      </c>
      <c r="AO299" s="124">
        <f t="shared" si="124"/>
        <v>21.867394788762191</v>
      </c>
      <c r="AP299" s="124">
        <f t="shared" si="125"/>
        <v>40.464150991285976</v>
      </c>
      <c r="AQ299" s="124">
        <f t="shared" si="126"/>
        <v>20.211863632010964</v>
      </c>
      <c r="AR299" s="124">
        <f t="shared" si="127"/>
        <v>36.155053772029632</v>
      </c>
      <c r="AS299" s="3">
        <f t="shared" si="116"/>
        <v>279.29310847639852</v>
      </c>
    </row>
    <row r="300" spans="1:45" ht="14">
      <c r="A300">
        <f t="shared" si="117"/>
        <v>142</v>
      </c>
      <c r="B300" s="19">
        <f t="shared" si="117"/>
        <v>222</v>
      </c>
      <c r="C300" s="26">
        <f t="shared" si="114"/>
        <v>162.15365074030461</v>
      </c>
      <c r="D300" s="26"/>
      <c r="E300" s="26"/>
      <c r="F300" s="26"/>
      <c r="G300" s="26"/>
      <c r="H300" s="26"/>
      <c r="I300" s="126"/>
      <c r="J300" s="26"/>
      <c r="K300" s="26"/>
      <c r="L300" s="26"/>
      <c r="M300" s="83">
        <f>C$158*(0.4*D$14)*('Product half-life and C flows'!B161/100)</f>
        <v>6.2266072773276671E-2</v>
      </c>
      <c r="N300" s="85"/>
      <c r="O300" s="85">
        <f t="shared" si="118"/>
        <v>23.063658997738134</v>
      </c>
      <c r="P300" s="85">
        <f t="shared" si="118"/>
        <v>12.300618132127003</v>
      </c>
      <c r="Q300" s="83">
        <f>C$158*(0.6*C$15)*('Product half-life and C flows'!L161/100)</f>
        <v>4.3138007605607269</v>
      </c>
      <c r="R300" s="85">
        <f>C$158*0.6*('Product half-life and C flows'!N161/100)</f>
        <v>22.773171022158998</v>
      </c>
      <c r="S300" s="85">
        <f>C$158*0.6*('Product half-life and C flows'!P161/100)</f>
        <v>11.37521030077871</v>
      </c>
      <c r="T300" s="85">
        <f t="shared" si="86"/>
        <v>11.038827979547648</v>
      </c>
      <c r="U300" s="3"/>
      <c r="V300" s="90">
        <f>N$238*(0.4*V$40)*('Product half-life and C flows'!B80/100)</f>
        <v>1.1822941003137224</v>
      </c>
      <c r="W300" s="90">
        <f t="shared" si="102"/>
        <v>84.386103349369861</v>
      </c>
      <c r="X300" s="89">
        <f t="shared" si="119"/>
        <v>26.438132413138941</v>
      </c>
      <c r="Y300" s="89">
        <f t="shared" si="119"/>
        <v>14.100337287007433</v>
      </c>
      <c r="Z300" s="91">
        <f>N$238*(0.6*Z$41)*('Product half-life and C flows'!L80/100)</f>
        <v>17.219345496174906</v>
      </c>
      <c r="AA300" s="91">
        <f>N$238*0.6*('Product half-life and C flows'!N80/100)</f>
        <v>17.91403515616604</v>
      </c>
      <c r="AB300" s="91">
        <f>N$238*0.6*('Product half-life and C flows'!P80/100)</f>
        <v>8.9480695085744415</v>
      </c>
      <c r="AC300" s="89">
        <f t="shared" si="88"/>
        <v>25.116225792481988</v>
      </c>
      <c r="AD300" s="17"/>
      <c r="AE300">
        <f t="shared" si="100"/>
        <v>142</v>
      </c>
      <c r="AF300" s="3">
        <f>(C$158*$AF$76)*('Product half-life and C flows'!B161/100)</f>
        <v>0.46699554579957497</v>
      </c>
      <c r="AG300" s="3">
        <f t="shared" si="83"/>
        <v>7.8312944443494859</v>
      </c>
      <c r="AH300" s="3" t="e">
        <f>#REF!</f>
        <v>#REF!</v>
      </c>
      <c r="AI300" s="3" t="e">
        <f t="shared" si="115"/>
        <v>#REF!</v>
      </c>
      <c r="AJ300" s="113">
        <f t="shared" si="101"/>
        <v>162.15365074030461</v>
      </c>
      <c r="AK300" s="124">
        <f t="shared" si="120"/>
        <v>1.2445601730869991</v>
      </c>
      <c r="AL300" s="124">
        <f t="shared" si="121"/>
        <v>84.386103349369861</v>
      </c>
      <c r="AM300" s="124">
        <f t="shared" si="122"/>
        <v>49.501791410877075</v>
      </c>
      <c r="AN300" s="124">
        <f t="shared" si="123"/>
        <v>26.400955419134434</v>
      </c>
      <c r="AO300" s="124">
        <f t="shared" si="124"/>
        <v>21.533146256735634</v>
      </c>
      <c r="AP300" s="124">
        <f t="shared" si="125"/>
        <v>40.687206178325042</v>
      </c>
      <c r="AQ300" s="124">
        <f t="shared" si="126"/>
        <v>20.323279809353153</v>
      </c>
      <c r="AR300" s="124">
        <f t="shared" si="127"/>
        <v>36.155053772029632</v>
      </c>
      <c r="AS300" s="3">
        <f t="shared" si="116"/>
        <v>280.23209636891181</v>
      </c>
    </row>
    <row r="301" spans="1:45" ht="14">
      <c r="A301">
        <f t="shared" si="117"/>
        <v>143</v>
      </c>
      <c r="B301" s="19">
        <f t="shared" si="117"/>
        <v>223</v>
      </c>
      <c r="C301" s="26">
        <f t="shared" si="114"/>
        <v>162.26865946501934</v>
      </c>
      <c r="D301" s="26"/>
      <c r="E301" s="26"/>
      <c r="F301" s="26"/>
      <c r="G301" s="26"/>
      <c r="H301" s="26"/>
      <c r="I301" s="126"/>
      <c r="J301" s="26"/>
      <c r="K301" s="26"/>
      <c r="L301" s="26"/>
      <c r="M301" s="83">
        <f>C$158*(0.4*D$14)*('Product half-life and C flows'!B162/100)</f>
        <v>6.0145061751186127E-2</v>
      </c>
      <c r="N301" s="85"/>
      <c r="O301" s="85">
        <f t="shared" si="118"/>
        <v>23.063658997738134</v>
      </c>
      <c r="P301" s="85">
        <f t="shared" si="118"/>
        <v>12.300618132127003</v>
      </c>
      <c r="Q301" s="83">
        <f>C$158*(0.6*C$15)*('Product half-life and C flows'!L162/100)</f>
        <v>4.2478632501439186</v>
      </c>
      <c r="R301" s="85">
        <f>C$158*0.6*('Product half-life and C flows'!N162/100)</f>
        <v>22.817173320777147</v>
      </c>
      <c r="S301" s="85">
        <f>C$158*0.6*('Product half-life and C flows'!P162/100)</f>
        <v>11.397189470917647</v>
      </c>
      <c r="T301" s="85">
        <f t="shared" si="86"/>
        <v>11.038827979547648</v>
      </c>
      <c r="U301" s="3"/>
      <c r="V301" s="90">
        <f>N$238*(0.4*V$40)*('Product half-life and C flows'!B81/100)</f>
        <v>1.1420208229665398</v>
      </c>
      <c r="W301" s="90">
        <f t="shared" si="102"/>
        <v>85.337468879830681</v>
      </c>
      <c r="X301" s="89">
        <f t="shared" si="119"/>
        <v>26.438132413138941</v>
      </c>
      <c r="Y301" s="89">
        <f t="shared" si="119"/>
        <v>14.100337287007433</v>
      </c>
      <c r="Z301" s="91">
        <f>N$238*(0.6*Z$41)*('Product half-life and C flows'!L81/100)</f>
        <v>16.956143545958479</v>
      </c>
      <c r="AA301" s="91">
        <f>N$238*0.6*('Product half-life and C flows'!N81/100)</f>
        <v>18.089678590943798</v>
      </c>
      <c r="AB301" s="91">
        <f>N$238*0.6*('Product half-life and C flows'!P81/100)</f>
        <v>9.0358034919799159</v>
      </c>
      <c r="AC301" s="89">
        <f t="shared" si="88"/>
        <v>25.116225792481988</v>
      </c>
      <c r="AD301" s="17"/>
      <c r="AE301">
        <f t="shared" si="100"/>
        <v>143</v>
      </c>
      <c r="AF301" s="3">
        <f>(C$158*$AF$76)*('Product half-life and C flows'!B162/100)</f>
        <v>0.45108796313389593</v>
      </c>
      <c r="AG301" s="3">
        <f t="shared" si="83"/>
        <v>7.396222530774514</v>
      </c>
      <c r="AH301" s="3" t="e">
        <f>#REF!</f>
        <v>#REF!</v>
      </c>
      <c r="AI301" s="3" t="e">
        <f t="shared" si="115"/>
        <v>#REF!</v>
      </c>
      <c r="AJ301" s="113">
        <f t="shared" si="101"/>
        <v>162.26865946501934</v>
      </c>
      <c r="AK301" s="124">
        <f t="shared" si="120"/>
        <v>1.2021658847177259</v>
      </c>
      <c r="AL301" s="124">
        <f t="shared" si="121"/>
        <v>85.337468879830681</v>
      </c>
      <c r="AM301" s="124">
        <f t="shared" si="122"/>
        <v>49.501791410877075</v>
      </c>
      <c r="AN301" s="124">
        <f t="shared" si="123"/>
        <v>26.400955419134434</v>
      </c>
      <c r="AO301" s="124">
        <f t="shared" si="124"/>
        <v>21.204006796102398</v>
      </c>
      <c r="AP301" s="124">
        <f t="shared" si="125"/>
        <v>40.906851911720949</v>
      </c>
      <c r="AQ301" s="124">
        <f t="shared" si="126"/>
        <v>20.432992962897565</v>
      </c>
      <c r="AR301" s="124">
        <f t="shared" si="127"/>
        <v>36.155053772029632</v>
      </c>
      <c r="AS301" s="3">
        <f t="shared" si="116"/>
        <v>281.14128703731052</v>
      </c>
    </row>
    <row r="302" spans="1:45" ht="14">
      <c r="A302">
        <f t="shared" si="117"/>
        <v>144</v>
      </c>
      <c r="B302" s="19">
        <f t="shared" si="117"/>
        <v>224</v>
      </c>
      <c r="C302" s="26">
        <f t="shared" si="114"/>
        <v>162.38144362784706</v>
      </c>
      <c r="D302" s="26"/>
      <c r="E302" s="26"/>
      <c r="F302" s="26"/>
      <c r="G302" s="26"/>
      <c r="H302" s="26"/>
      <c r="I302" s="126"/>
      <c r="J302" s="26"/>
      <c r="K302" s="26"/>
      <c r="L302" s="26"/>
      <c r="M302" s="83">
        <f>C$158*(0.4*D$14)*('Product half-life and C flows'!B163/100)</f>
        <v>5.8096300150898894E-2</v>
      </c>
      <c r="N302" s="85"/>
      <c r="O302" s="85">
        <f t="shared" si="118"/>
        <v>23.063658997738134</v>
      </c>
      <c r="P302" s="85">
        <f t="shared" si="118"/>
        <v>12.300618132127003</v>
      </c>
      <c r="Q302" s="83">
        <f>C$158*(0.6*C$15)*('Product half-life and C flows'!L163/100)</f>
        <v>4.182933610864719</v>
      </c>
      <c r="R302" s="85">
        <f>C$158*0.6*('Product half-life and C flows'!N163/100)</f>
        <v>22.860503033389467</v>
      </c>
      <c r="S302" s="85">
        <f>C$158*0.6*('Product half-life and C flows'!P163/100)</f>
        <v>11.418832684010715</v>
      </c>
      <c r="T302" s="85">
        <f t="shared" si="86"/>
        <v>11.038827979547648</v>
      </c>
      <c r="U302" s="3"/>
      <c r="V302" s="90">
        <f>N$238*(0.4*V$40)*('Product half-life and C flows'!B82/100)</f>
        <v>1.1031194012920305</v>
      </c>
      <c r="W302" s="90">
        <f t="shared" si="102"/>
        <v>86.258240697357081</v>
      </c>
      <c r="X302" s="89">
        <f t="shared" si="119"/>
        <v>26.438132413138941</v>
      </c>
      <c r="Y302" s="89">
        <f t="shared" si="119"/>
        <v>14.100337287007433</v>
      </c>
      <c r="Z302" s="91">
        <f>N$238*(0.6*Z$41)*('Product half-life and C flows'!L82/100)</f>
        <v>16.696964702579258</v>
      </c>
      <c r="AA302" s="91">
        <f>N$238*0.6*('Product half-life and C flows'!N82/100)</f>
        <v>18.262637272425536</v>
      </c>
      <c r="AB302" s="91">
        <f>N$238*0.6*('Product half-life and C flows'!P82/100)</f>
        <v>9.1221964397729902</v>
      </c>
      <c r="AC302" s="89">
        <f t="shared" si="88"/>
        <v>25.116225792481988</v>
      </c>
      <c r="AD302" s="17"/>
      <c r="AE302">
        <f t="shared" si="100"/>
        <v>144</v>
      </c>
      <c r="AF302" s="3">
        <f>(C$158*$AF$76)*('Product half-life and C flows'!B163/100)</f>
        <v>0.43572225113174168</v>
      </c>
      <c r="AG302" s="3">
        <f t="shared" si="83"/>
        <v>6.961150617199543</v>
      </c>
      <c r="AH302" s="3" t="e">
        <f>#REF!</f>
        <v>#REF!</v>
      </c>
      <c r="AI302" s="3" t="e">
        <f t="shared" si="115"/>
        <v>#REF!</v>
      </c>
      <c r="AJ302" s="113">
        <f t="shared" si="101"/>
        <v>162.38144362784706</v>
      </c>
      <c r="AK302" s="124">
        <f t="shared" si="120"/>
        <v>1.1612157014429294</v>
      </c>
      <c r="AL302" s="124">
        <f t="shared" si="121"/>
        <v>86.258240697357081</v>
      </c>
      <c r="AM302" s="124">
        <f t="shared" si="122"/>
        <v>49.501791410877075</v>
      </c>
      <c r="AN302" s="124">
        <f t="shared" si="123"/>
        <v>26.400955419134434</v>
      </c>
      <c r="AO302" s="124">
        <f t="shared" si="124"/>
        <v>20.879898313443977</v>
      </c>
      <c r="AP302" s="124">
        <f t="shared" si="125"/>
        <v>41.123140305814999</v>
      </c>
      <c r="AQ302" s="124">
        <f t="shared" si="126"/>
        <v>20.541029123783705</v>
      </c>
      <c r="AR302" s="124">
        <f t="shared" si="127"/>
        <v>36.155053772029632</v>
      </c>
      <c r="AS302" s="3">
        <f t="shared" si="116"/>
        <v>282.02132474388384</v>
      </c>
    </row>
    <row r="303" spans="1:45" ht="14">
      <c r="A303">
        <f t="shared" si="117"/>
        <v>145</v>
      </c>
      <c r="B303" s="19">
        <f t="shared" si="117"/>
        <v>225</v>
      </c>
      <c r="C303" s="26">
        <f t="shared" si="114"/>
        <v>162.49204522092421</v>
      </c>
      <c r="D303" s="26"/>
      <c r="E303" s="26"/>
      <c r="F303" s="26"/>
      <c r="G303" s="26"/>
      <c r="H303" s="26"/>
      <c r="I303" s="126"/>
      <c r="J303" s="26"/>
      <c r="K303" s="26"/>
      <c r="L303" s="26"/>
      <c r="M303" s="83">
        <f>C$158*(0.4*D$14)*('Product half-life and C flows'!B164/100)</f>
        <v>5.6117326891875201E-2</v>
      </c>
      <c r="N303" s="85"/>
      <c r="O303" s="85">
        <f t="shared" si="118"/>
        <v>23.063658997738134</v>
      </c>
      <c r="P303" s="85">
        <f t="shared" si="118"/>
        <v>12.300618132127003</v>
      </c>
      <c r="Q303" s="83">
        <f>C$158*(0.6*C$15)*('Product half-life and C flows'!L164/100)</f>
        <v>4.1189964371637808</v>
      </c>
      <c r="R303" s="85">
        <f>C$158*0.6*('Product half-life and C flows'!N164/100)</f>
        <v>22.903170440639229</v>
      </c>
      <c r="S303" s="85">
        <f>C$158*0.6*('Product half-life and C flows'!P164/100)</f>
        <v>11.440145075244361</v>
      </c>
      <c r="T303" s="85">
        <f t="shared" si="86"/>
        <v>11.038827979547648</v>
      </c>
      <c r="U303" s="3"/>
      <c r="V303" s="90">
        <f>N$238*(0.4*V$40)*('Product half-life and C flows'!B83/100)</f>
        <v>1.0655431048497974</v>
      </c>
      <c r="W303" s="90">
        <f t="shared" ref="W303:W318" si="128">C$8*(1-EXP(-C$9*$B142))^3</f>
        <v>87.149124730306028</v>
      </c>
      <c r="X303" s="89">
        <f t="shared" si="119"/>
        <v>26.438132413138941</v>
      </c>
      <c r="Y303" s="89">
        <f t="shared" si="119"/>
        <v>14.100337287007433</v>
      </c>
      <c r="Z303" s="91">
        <f>N$238*(0.6*Z$41)*('Product half-life and C flows'!L83/100)</f>
        <v>16.441747471855251</v>
      </c>
      <c r="AA303" s="91">
        <f>N$238*0.6*('Product half-life and C flows'!N83/100)</f>
        <v>18.432952237728689</v>
      </c>
      <c r="AB303" s="91">
        <f>N$238*0.6*('Product half-life and C flows'!P83/100)</f>
        <v>9.2072688500143265</v>
      </c>
      <c r="AC303" s="89">
        <f t="shared" si="88"/>
        <v>25.116225792481988</v>
      </c>
      <c r="AD303" s="17"/>
      <c r="AE303">
        <f t="shared" si="100"/>
        <v>145</v>
      </c>
      <c r="AF303" s="3">
        <f>(C$158*$AF$76)*('Product half-life and C flows'!B164/100)</f>
        <v>0.42087995168906395</v>
      </c>
      <c r="AG303" s="3">
        <f t="shared" ref="AG303:AG318" si="129">AG$237*((AE$318-AE303)/80)</f>
        <v>6.526078703624572</v>
      </c>
      <c r="AH303" s="3" t="e">
        <f>#REF!</f>
        <v>#REF!</v>
      </c>
      <c r="AI303" s="3" t="e">
        <f t="shared" si="115"/>
        <v>#REF!</v>
      </c>
      <c r="AJ303" s="113">
        <f t="shared" si="101"/>
        <v>162.49204522092421</v>
      </c>
      <c r="AK303" s="124">
        <f t="shared" si="120"/>
        <v>1.1216604317416725</v>
      </c>
      <c r="AL303" s="124">
        <f t="shared" si="121"/>
        <v>87.149124730306028</v>
      </c>
      <c r="AM303" s="124">
        <f t="shared" si="122"/>
        <v>49.501791410877075</v>
      </c>
      <c r="AN303" s="124">
        <f t="shared" si="123"/>
        <v>26.400955419134434</v>
      </c>
      <c r="AO303" s="124">
        <f t="shared" si="124"/>
        <v>20.560743909019031</v>
      </c>
      <c r="AP303" s="124">
        <f t="shared" si="125"/>
        <v>41.336122678367914</v>
      </c>
      <c r="AQ303" s="124">
        <f t="shared" si="126"/>
        <v>20.647413925258689</v>
      </c>
      <c r="AR303" s="124">
        <f t="shared" si="127"/>
        <v>36.155053772029632</v>
      </c>
      <c r="AS303" s="3">
        <f t="shared" si="116"/>
        <v>282.8728662767345</v>
      </c>
    </row>
    <row r="304" spans="1:45" ht="14">
      <c r="A304">
        <f t="shared" ref="A304:B318" si="130">A303+1</f>
        <v>146</v>
      </c>
      <c r="B304" s="19">
        <f t="shared" si="130"/>
        <v>226</v>
      </c>
      <c r="C304" s="26">
        <f t="shared" si="114"/>
        <v>162.60050548486475</v>
      </c>
      <c r="D304" s="26"/>
      <c r="E304" s="26"/>
      <c r="F304" s="26"/>
      <c r="G304" s="26"/>
      <c r="H304" s="26"/>
      <c r="I304" s="126"/>
      <c r="J304" s="26"/>
      <c r="K304" s="26"/>
      <c r="L304" s="26"/>
      <c r="M304" s="83">
        <f>C$158*(0.4*D$14)*('Product half-life and C flows'!B165/100)</f>
        <v>5.420576472701346E-2</v>
      </c>
      <c r="N304" s="85"/>
      <c r="O304" s="85">
        <f t="shared" ref="O304:P318" si="131">O303</f>
        <v>23.063658997738134</v>
      </c>
      <c r="P304" s="85">
        <f t="shared" si="131"/>
        <v>12.300618132127003</v>
      </c>
      <c r="Q304" s="83">
        <f>C$158*(0.6*C$15)*('Product half-life and C flows'!L165/100)</f>
        <v>4.0560365589595353</v>
      </c>
      <c r="R304" s="85">
        <f>C$158*0.6*('Product half-life and C flows'!N165/100)</f>
        <v>22.945185666027527</v>
      </c>
      <c r="S304" s="85">
        <f>C$158*0.6*('Product half-life and C flows'!P165/100)</f>
        <v>11.461131701312441</v>
      </c>
      <c r="T304" s="85">
        <f t="shared" si="86"/>
        <v>11.038827979547648</v>
      </c>
      <c r="U304" s="3"/>
      <c r="V304" s="90">
        <f>N$238*(0.4*V$40)*('Product half-life and C flows'!B84/100)</f>
        <v>1.0292467950097952</v>
      </c>
      <c r="W304" s="90">
        <f t="shared" si="128"/>
        <v>88.010834670654972</v>
      </c>
      <c r="X304" s="89">
        <f t="shared" si="119"/>
        <v>26.438132413138941</v>
      </c>
      <c r="Y304" s="89">
        <f t="shared" si="119"/>
        <v>14.100337287007433</v>
      </c>
      <c r="Z304" s="91">
        <f>N$238*(0.6*Z$41)*('Product half-life and C flows'!L84/100)</f>
        <v>16.190431299558252</v>
      </c>
      <c r="AA304" s="91">
        <f>N$238*0.6*('Product half-life and C flows'!N84/100)</f>
        <v>18.600663896708216</v>
      </c>
      <c r="AB304" s="91">
        <f>N$238*0.6*('Product half-life and C flows'!P84/100)</f>
        <v>9.2910409074466589</v>
      </c>
      <c r="AC304" s="89">
        <f t="shared" si="88"/>
        <v>25.116225792481988</v>
      </c>
      <c r="AD304" s="17"/>
      <c r="AE304">
        <f t="shared" si="100"/>
        <v>146</v>
      </c>
      <c r="AF304" s="3">
        <f>(C$158*$AF$76)*('Product half-life and C flows'!B165/100)</f>
        <v>0.40654323545260096</v>
      </c>
      <c r="AG304" s="3">
        <f t="shared" si="129"/>
        <v>6.0910067900496001</v>
      </c>
      <c r="AH304" s="3" t="e">
        <f>#REF!</f>
        <v>#REF!</v>
      </c>
      <c r="AI304" s="3" t="e">
        <f t="shared" si="115"/>
        <v>#REF!</v>
      </c>
      <c r="AJ304" s="113">
        <f t="shared" si="101"/>
        <v>162.60050548486475</v>
      </c>
      <c r="AK304" s="124">
        <f t="shared" si="120"/>
        <v>1.0834525597368088</v>
      </c>
      <c r="AL304" s="124">
        <f t="shared" si="121"/>
        <v>88.010834670654972</v>
      </c>
      <c r="AM304" s="124">
        <f t="shared" si="122"/>
        <v>49.501791410877075</v>
      </c>
      <c r="AN304" s="124">
        <f t="shared" si="123"/>
        <v>26.400955419134434</v>
      </c>
      <c r="AO304" s="124">
        <f t="shared" si="124"/>
        <v>20.246467858517789</v>
      </c>
      <c r="AP304" s="124">
        <f t="shared" si="125"/>
        <v>41.545849562735739</v>
      </c>
      <c r="AQ304" s="124">
        <f t="shared" si="126"/>
        <v>20.7521726087591</v>
      </c>
      <c r="AR304" s="124">
        <f t="shared" si="127"/>
        <v>36.155053772029632</v>
      </c>
      <c r="AS304" s="3">
        <f t="shared" si="116"/>
        <v>283.69657786244557</v>
      </c>
    </row>
    <row r="305" spans="1:46" ht="14">
      <c r="A305">
        <f t="shared" si="130"/>
        <v>147</v>
      </c>
      <c r="B305" s="19">
        <f t="shared" si="130"/>
        <v>227</v>
      </c>
      <c r="C305" s="26">
        <f t="shared" si="114"/>
        <v>162.70686492054548</v>
      </c>
      <c r="D305" s="26"/>
      <c r="E305" s="26"/>
      <c r="F305" s="26"/>
      <c r="G305" s="26"/>
      <c r="H305" s="26"/>
      <c r="I305" s="126"/>
      <c r="J305" s="26"/>
      <c r="K305" s="26"/>
      <c r="L305" s="26"/>
      <c r="M305" s="83">
        <f>C$158*(0.4*D$14)*('Product half-life and C flows'!B166/100)</f>
        <v>5.2359317386975295E-2</v>
      </c>
      <c r="N305" s="85"/>
      <c r="O305" s="85">
        <f t="shared" si="131"/>
        <v>23.063658997738134</v>
      </c>
      <c r="P305" s="85">
        <f t="shared" si="131"/>
        <v>12.300618132127003</v>
      </c>
      <c r="Q305" s="83">
        <f>C$158*(0.6*C$15)*('Product half-life and C flows'!L166/100)</f>
        <v>3.9940390380488586</v>
      </c>
      <c r="R305" s="85">
        <f>C$158*0.6*('Product half-life and C flows'!N166/100)</f>
        <v>22.986558678315252</v>
      </c>
      <c r="S305" s="85">
        <f>C$158*0.6*('Product half-life and C flows'!P166/100)</f>
        <v>11.481797541616</v>
      </c>
      <c r="T305" s="85">
        <f t="shared" ref="T305:T318" si="132">T304</f>
        <v>11.038827979547648</v>
      </c>
      <c r="U305" s="3"/>
      <c r="V305" s="90">
        <f>N$238*(0.4*V$40)*('Product half-life and C flows'!B85/100)</f>
        <v>0.99418687072942458</v>
      </c>
      <c r="W305" s="90">
        <f t="shared" si="128"/>
        <v>88.84408922856835</v>
      </c>
      <c r="X305" s="89">
        <f t="shared" ref="X305:Y318" si="133">X304</f>
        <v>26.438132413138941</v>
      </c>
      <c r="Y305" s="89">
        <f t="shared" si="133"/>
        <v>14.100337287007433</v>
      </c>
      <c r="Z305" s="91">
        <f>N$238*(0.6*Z$41)*('Product half-life and C flows'!L85/100)</f>
        <v>15.942956557046386</v>
      </c>
      <c r="AA305" s="91">
        <f>N$238*0.6*('Product half-life and C flows'!N85/100)</f>
        <v>18.765812041544468</v>
      </c>
      <c r="AB305" s="91">
        <f>N$238*0.6*('Product half-life and C flows'!P85/100)</f>
        <v>9.3735324882839475</v>
      </c>
      <c r="AC305" s="89">
        <f t="shared" ref="AC305:AC318" si="134">AC304</f>
        <v>25.116225792481988</v>
      </c>
      <c r="AD305" s="17"/>
      <c r="AE305">
        <f t="shared" si="100"/>
        <v>147</v>
      </c>
      <c r="AF305" s="3">
        <f>(C$158*$AF$76)*('Product half-life and C flows'!B166/100)</f>
        <v>0.39269488040231471</v>
      </c>
      <c r="AG305" s="3">
        <f t="shared" si="129"/>
        <v>5.6559348764746291</v>
      </c>
      <c r="AH305" s="3" t="e">
        <f>#REF!</f>
        <v>#REF!</v>
      </c>
      <c r="AI305" s="3" t="e">
        <f t="shared" si="115"/>
        <v>#REF!</v>
      </c>
      <c r="AJ305" s="113">
        <f t="shared" si="101"/>
        <v>162.70686492054548</v>
      </c>
      <c r="AK305" s="124">
        <f t="shared" si="120"/>
        <v>1.0465461881163998</v>
      </c>
      <c r="AL305" s="124">
        <f t="shared" si="121"/>
        <v>88.84408922856835</v>
      </c>
      <c r="AM305" s="124">
        <f t="shared" si="122"/>
        <v>49.501791410877075</v>
      </c>
      <c r="AN305" s="124">
        <f t="shared" si="123"/>
        <v>26.400955419134434</v>
      </c>
      <c r="AO305" s="124">
        <f t="shared" si="124"/>
        <v>19.936995595095244</v>
      </c>
      <c r="AP305" s="124">
        <f t="shared" si="125"/>
        <v>41.752370719859719</v>
      </c>
      <c r="AQ305" s="124">
        <f t="shared" si="126"/>
        <v>20.855330029899946</v>
      </c>
      <c r="AR305" s="124">
        <f t="shared" si="127"/>
        <v>36.155053772029632</v>
      </c>
      <c r="AS305" s="3">
        <f t="shared" si="116"/>
        <v>284.4931323635808</v>
      </c>
    </row>
    <row r="306" spans="1:46" ht="14">
      <c r="A306">
        <f t="shared" si="130"/>
        <v>148</v>
      </c>
      <c r="B306" s="19">
        <f t="shared" si="130"/>
        <v>228</v>
      </c>
      <c r="C306" s="26">
        <f t="shared" si="114"/>
        <v>162.81116330077649</v>
      </c>
      <c r="D306" s="26"/>
      <c r="E306" s="26"/>
      <c r="F306" s="26"/>
      <c r="G306" s="26"/>
      <c r="H306" s="26"/>
      <c r="I306" s="126"/>
      <c r="J306" s="26"/>
      <c r="K306" s="26"/>
      <c r="L306" s="26"/>
      <c r="M306" s="83">
        <f>C$158*(0.4*D$14)*('Product half-life and C flows'!B167/100)</f>
        <v>5.0575766821785717E-2</v>
      </c>
      <c r="N306" s="85"/>
      <c r="O306" s="85">
        <f t="shared" si="131"/>
        <v>23.063658997738134</v>
      </c>
      <c r="P306" s="85">
        <f t="shared" si="131"/>
        <v>12.300618132127003</v>
      </c>
      <c r="Q306" s="83">
        <f>C$158*(0.6*C$15)*('Product half-life and C flows'!L167/100)</f>
        <v>3.9329891645627564</v>
      </c>
      <c r="R306" s="85">
        <f>C$158*0.6*('Product half-life and C flows'!N167/100)</f>
        <v>23.027299293888309</v>
      </c>
      <c r="S306" s="85">
        <f>C$158*0.6*('Product half-life and C flows'!P167/100)</f>
        <v>11.502147499444701</v>
      </c>
      <c r="T306" s="85">
        <f t="shared" si="132"/>
        <v>11.038827979547648</v>
      </c>
      <c r="U306" s="3"/>
      <c r="V306" s="90">
        <f>N$238*(0.4*V$40)*('Product half-life and C flows'!B86/100)</f>
        <v>0.96032121617766031</v>
      </c>
      <c r="W306" s="90">
        <f t="shared" si="128"/>
        <v>89.649609650172877</v>
      </c>
      <c r="X306" s="89">
        <f t="shared" si="133"/>
        <v>26.438132413138941</v>
      </c>
      <c r="Y306" s="89">
        <f t="shared" si="133"/>
        <v>14.100337287007433</v>
      </c>
      <c r="Z306" s="91">
        <f>N$238*(0.6*Z$41)*('Product half-life and C flows'!L86/100)</f>
        <v>15.699264527116307</v>
      </c>
      <c r="AA306" s="91">
        <f>N$238*0.6*('Product half-life and C flows'!N86/100)</f>
        <v>18.928435856184475</v>
      </c>
      <c r="AB306" s="91">
        <f>N$238*0.6*('Product half-life and C flows'!P86/100)</f>
        <v>9.4547631649273089</v>
      </c>
      <c r="AC306" s="89">
        <f t="shared" si="134"/>
        <v>25.116225792481988</v>
      </c>
      <c r="AD306" s="17"/>
      <c r="AE306">
        <f t="shared" si="100"/>
        <v>148</v>
      </c>
      <c r="AF306" s="3">
        <f>(C$158*$AF$76)*('Product half-life and C flows'!B167/100)</f>
        <v>0.37931825116339285</v>
      </c>
      <c r="AG306" s="3">
        <f t="shared" si="129"/>
        <v>5.2208629628996572</v>
      </c>
      <c r="AH306" s="3" t="e">
        <f>#REF!</f>
        <v>#REF!</v>
      </c>
      <c r="AI306" s="3" t="e">
        <f t="shared" si="115"/>
        <v>#REF!</v>
      </c>
      <c r="AJ306" s="113">
        <f t="shared" si="101"/>
        <v>162.81116330077649</v>
      </c>
      <c r="AK306" s="124">
        <f t="shared" si="120"/>
        <v>1.0108969829994461</v>
      </c>
      <c r="AL306" s="124">
        <f t="shared" si="121"/>
        <v>89.649609650172877</v>
      </c>
      <c r="AM306" s="124">
        <f t="shared" si="122"/>
        <v>49.501791410877075</v>
      </c>
      <c r="AN306" s="124">
        <f t="shared" si="123"/>
        <v>26.400955419134434</v>
      </c>
      <c r="AO306" s="124">
        <f t="shared" si="124"/>
        <v>19.632253691679065</v>
      </c>
      <c r="AP306" s="124">
        <f t="shared" si="125"/>
        <v>41.955735150072783</v>
      </c>
      <c r="AQ306" s="124">
        <f t="shared" si="126"/>
        <v>20.95691066437201</v>
      </c>
      <c r="AR306" s="124">
        <f t="shared" si="127"/>
        <v>36.155053772029632</v>
      </c>
      <c r="AS306" s="3">
        <f t="shared" si="116"/>
        <v>285.26320674133734</v>
      </c>
    </row>
    <row r="307" spans="1:46" ht="14">
      <c r="A307">
        <f t="shared" si="130"/>
        <v>149</v>
      </c>
      <c r="B307" s="19">
        <f t="shared" si="130"/>
        <v>229</v>
      </c>
      <c r="C307" s="26">
        <f t="shared" si="114"/>
        <v>162.91343968185561</v>
      </c>
      <c r="D307" s="26"/>
      <c r="E307" s="26"/>
      <c r="F307" s="26"/>
      <c r="G307" s="26"/>
      <c r="H307" s="26"/>
      <c r="I307" s="126"/>
      <c r="J307" s="26"/>
      <c r="K307" s="26"/>
      <c r="L307" s="26"/>
      <c r="M307" s="83">
        <f>C$158*(0.4*D$14)*('Product half-life and C flows'!B168/100)</f>
        <v>4.8852970536394688E-2</v>
      </c>
      <c r="N307" s="85"/>
      <c r="O307" s="85">
        <f t="shared" si="131"/>
        <v>23.063658997738134</v>
      </c>
      <c r="P307" s="85">
        <f t="shared" si="131"/>
        <v>12.300618132127003</v>
      </c>
      <c r="Q307" s="83">
        <f>C$158*(0.6*C$15)*('Product half-life and C flows'!L168/100)</f>
        <v>3.87287245347621</v>
      </c>
      <c r="R307" s="85">
        <f>C$158*0.6*('Product half-life and C flows'!N168/100)</f>
        <v>23.067417179086732</v>
      </c>
      <c r="S307" s="85">
        <f>C$158*0.6*('Product half-life and C flows'!P168/100)</f>
        <v>11.522186403140216</v>
      </c>
      <c r="T307" s="85">
        <f t="shared" si="132"/>
        <v>11.038827979547648</v>
      </c>
      <c r="U307" s="3"/>
      <c r="V307" s="90">
        <f>N$238*(0.4*V$40)*('Product half-life and C flows'!B87/100)</f>
        <v>0.92760915014329215</v>
      </c>
      <c r="W307" s="90">
        <f t="shared" si="128"/>
        <v>90.428117479893075</v>
      </c>
      <c r="X307" s="89">
        <f t="shared" si="133"/>
        <v>26.438132413138941</v>
      </c>
      <c r="Y307" s="89">
        <f t="shared" si="133"/>
        <v>14.100337287007433</v>
      </c>
      <c r="Z307" s="91">
        <f>N$238*(0.6*Z$41)*('Product half-life and C flows'!L87/100)</f>
        <v>15.459297390071617</v>
      </c>
      <c r="AA307" s="91">
        <f>N$238*0.6*('Product half-life and C flows'!N87/100)</f>
        <v>19.088573925638968</v>
      </c>
      <c r="AB307" s="91">
        <f>N$238*0.6*('Product half-life and C flows'!P87/100)</f>
        <v>9.5347522106088718</v>
      </c>
      <c r="AC307" s="89">
        <f t="shared" si="134"/>
        <v>25.116225792481988</v>
      </c>
      <c r="AD307" s="17"/>
      <c r="AE307">
        <f t="shared" si="100"/>
        <v>149</v>
      </c>
      <c r="AF307" s="3">
        <f>(C$158*$AF$76)*('Product half-life and C flows'!B168/100)</f>
        <v>0.36639727902296015</v>
      </c>
      <c r="AG307" s="3">
        <f t="shared" si="129"/>
        <v>4.7857910493246862</v>
      </c>
      <c r="AH307" s="3" t="e">
        <f>#REF!</f>
        <v>#REF!</v>
      </c>
      <c r="AI307" s="3" t="e">
        <f t="shared" si="115"/>
        <v>#REF!</v>
      </c>
      <c r="AJ307" s="113">
        <f t="shared" si="101"/>
        <v>162.91343968185561</v>
      </c>
      <c r="AK307" s="124">
        <f t="shared" si="120"/>
        <v>0.97646212067968685</v>
      </c>
      <c r="AL307" s="124">
        <f t="shared" si="121"/>
        <v>90.428117479893075</v>
      </c>
      <c r="AM307" s="124">
        <f t="shared" si="122"/>
        <v>49.501791410877075</v>
      </c>
      <c r="AN307" s="124">
        <f t="shared" si="123"/>
        <v>26.400955419134434</v>
      </c>
      <c r="AO307" s="124">
        <f t="shared" si="124"/>
        <v>19.332169843547828</v>
      </c>
      <c r="AP307" s="124">
        <f t="shared" si="125"/>
        <v>42.1559911047257</v>
      </c>
      <c r="AQ307" s="124">
        <f t="shared" si="126"/>
        <v>21.056938613749089</v>
      </c>
      <c r="AR307" s="124">
        <f t="shared" si="127"/>
        <v>36.155053772029632</v>
      </c>
      <c r="AS307" s="3">
        <f t="shared" si="116"/>
        <v>286.00747976463651</v>
      </c>
    </row>
    <row r="308" spans="1:46" ht="14">
      <c r="A308">
        <f t="shared" si="130"/>
        <v>150</v>
      </c>
      <c r="B308" s="19">
        <f t="shared" si="130"/>
        <v>230</v>
      </c>
      <c r="C308" s="26">
        <f t="shared" si="114"/>
        <v>163.01373241500369</v>
      </c>
      <c r="D308" s="26"/>
      <c r="E308" s="26"/>
      <c r="F308" s="26"/>
      <c r="G308" s="26"/>
      <c r="H308" s="26"/>
      <c r="I308" s="126"/>
      <c r="J308" s="26"/>
      <c r="K308" s="26"/>
      <c r="L308" s="26"/>
      <c r="M308" s="83">
        <f>C$158*(0.4*D$14)*('Product half-life and C flows'!B169/100)</f>
        <v>4.7188859016998749E-2</v>
      </c>
      <c r="N308" s="85"/>
      <c r="O308" s="85">
        <f t="shared" si="131"/>
        <v>23.063658997738134</v>
      </c>
      <c r="P308" s="85">
        <f t="shared" si="131"/>
        <v>12.300618132127003</v>
      </c>
      <c r="Q308" s="83">
        <f>C$158*(0.6*C$15)*('Product half-life and C flows'!L169/100)</f>
        <v>3.8136746411713891</v>
      </c>
      <c r="R308" s="85">
        <f>C$158*0.6*('Product half-life and C flows'!N169/100)</f>
        <v>23.10692185249815</v>
      </c>
      <c r="S308" s="85">
        <f>C$158*0.6*('Product half-life and C flows'!P169/100)</f>
        <v>11.541919007241825</v>
      </c>
      <c r="T308" s="85">
        <f t="shared" si="132"/>
        <v>11.038827979547648</v>
      </c>
      <c r="U308" s="3"/>
      <c r="V308" s="90">
        <f>N$238*(0.4*V$40)*('Product half-life and C flows'!B88/100)</f>
        <v>0.89601137716650769</v>
      </c>
      <c r="W308" s="90">
        <f t="shared" si="128"/>
        <v>91.18033254965907</v>
      </c>
      <c r="X308" s="89">
        <f t="shared" si="133"/>
        <v>26.438132413138941</v>
      </c>
      <c r="Y308" s="89">
        <f t="shared" si="133"/>
        <v>14.100337287007433</v>
      </c>
      <c r="Z308" s="91">
        <f>N$238*(0.6*Z$41)*('Product half-life and C flows'!L88/100)</f>
        <v>15.222998210004262</v>
      </c>
      <c r="AA308" s="91">
        <f>N$238*0.6*('Product half-life and C flows'!N88/100)</f>
        <v>19.246264245137247</v>
      </c>
      <c r="AB308" s="91">
        <f>N$238*0.6*('Product half-life and C flows'!P88/100)</f>
        <v>9.6135186039646552</v>
      </c>
      <c r="AC308" s="89">
        <f t="shared" si="134"/>
        <v>25.116225792481988</v>
      </c>
      <c r="AD308" s="17"/>
      <c r="AE308">
        <f t="shared" si="100"/>
        <v>150</v>
      </c>
      <c r="AF308" s="3">
        <f>(C$158*$AF$76)*('Product half-life and C flows'!B169/100)</f>
        <v>0.35391644262749056</v>
      </c>
      <c r="AG308" s="3">
        <f t="shared" si="129"/>
        <v>4.3507191357497144</v>
      </c>
      <c r="AH308" s="3" t="e">
        <f>#REF!</f>
        <v>#REF!</v>
      </c>
      <c r="AI308" s="3" t="e">
        <f t="shared" si="115"/>
        <v>#REF!</v>
      </c>
      <c r="AJ308" s="113">
        <f t="shared" si="101"/>
        <v>163.01373241500369</v>
      </c>
      <c r="AK308" s="124">
        <f t="shared" si="120"/>
        <v>0.94320023618350646</v>
      </c>
      <c r="AL308" s="124">
        <f t="shared" si="121"/>
        <v>91.18033254965907</v>
      </c>
      <c r="AM308" s="124">
        <f t="shared" si="122"/>
        <v>49.501791410877075</v>
      </c>
      <c r="AN308" s="124">
        <f t="shared" si="123"/>
        <v>26.400955419134434</v>
      </c>
      <c r="AO308" s="124">
        <f t="shared" si="124"/>
        <v>19.036672851175652</v>
      </c>
      <c r="AP308" s="124">
        <f t="shared" si="125"/>
        <v>42.353186097635401</v>
      </c>
      <c r="AQ308" s="124">
        <f t="shared" si="126"/>
        <v>21.15543761120648</v>
      </c>
      <c r="AR308" s="124">
        <f t="shared" si="127"/>
        <v>36.155053772029632</v>
      </c>
      <c r="AS308" s="3">
        <f t="shared" si="116"/>
        <v>286.72662994790124</v>
      </c>
    </row>
    <row r="309" spans="1:46" ht="14">
      <c r="A309">
        <f t="shared" si="130"/>
        <v>151</v>
      </c>
      <c r="B309" s="19">
        <f t="shared" si="130"/>
        <v>231</v>
      </c>
      <c r="C309" s="26">
        <f t="shared" si="114"/>
        <v>163.11207915767986</v>
      </c>
      <c r="D309" s="26"/>
      <c r="E309" s="26"/>
      <c r="F309" s="26"/>
      <c r="G309" s="26"/>
      <c r="H309" s="26"/>
      <c r="I309" s="126"/>
      <c r="J309" s="26"/>
      <c r="K309" s="26"/>
      <c r="L309" s="26"/>
      <c r="M309" s="83">
        <f>C$158*(0.4*D$14)*('Product half-life and C flows'!B170/100)</f>
        <v>4.5581433245031881E-2</v>
      </c>
      <c r="N309" s="85"/>
      <c r="O309" s="85">
        <f t="shared" si="131"/>
        <v>23.063658997738134</v>
      </c>
      <c r="P309" s="85">
        <f t="shared" si="131"/>
        <v>12.300618132127003</v>
      </c>
      <c r="Q309" s="83">
        <f>C$158*(0.6*C$15)*('Product half-life and C flows'!L170/100)</f>
        <v>3.7553816820533905</v>
      </c>
      <c r="R309" s="85">
        <f>C$158*0.6*('Product half-life and C flows'!N170/100)</f>
        <v>23.145822687216228</v>
      </c>
      <c r="S309" s="85">
        <f>C$158*0.6*('Product half-life and C flows'!P170/100)</f>
        <v>11.56134999361449</v>
      </c>
      <c r="T309" s="85">
        <f t="shared" si="132"/>
        <v>11.038827979547648</v>
      </c>
      <c r="U309" s="3"/>
      <c r="V309" s="90">
        <f>N$238*(0.4*V$40)*('Product half-life and C flows'!B89/100)</f>
        <v>0.8654899403351114</v>
      </c>
      <c r="W309" s="90">
        <f t="shared" si="128"/>
        <v>91.906971178250416</v>
      </c>
      <c r="X309" s="89">
        <f t="shared" si="133"/>
        <v>26.438132413138941</v>
      </c>
      <c r="Y309" s="89">
        <f t="shared" si="133"/>
        <v>14.100337287007433</v>
      </c>
      <c r="Z309" s="91">
        <f>N$238*(0.6*Z$41)*('Product half-life and C flows'!L89/100)</f>
        <v>14.990310921285639</v>
      </c>
      <c r="AA309" s="91">
        <f>N$238*0.6*('Product half-life and C flows'!N89/100)</f>
        <v>19.401544229142143</v>
      </c>
      <c r="AB309" s="91">
        <f>N$238*0.6*('Product half-life and C flows'!P89/100)</f>
        <v>9.6910810335375288</v>
      </c>
      <c r="AC309" s="89">
        <f t="shared" si="134"/>
        <v>25.116225792481988</v>
      </c>
      <c r="AD309" s="17"/>
      <c r="AE309">
        <f t="shared" si="100"/>
        <v>151</v>
      </c>
      <c r="AF309" s="3">
        <f>(C$158*$AF$76)*('Product half-life and C flows'!B170/100)</f>
        <v>0.34186074933773908</v>
      </c>
      <c r="AG309" s="3">
        <f t="shared" si="129"/>
        <v>3.9156472221747429</v>
      </c>
      <c r="AH309" s="3" t="e">
        <f>#REF!</f>
        <v>#REF!</v>
      </c>
      <c r="AI309" s="3" t="e">
        <f t="shared" si="115"/>
        <v>#REF!</v>
      </c>
      <c r="AJ309" s="113">
        <f t="shared" si="101"/>
        <v>163.11207915767986</v>
      </c>
      <c r="AK309" s="124">
        <f t="shared" si="120"/>
        <v>0.91107137358014323</v>
      </c>
      <c r="AL309" s="124">
        <f t="shared" si="121"/>
        <v>91.906971178250416</v>
      </c>
      <c r="AM309" s="124">
        <f t="shared" si="122"/>
        <v>49.501791410877075</v>
      </c>
      <c r="AN309" s="124">
        <f t="shared" si="123"/>
        <v>26.400955419134434</v>
      </c>
      <c r="AO309" s="124">
        <f t="shared" si="124"/>
        <v>18.74569260333903</v>
      </c>
      <c r="AP309" s="124">
        <f t="shared" si="125"/>
        <v>42.547366916358371</v>
      </c>
      <c r="AQ309" s="124">
        <f t="shared" si="126"/>
        <v>21.252431027152021</v>
      </c>
      <c r="AR309" s="124">
        <f t="shared" si="127"/>
        <v>36.155053772029632</v>
      </c>
      <c r="AS309" s="3">
        <f t="shared" si="116"/>
        <v>287.42133370072111</v>
      </c>
    </row>
    <row r="310" spans="1:46" ht="14">
      <c r="A310">
        <f t="shared" si="130"/>
        <v>152</v>
      </c>
      <c r="B310" s="19">
        <f t="shared" si="130"/>
        <v>232</v>
      </c>
      <c r="C310" s="26">
        <f t="shared" si="114"/>
        <v>163.2085168847747</v>
      </c>
      <c r="D310" s="26"/>
      <c r="E310" s="26"/>
      <c r="F310" s="26"/>
      <c r="G310" s="26"/>
      <c r="H310" s="26"/>
      <c r="I310" s="126"/>
      <c r="J310" s="26"/>
      <c r="K310" s="26"/>
      <c r="L310" s="26"/>
      <c r="M310" s="83">
        <f>C$158*(0.4*D$14)*('Product half-life and C flows'!B171/100)</f>
        <v>4.4028762295838991E-2</v>
      </c>
      <c r="N310" s="85"/>
      <c r="O310" s="85">
        <f t="shared" si="131"/>
        <v>23.063658997738134</v>
      </c>
      <c r="P310" s="85">
        <f t="shared" si="131"/>
        <v>12.300618132127003</v>
      </c>
      <c r="Q310" s="83">
        <f>C$158*(0.6*C$15)*('Product half-life and C flows'!L171/100)</f>
        <v>3.6979797452176926</v>
      </c>
      <c r="R310" s="85">
        <f>C$158*0.6*('Product half-life and C flows'!N171/100)</f>
        <v>23.18412891306458</v>
      </c>
      <c r="S310" s="85">
        <f>C$158*0.6*('Product half-life and C flows'!P171/100)</f>
        <v>11.580483972559723</v>
      </c>
      <c r="T310" s="85">
        <f t="shared" si="132"/>
        <v>11.038827979547648</v>
      </c>
      <c r="U310" s="3"/>
      <c r="V310" s="90">
        <f>N$238*(0.4*V$40)*('Product half-life and C flows'!B90/100)</f>
        <v>0.83600817568868113</v>
      </c>
      <c r="W310" s="90">
        <f t="shared" si="128"/>
        <v>92.608744564975808</v>
      </c>
      <c r="X310" s="89">
        <f t="shared" si="133"/>
        <v>26.438132413138941</v>
      </c>
      <c r="Y310" s="89">
        <f t="shared" si="133"/>
        <v>14.100337287007433</v>
      </c>
      <c r="Z310" s="91">
        <f>N$238*(0.6*Z$41)*('Product half-life and C flows'!L90/100)</f>
        <v>14.761180315264097</v>
      </c>
      <c r="AA310" s="91">
        <f>N$238*0.6*('Product half-life and C flows'!N90/100)</f>
        <v>19.554450720227184</v>
      </c>
      <c r="AB310" s="91">
        <f>N$238*0.6*('Product half-life and C flows'!P90/100)</f>
        <v>9.7674579022113779</v>
      </c>
      <c r="AC310" s="89">
        <f t="shared" si="134"/>
        <v>25.116225792481988</v>
      </c>
      <c r="AD310" s="17"/>
      <c r="AE310">
        <f t="shared" si="100"/>
        <v>152</v>
      </c>
      <c r="AF310" s="3">
        <f>(C$158*$AF$76)*('Product half-life and C flows'!B171/100)</f>
        <v>0.33021571721879245</v>
      </c>
      <c r="AG310" s="3">
        <f t="shared" si="129"/>
        <v>3.4805753085997715</v>
      </c>
      <c r="AH310" s="3" t="e">
        <f>#REF!</f>
        <v>#REF!</v>
      </c>
      <c r="AI310" s="3" t="e">
        <f t="shared" si="115"/>
        <v>#REF!</v>
      </c>
      <c r="AJ310" s="113">
        <f t="shared" si="101"/>
        <v>163.2085168847747</v>
      </c>
      <c r="AK310" s="124">
        <f t="shared" si="120"/>
        <v>0.8800369379845201</v>
      </c>
      <c r="AL310" s="124">
        <f t="shared" si="121"/>
        <v>92.608744564975808</v>
      </c>
      <c r="AM310" s="124">
        <f t="shared" si="122"/>
        <v>49.501791410877075</v>
      </c>
      <c r="AN310" s="124">
        <f t="shared" si="123"/>
        <v>26.400955419134434</v>
      </c>
      <c r="AO310" s="124">
        <f t="shared" si="124"/>
        <v>18.459160060481789</v>
      </c>
      <c r="AP310" s="124">
        <f t="shared" si="125"/>
        <v>42.738579633291764</v>
      </c>
      <c r="AQ310" s="124">
        <f t="shared" si="126"/>
        <v>21.347941874771102</v>
      </c>
      <c r="AR310" s="124">
        <f t="shared" si="127"/>
        <v>36.155053772029632</v>
      </c>
      <c r="AS310" s="3">
        <f t="shared" si="116"/>
        <v>288.09226367354614</v>
      </c>
    </row>
    <row r="311" spans="1:46" ht="14">
      <c r="A311">
        <f t="shared" si="130"/>
        <v>153</v>
      </c>
      <c r="B311" s="19">
        <f t="shared" si="130"/>
        <v>233</v>
      </c>
      <c r="C311" s="26">
        <f t="shared" si="114"/>
        <v>163.3030818996792</v>
      </c>
      <c r="D311" s="26"/>
      <c r="E311" s="26"/>
      <c r="F311" s="26"/>
      <c r="G311" s="26"/>
      <c r="H311" s="26"/>
      <c r="I311" s="126"/>
      <c r="J311" s="26"/>
      <c r="K311" s="26"/>
      <c r="L311" s="26"/>
      <c r="M311" s="83">
        <f>C$158*(0.4*D$14)*('Product half-life and C flows'!B172/100)</f>
        <v>4.2528981019147351E-2</v>
      </c>
      <c r="N311" s="85"/>
      <c r="O311" s="85">
        <f t="shared" si="131"/>
        <v>23.063658997738134</v>
      </c>
      <c r="P311" s="85">
        <f t="shared" si="131"/>
        <v>12.300618132127003</v>
      </c>
      <c r="Q311" s="83">
        <f>C$158*(0.6*C$15)*('Product half-life and C flows'!L172/100)</f>
        <v>3.6414552111685716</v>
      </c>
      <c r="R311" s="85">
        <f>C$158*0.6*('Product half-life and C flows'!N172/100)</f>
        <v>23.221849618786692</v>
      </c>
      <c r="S311" s="85">
        <f>C$158*0.6*('Product half-life and C flows'!P172/100)</f>
        <v>11.59932548390943</v>
      </c>
      <c r="T311" s="85">
        <f t="shared" si="132"/>
        <v>11.038827979547648</v>
      </c>
      <c r="U311" s="3"/>
      <c r="V311" s="90">
        <f>N$238*(0.4*V$40)*('Product half-life and C flows'!B91/100)</f>
        <v>0.80753066817588204</v>
      </c>
      <c r="W311" s="90">
        <f t="shared" si="128"/>
        <v>93.286357362803088</v>
      </c>
      <c r="X311" s="89">
        <f t="shared" si="133"/>
        <v>26.438132413138941</v>
      </c>
      <c r="Y311" s="89">
        <f t="shared" si="133"/>
        <v>14.100337287007433</v>
      </c>
      <c r="Z311" s="91">
        <f>N$238*(0.6*Z$41)*('Product half-life and C flows'!L91/100)</f>
        <v>14.535552027165874</v>
      </c>
      <c r="AA311" s="91">
        <f>N$238*0.6*('Product half-life and C flows'!N91/100)</f>
        <v>19.705019997818066</v>
      </c>
      <c r="AB311" s="91">
        <f>N$238*0.6*('Product half-life and C flows'!P91/100)</f>
        <v>9.8426673315774522</v>
      </c>
      <c r="AC311" s="89">
        <f t="shared" si="134"/>
        <v>25.116225792481988</v>
      </c>
      <c r="AD311" s="17"/>
      <c r="AE311">
        <f t="shared" si="100"/>
        <v>153</v>
      </c>
      <c r="AF311" s="3">
        <f>(C$158*$AF$76)*('Product half-life and C flows'!B172/100)</f>
        <v>0.31896735764360507</v>
      </c>
      <c r="AG311" s="3">
        <f t="shared" si="129"/>
        <v>3.0455033950248001</v>
      </c>
      <c r="AH311" s="3" t="e">
        <f>#REF!</f>
        <v>#REF!</v>
      </c>
      <c r="AI311" s="3" t="e">
        <f t="shared" si="115"/>
        <v>#REF!</v>
      </c>
      <c r="AJ311" s="113">
        <f t="shared" si="101"/>
        <v>163.3030818996792</v>
      </c>
      <c r="AK311" s="124">
        <f t="shared" si="120"/>
        <v>0.85005964919502941</v>
      </c>
      <c r="AL311" s="124">
        <f t="shared" si="121"/>
        <v>93.286357362803088</v>
      </c>
      <c r="AM311" s="124">
        <f t="shared" si="122"/>
        <v>49.501791410877075</v>
      </c>
      <c r="AN311" s="124">
        <f t="shared" si="123"/>
        <v>26.400955419134434</v>
      </c>
      <c r="AO311" s="124">
        <f t="shared" si="124"/>
        <v>18.177007238334447</v>
      </c>
      <c r="AP311" s="124">
        <f t="shared" si="125"/>
        <v>42.926869616604762</v>
      </c>
      <c r="AQ311" s="124">
        <f t="shared" si="126"/>
        <v>21.441992815486884</v>
      </c>
      <c r="AR311" s="124">
        <f t="shared" si="127"/>
        <v>36.155053772029632</v>
      </c>
      <c r="AS311" s="3">
        <f t="shared" si="116"/>
        <v>288.7400872844654</v>
      </c>
    </row>
    <row r="312" spans="1:46" ht="14">
      <c r="A312">
        <f t="shared" si="130"/>
        <v>154</v>
      </c>
      <c r="B312" s="19">
        <f t="shared" si="130"/>
        <v>234</v>
      </c>
      <c r="C312" s="26">
        <f t="shared" si="114"/>
        <v>163.39580984522976</v>
      </c>
      <c r="D312" s="26"/>
      <c r="E312" s="26"/>
      <c r="F312" s="26"/>
      <c r="G312" s="26"/>
      <c r="H312" s="26"/>
      <c r="I312" s="126"/>
      <c r="J312" s="26"/>
      <c r="K312" s="26"/>
      <c r="L312" s="26"/>
      <c r="M312" s="83">
        <f>C$158*(0.4*D$14)*('Product half-life and C flows'!B173/100)</f>
        <v>4.1080287798549643E-2</v>
      </c>
      <c r="N312" s="85"/>
      <c r="O312" s="85">
        <f t="shared" si="131"/>
        <v>23.063658997738134</v>
      </c>
      <c r="P312" s="85">
        <f t="shared" si="131"/>
        <v>12.300618132127003</v>
      </c>
      <c r="Q312" s="83">
        <f>C$158*(0.6*C$15)*('Product half-life and C flows'!L173/100)</f>
        <v>3.5857946685876576</v>
      </c>
      <c r="R312" s="85">
        <f>C$158*0.6*('Product half-life and C flows'!N173/100)</f>
        <v>23.258993754202358</v>
      </c>
      <c r="S312" s="85">
        <f>C$158*0.6*('Product half-life and C flows'!P173/100)</f>
        <v>11.617878998103068</v>
      </c>
      <c r="T312" s="85">
        <f t="shared" si="132"/>
        <v>11.038827979547648</v>
      </c>
      <c r="U312" s="3"/>
      <c r="V312" s="90">
        <f>N$238*(0.4*V$40)*('Product half-life and C flows'!B92/100)</f>
        <v>0.78002320911203904</v>
      </c>
      <c r="W312" s="90">
        <f t="shared" si="128"/>
        <v>93.940506416941886</v>
      </c>
      <c r="X312" s="89">
        <f t="shared" si="133"/>
        <v>26.438132413138941</v>
      </c>
      <c r="Y312" s="89">
        <f t="shared" si="133"/>
        <v>14.100337287007433</v>
      </c>
      <c r="Z312" s="91">
        <f>N$238*(0.6*Z$41)*('Product half-life and C flows'!L92/100)</f>
        <v>14.313372523196215</v>
      </c>
      <c r="AA312" s="91">
        <f>N$238*0.6*('Product half-life and C flows'!N92/100)</f>
        <v>19.853287786800482</v>
      </c>
      <c r="AB312" s="91">
        <f>N$238*0.6*('Product half-life and C flows'!P92/100)</f>
        <v>9.916727166234006</v>
      </c>
      <c r="AC312" s="89">
        <f t="shared" si="134"/>
        <v>25.116225792481988</v>
      </c>
      <c r="AD312" s="17"/>
      <c r="AE312">
        <f t="shared" si="100"/>
        <v>154</v>
      </c>
      <c r="AF312" s="3">
        <f>(C$158*$AF$76)*('Product half-life and C flows'!B173/100)</f>
        <v>0.30810215848912231</v>
      </c>
      <c r="AG312" s="3">
        <f t="shared" si="129"/>
        <v>2.6104314814498286</v>
      </c>
      <c r="AH312" s="3" t="e">
        <f>#REF!</f>
        <v>#REF!</v>
      </c>
      <c r="AI312" s="3" t="e">
        <f t="shared" si="115"/>
        <v>#REF!</v>
      </c>
      <c r="AJ312" s="113">
        <f t="shared" si="101"/>
        <v>163.39580984522976</v>
      </c>
      <c r="AK312" s="124">
        <f t="shared" si="120"/>
        <v>0.8211034969105887</v>
      </c>
      <c r="AL312" s="124">
        <f t="shared" si="121"/>
        <v>93.940506416941886</v>
      </c>
      <c r="AM312" s="124">
        <f t="shared" si="122"/>
        <v>49.501791410877075</v>
      </c>
      <c r="AN312" s="124">
        <f t="shared" si="123"/>
        <v>26.400955419134434</v>
      </c>
      <c r="AO312" s="124">
        <f t="shared" si="124"/>
        <v>17.899167191783871</v>
      </c>
      <c r="AP312" s="124">
        <f t="shared" si="125"/>
        <v>43.112281541002844</v>
      </c>
      <c r="AQ312" s="124">
        <f t="shared" si="126"/>
        <v>21.534606164337074</v>
      </c>
      <c r="AR312" s="124">
        <f t="shared" si="127"/>
        <v>36.155053772029632</v>
      </c>
      <c r="AS312" s="3">
        <f t="shared" si="116"/>
        <v>289.36546541301743</v>
      </c>
    </row>
    <row r="313" spans="1:46" ht="14">
      <c r="A313">
        <f t="shared" si="130"/>
        <v>155</v>
      </c>
      <c r="B313" s="19">
        <f t="shared" si="130"/>
        <v>235</v>
      </c>
      <c r="C313" s="26">
        <f t="shared" si="114"/>
        <v>163.48673571452642</v>
      </c>
      <c r="D313" s="26"/>
      <c r="E313" s="26"/>
      <c r="F313" s="26"/>
      <c r="G313" s="26"/>
      <c r="H313" s="26"/>
      <c r="I313" s="126"/>
      <c r="J313" s="26"/>
      <c r="K313" s="26"/>
      <c r="L313" s="26"/>
      <c r="M313" s="83">
        <f>C$158*(0.4*D$14)*('Product half-life and C flows'!B174/100)</f>
        <v>3.9680942387307155E-2</v>
      </c>
      <c r="N313" s="85"/>
      <c r="O313" s="85">
        <f t="shared" si="131"/>
        <v>23.063658997738134</v>
      </c>
      <c r="P313" s="85">
        <f t="shared" si="131"/>
        <v>12.300618132127003</v>
      </c>
      <c r="Q313" s="83">
        <f>C$158*(0.6*C$15)*('Product half-life and C flows'!L174/100)</f>
        <v>3.5309849111518945</v>
      </c>
      <c r="R313" s="85">
        <f>C$158*0.6*('Product half-life and C flows'!N174/100)</f>
        <v>23.295570132331154</v>
      </c>
      <c r="S313" s="85">
        <f>C$158*0.6*('Product half-life and C flows'!P174/100)</f>
        <v>11.63614891724832</v>
      </c>
      <c r="T313" s="85">
        <f t="shared" si="132"/>
        <v>11.038827979547648</v>
      </c>
      <c r="U313" s="3"/>
      <c r="V313" s="90">
        <f>N$238*(0.4*V$40)*('Product half-life and C flows'!B93/100)</f>
        <v>0.75345275508586018</v>
      </c>
      <c r="W313" s="90">
        <f t="shared" si="128"/>
        <v>94.57187965573975</v>
      </c>
      <c r="X313" s="89">
        <f t="shared" si="133"/>
        <v>26.438132413138941</v>
      </c>
      <c r="Y313" s="89">
        <f t="shared" si="133"/>
        <v>14.100337287007433</v>
      </c>
      <c r="Z313" s="91">
        <f>N$238*(0.6*Z$41)*('Product half-life and C flows'!L93/100)</f>
        <v>14.094589087837639</v>
      </c>
      <c r="AA313" s="91">
        <f>N$238*0.6*('Product half-life and C flows'!N93/100)</f>
        <v>19.999289265996438</v>
      </c>
      <c r="AB313" s="91">
        <f>N$238*0.6*('Product half-life and C flows'!P93/100)</f>
        <v>9.989654978020198</v>
      </c>
      <c r="AC313" s="89">
        <f t="shared" si="134"/>
        <v>25.116225792481988</v>
      </c>
      <c r="AD313" s="17"/>
      <c r="AE313">
        <f t="shared" si="100"/>
        <v>155</v>
      </c>
      <c r="AF313" s="3">
        <f>(C$158*$AF$76)*('Product half-life and C flows'!B174/100)</f>
        <v>0.29760706790480362</v>
      </c>
      <c r="AG313" s="3">
        <f t="shared" si="129"/>
        <v>2.1753595678748572</v>
      </c>
      <c r="AH313" s="3" t="e">
        <f>#REF!</f>
        <v>#REF!</v>
      </c>
      <c r="AI313" s="3" t="e">
        <f t="shared" si="115"/>
        <v>#REF!</v>
      </c>
      <c r="AJ313" s="113">
        <f t="shared" si="101"/>
        <v>163.48673571452642</v>
      </c>
      <c r="AK313" s="124">
        <f t="shared" si="120"/>
        <v>0.79313369747316731</v>
      </c>
      <c r="AL313" s="124">
        <f t="shared" si="121"/>
        <v>94.57187965573975</v>
      </c>
      <c r="AM313" s="124">
        <f t="shared" si="122"/>
        <v>49.501791410877075</v>
      </c>
      <c r="AN313" s="124">
        <f t="shared" si="123"/>
        <v>26.400955419134434</v>
      </c>
      <c r="AO313" s="124">
        <f t="shared" si="124"/>
        <v>17.625573998989534</v>
      </c>
      <c r="AP313" s="124">
        <f t="shared" si="125"/>
        <v>43.294859398327588</v>
      </c>
      <c r="AQ313" s="124">
        <f t="shared" si="126"/>
        <v>21.625803895268518</v>
      </c>
      <c r="AR313" s="124">
        <f t="shared" si="127"/>
        <v>36.155053772029632</v>
      </c>
      <c r="AS313" s="3">
        <f t="shared" si="116"/>
        <v>289.96905124783967</v>
      </c>
    </row>
    <row r="314" spans="1:46" ht="14">
      <c r="A314">
        <f t="shared" si="130"/>
        <v>156</v>
      </c>
      <c r="B314" s="19">
        <f t="shared" si="130"/>
        <v>236</v>
      </c>
      <c r="C314" s="26">
        <f t="shared" si="114"/>
        <v>163.57589386162428</v>
      </c>
      <c r="D314" s="26"/>
      <c r="E314" s="26"/>
      <c r="F314" s="26"/>
      <c r="G314" s="26"/>
      <c r="H314" s="26"/>
      <c r="I314" s="126"/>
      <c r="J314" s="26"/>
      <c r="K314" s="26"/>
      <c r="L314" s="26"/>
      <c r="M314" s="83">
        <f>C$158*(0.4*D$14)*('Product half-life and C flows'!B175/100)</f>
        <v>3.8329263817873785E-2</v>
      </c>
      <c r="N314" s="85"/>
      <c r="O314" s="85">
        <f t="shared" si="131"/>
        <v>23.063658997738134</v>
      </c>
      <c r="P314" s="85">
        <f t="shared" si="131"/>
        <v>12.300618132127003</v>
      </c>
      <c r="Q314" s="83">
        <f>C$158*(0.6*C$15)*('Product half-life and C flows'!L175/100)</f>
        <v>3.4770129344001428</v>
      </c>
      <c r="R314" s="85">
        <f>C$158*0.6*('Product half-life and C flows'!N175/100)</f>
        <v>23.331587431483488</v>
      </c>
      <c r="S314" s="85">
        <f>C$158*0.6*('Product half-life and C flows'!P175/100)</f>
        <v>11.654139576165571</v>
      </c>
      <c r="T314" s="85">
        <f t="shared" si="132"/>
        <v>11.038827979547648</v>
      </c>
      <c r="U314" s="3"/>
      <c r="V314" s="90">
        <f>N$238*(0.4*V$40)*('Product half-life and C flows'!B94/100)</f>
        <v>0.72778738826594658</v>
      </c>
      <c r="W314" s="90">
        <f t="shared" si="128"/>
        <v>95.181155121580233</v>
      </c>
      <c r="X314" s="89">
        <f t="shared" si="133"/>
        <v>26.438132413138941</v>
      </c>
      <c r="Y314" s="89">
        <f t="shared" si="133"/>
        <v>14.100337287007433</v>
      </c>
      <c r="Z314" s="91">
        <f>N$238*(0.6*Z$41)*('Product half-life and C flows'!L94/100)</f>
        <v>13.879149811342369</v>
      </c>
      <c r="AA314" s="91">
        <f>N$238*0.6*('Product half-life and C flows'!N94/100)</f>
        <v>20.143059076510948</v>
      </c>
      <c r="AB314" s="91">
        <f>N$238*0.6*('Product half-life and C flows'!P94/100)</f>
        <v>10.061468070185288</v>
      </c>
      <c r="AC314" s="89">
        <f t="shared" si="134"/>
        <v>25.116225792481988</v>
      </c>
      <c r="AD314" s="17"/>
      <c r="AE314">
        <f t="shared" si="100"/>
        <v>156</v>
      </c>
      <c r="AF314" s="3">
        <f>(C$158*$AF$76)*('Product half-life and C flows'!B175/100)</f>
        <v>0.28746947863405337</v>
      </c>
      <c r="AG314" s="3">
        <f t="shared" si="129"/>
        <v>1.7402876542998857</v>
      </c>
      <c r="AH314" s="3" t="e">
        <f>#REF!</f>
        <v>#REF!</v>
      </c>
      <c r="AI314" s="3" t="e">
        <f t="shared" si="115"/>
        <v>#REF!</v>
      </c>
      <c r="AJ314" s="113">
        <f t="shared" si="101"/>
        <v>163.57589386162428</v>
      </c>
      <c r="AK314" s="124">
        <f t="shared" si="120"/>
        <v>0.7661166520838204</v>
      </c>
      <c r="AL314" s="124">
        <f t="shared" si="121"/>
        <v>95.181155121580233</v>
      </c>
      <c r="AM314" s="124">
        <f t="shared" si="122"/>
        <v>49.501791410877075</v>
      </c>
      <c r="AN314" s="124">
        <f t="shared" si="123"/>
        <v>26.400955419134434</v>
      </c>
      <c r="AO314" s="124">
        <f t="shared" si="124"/>
        <v>17.356162745742512</v>
      </c>
      <c r="AP314" s="124">
        <f t="shared" si="125"/>
        <v>43.474646507994436</v>
      </c>
      <c r="AQ314" s="124">
        <f t="shared" si="126"/>
        <v>21.715607646350861</v>
      </c>
      <c r="AR314" s="124">
        <f t="shared" si="127"/>
        <v>36.155053772029632</v>
      </c>
      <c r="AS314" s="3">
        <f t="shared" si="116"/>
        <v>290.55148927579302</v>
      </c>
    </row>
    <row r="315" spans="1:46" ht="14">
      <c r="A315">
        <f t="shared" si="130"/>
        <v>157</v>
      </c>
      <c r="B315" s="19">
        <f t="shared" si="130"/>
        <v>237</v>
      </c>
      <c r="C315" s="26">
        <f t="shared" si="114"/>
        <v>163.66331801209776</v>
      </c>
      <c r="D315" s="26"/>
      <c r="E315" s="26"/>
      <c r="F315" s="26"/>
      <c r="G315" s="26"/>
      <c r="H315" s="26"/>
      <c r="I315" s="126"/>
      <c r="J315" s="26"/>
      <c r="K315" s="26"/>
      <c r="L315" s="26"/>
      <c r="M315" s="83">
        <f>C$158*(0.4*D$14)*('Product half-life and C flows'!B176/100)</f>
        <v>3.7023628382628931E-2</v>
      </c>
      <c r="N315" s="85"/>
      <c r="O315" s="85">
        <f t="shared" si="131"/>
        <v>23.063658997738134</v>
      </c>
      <c r="P315" s="85">
        <f t="shared" si="131"/>
        <v>12.300618132127003</v>
      </c>
      <c r="Q315" s="83">
        <f>C$158*(0.6*C$15)*('Product half-life and C flows'!L176/100)</f>
        <v>3.4238659326476584</v>
      </c>
      <c r="R315" s="85">
        <f>C$158*0.6*('Product half-life and C flows'!N176/100)</f>
        <v>23.367054197319646</v>
      </c>
      <c r="S315" s="85">
        <f>C$158*0.6*('Product half-life and C flows'!P176/100)</f>
        <v>11.671855243416399</v>
      </c>
      <c r="T315" s="85">
        <f t="shared" si="132"/>
        <v>11.038827979547648</v>
      </c>
      <c r="U315" s="3"/>
      <c r="V315" s="90">
        <f>N$238*(0.4*V$40)*('Product half-life and C flows'!B95/100)</f>
        <v>0.70299627805940956</v>
      </c>
      <c r="W315" s="90">
        <f t="shared" si="128"/>
        <v>95.769000130262825</v>
      </c>
      <c r="X315" s="89">
        <f t="shared" si="133"/>
        <v>26.438132413138941</v>
      </c>
      <c r="Y315" s="89">
        <f t="shared" si="133"/>
        <v>14.100337287007433</v>
      </c>
      <c r="Z315" s="91">
        <f>N$238*(0.6*Z$41)*('Product half-life and C flows'!L95/100)</f>
        <v>13.66700357741596</v>
      </c>
      <c r="AA315" s="91">
        <f>N$238*0.6*('Product half-life and C flows'!N95/100)</f>
        <v>20.284631329951171</v>
      </c>
      <c r="AB315" s="91">
        <f>N$238*0.6*('Product half-life and C flows'!P95/100)</f>
        <v>10.13218348149409</v>
      </c>
      <c r="AC315" s="89">
        <f t="shared" si="134"/>
        <v>25.116225792481988</v>
      </c>
      <c r="AD315" s="17"/>
      <c r="AE315">
        <f t="shared" si="100"/>
        <v>157</v>
      </c>
      <c r="AF315" s="3">
        <f>(C$158*$AF$76)*('Product half-life and C flows'!B176/100)</f>
        <v>0.27767721286971697</v>
      </c>
      <c r="AG315" s="3">
        <f t="shared" si="129"/>
        <v>1.3052157407249143</v>
      </c>
      <c r="AH315" s="3" t="e">
        <f>#REF!</f>
        <v>#REF!</v>
      </c>
      <c r="AI315" s="3" t="e">
        <f t="shared" si="115"/>
        <v>#REF!</v>
      </c>
      <c r="AJ315" s="113">
        <f t="shared" si="101"/>
        <v>163.66331801209776</v>
      </c>
      <c r="AK315" s="124">
        <f t="shared" si="120"/>
        <v>0.74001990644203852</v>
      </c>
      <c r="AL315" s="124">
        <f t="shared" si="121"/>
        <v>95.769000130262825</v>
      </c>
      <c r="AM315" s="124">
        <f t="shared" si="122"/>
        <v>49.501791410877075</v>
      </c>
      <c r="AN315" s="124">
        <f t="shared" si="123"/>
        <v>26.400955419134434</v>
      </c>
      <c r="AO315" s="124">
        <f t="shared" si="124"/>
        <v>17.090869510063619</v>
      </c>
      <c r="AP315" s="124">
        <f t="shared" si="125"/>
        <v>43.651685527270814</v>
      </c>
      <c r="AQ315" s="124">
        <f t="shared" si="126"/>
        <v>21.804038724910491</v>
      </c>
      <c r="AR315" s="124">
        <f t="shared" si="127"/>
        <v>36.155053772029632</v>
      </c>
      <c r="AS315" s="3">
        <f t="shared" si="116"/>
        <v>291.11341440099096</v>
      </c>
    </row>
    <row r="316" spans="1:46" ht="14">
      <c r="A316">
        <f t="shared" si="130"/>
        <v>158</v>
      </c>
      <c r="B316" s="19">
        <f t="shared" si="130"/>
        <v>238</v>
      </c>
      <c r="C316" s="26">
        <f t="shared" si="114"/>
        <v>163.74904127347503</v>
      </c>
      <c r="D316" s="26"/>
      <c r="E316" s="26"/>
      <c r="F316" s="26"/>
      <c r="G316" s="26"/>
      <c r="H316" s="26"/>
      <c r="I316" s="126"/>
      <c r="J316" s="26"/>
      <c r="K316" s="26"/>
      <c r="L316" s="26"/>
      <c r="M316" s="83">
        <f>C$158*(0.4*D$14)*('Product half-life and C flows'!B177/100)</f>
        <v>3.5762467683394292E-2</v>
      </c>
      <c r="N316" s="85"/>
      <c r="O316" s="85">
        <f t="shared" si="131"/>
        <v>23.063658997738134</v>
      </c>
      <c r="P316" s="85">
        <f t="shared" si="131"/>
        <v>12.300618132127003</v>
      </c>
      <c r="Q316" s="83">
        <f>C$158*(0.6*C$15)*('Product half-life and C flows'!L177/100)</f>
        <v>3.3715312959477552</v>
      </c>
      <c r="R316" s="85">
        <f>C$158*0.6*('Product half-life and C flows'!N177/100)</f>
        <v>23.40197884487738</v>
      </c>
      <c r="S316" s="85">
        <f>C$158*0.6*('Product half-life and C flows'!P177/100)</f>
        <v>11.689300122316366</v>
      </c>
      <c r="T316" s="85">
        <f t="shared" si="132"/>
        <v>11.038827979547648</v>
      </c>
      <c r="U316" s="3"/>
      <c r="V316" s="90">
        <f>N$238*(0.4*V$40)*('Product half-life and C flows'!B96/100)</f>
        <v>0.67904964407653601</v>
      </c>
      <c r="W316" s="90">
        <f t="shared" si="128"/>
        <v>96.336070548103805</v>
      </c>
      <c r="X316" s="89">
        <f t="shared" si="133"/>
        <v>26.438132413138941</v>
      </c>
      <c r="Y316" s="89">
        <f t="shared" si="133"/>
        <v>14.100337287007433</v>
      </c>
      <c r="Z316" s="91">
        <f>N$238*(0.6*Z$41)*('Product half-life and C flows'!L96/100)</f>
        <v>13.458100051089145</v>
      </c>
      <c r="AA316" s="91">
        <f>N$238*0.6*('Product half-life and C flows'!N96/100)</f>
        <v>20.424039616519931</v>
      </c>
      <c r="AB316" s="91">
        <f>N$238*0.6*('Product half-life and C flows'!P96/100)</f>
        <v>10.201817990269697</v>
      </c>
      <c r="AC316" s="89">
        <f t="shared" si="134"/>
        <v>25.116225792481988</v>
      </c>
      <c r="AD316" s="17"/>
      <c r="AE316">
        <f t="shared" si="100"/>
        <v>158</v>
      </c>
      <c r="AF316" s="3">
        <f>(C$158*$AF$76)*('Product half-life and C flows'!B177/100)</f>
        <v>0.26821850762545713</v>
      </c>
      <c r="AG316" s="3">
        <f t="shared" si="129"/>
        <v>0.87014382714994287</v>
      </c>
      <c r="AH316" s="3" t="e">
        <f>#REF!</f>
        <v>#REF!</v>
      </c>
      <c r="AI316" s="3" t="e">
        <f t="shared" si="115"/>
        <v>#REF!</v>
      </c>
      <c r="AJ316" s="113">
        <f t="shared" si="101"/>
        <v>163.74904127347503</v>
      </c>
      <c r="AK316" s="124">
        <f t="shared" si="120"/>
        <v>0.71481211175993031</v>
      </c>
      <c r="AL316" s="124">
        <f t="shared" si="121"/>
        <v>96.336070548103805</v>
      </c>
      <c r="AM316" s="124">
        <f t="shared" si="122"/>
        <v>49.501791410877075</v>
      </c>
      <c r="AN316" s="124">
        <f t="shared" si="123"/>
        <v>26.400955419134434</v>
      </c>
      <c r="AO316" s="124">
        <f t="shared" si="124"/>
        <v>16.829631347036901</v>
      </c>
      <c r="AP316" s="124">
        <f t="shared" si="125"/>
        <v>43.826018461397311</v>
      </c>
      <c r="AQ316" s="124">
        <f t="shared" si="126"/>
        <v>21.891118112586064</v>
      </c>
      <c r="AR316" s="124">
        <f t="shared" si="127"/>
        <v>36.155053772029632</v>
      </c>
      <c r="AS316" s="3">
        <f t="shared" si="116"/>
        <v>291.65545118292516</v>
      </c>
    </row>
    <row r="317" spans="1:46" ht="14">
      <c r="A317">
        <f t="shared" si="130"/>
        <v>159</v>
      </c>
      <c r="B317" s="19">
        <f t="shared" si="130"/>
        <v>239</v>
      </c>
      <c r="C317" s="26">
        <f t="shared" si="114"/>
        <v>163.83309614554503</v>
      </c>
      <c r="D317" s="26"/>
      <c r="E317" s="26"/>
      <c r="F317" s="26"/>
      <c r="G317" s="26"/>
      <c r="H317" s="26"/>
      <c r="I317" s="126"/>
      <c r="J317" s="26"/>
      <c r="K317" s="26"/>
      <c r="L317" s="26"/>
      <c r="M317" s="83">
        <f>C$158*(0.4*D$14)*('Product half-life and C flows'!B178/100)</f>
        <v>3.4544266747391285E-2</v>
      </c>
      <c r="N317" s="85"/>
      <c r="O317" s="85">
        <f t="shared" si="131"/>
        <v>23.063658997738134</v>
      </c>
      <c r="P317" s="85">
        <f t="shared" si="131"/>
        <v>12.300618132127003</v>
      </c>
      <c r="Q317" s="83">
        <f>C$158*(0.6*C$15)*('Product half-life and C flows'!L178/100)</f>
        <v>3.3199966070998959</v>
      </c>
      <c r="R317" s="85">
        <f>C$158*0.6*('Product half-life and C flows'!N178/100)</f>
        <v>23.436369660568516</v>
      </c>
      <c r="S317" s="85">
        <f>C$158*0.6*('Product half-life and C flows'!P178/100)</f>
        <v>11.70647835193232</v>
      </c>
      <c r="T317" s="85">
        <f t="shared" si="132"/>
        <v>11.038827979547648</v>
      </c>
      <c r="U317" s="3"/>
      <c r="V317" s="90">
        <f>N$238*(0.4*V$40)*('Product half-life and C flows'!B97/100)</f>
        <v>0.65591872035701226</v>
      </c>
      <c r="W317" s="90">
        <f t="shared" si="128"/>
        <v>96.883010176719537</v>
      </c>
      <c r="X317" s="89">
        <f t="shared" si="133"/>
        <v>26.438132413138941</v>
      </c>
      <c r="Y317" s="89">
        <f t="shared" si="133"/>
        <v>14.100337287007433</v>
      </c>
      <c r="Z317" s="91">
        <f>N$238*(0.6*Z$41)*('Product half-life and C flows'!L97/100)</f>
        <v>13.252389666775102</v>
      </c>
      <c r="AA317" s="91">
        <f>N$238*0.6*('Product half-life and C flows'!N97/100)</f>
        <v>20.561317012985501</v>
      </c>
      <c r="AB317" s="91">
        <f>N$238*0.6*('Product half-life and C flows'!P97/100)</f>
        <v>10.270388118374377</v>
      </c>
      <c r="AC317" s="89">
        <f t="shared" si="134"/>
        <v>25.116225792481988</v>
      </c>
      <c r="AD317" s="17"/>
      <c r="AE317">
        <f t="shared" si="100"/>
        <v>159</v>
      </c>
      <c r="AF317" s="3">
        <f>(C$158*$AF$76)*('Product half-life and C flows'!B178/100)</f>
        <v>0.25908200060543463</v>
      </c>
      <c r="AG317" s="3">
        <f t="shared" si="129"/>
        <v>0.43507191357497144</v>
      </c>
      <c r="AH317" s="3" t="e">
        <f>#REF!</f>
        <v>#REF!</v>
      </c>
      <c r="AI317" s="3" t="e">
        <f t="shared" si="115"/>
        <v>#REF!</v>
      </c>
      <c r="AJ317" s="113">
        <f t="shared" si="101"/>
        <v>163.83309614554503</v>
      </c>
      <c r="AK317" s="124">
        <f t="shared" si="120"/>
        <v>0.69046298710440357</v>
      </c>
      <c r="AL317" s="124">
        <f t="shared" si="121"/>
        <v>96.883010176719537</v>
      </c>
      <c r="AM317" s="124">
        <f t="shared" si="122"/>
        <v>49.501791410877075</v>
      </c>
      <c r="AN317" s="124">
        <f t="shared" si="123"/>
        <v>26.400955419134434</v>
      </c>
      <c r="AO317" s="124">
        <f t="shared" si="124"/>
        <v>16.572386273874997</v>
      </c>
      <c r="AP317" s="124">
        <f t="shared" si="125"/>
        <v>43.997686673554014</v>
      </c>
      <c r="AQ317" s="124">
        <f t="shared" si="126"/>
        <v>21.976866470306696</v>
      </c>
      <c r="AR317" s="124">
        <f t="shared" si="127"/>
        <v>36.155053772029632</v>
      </c>
      <c r="AS317" s="3">
        <f t="shared" si="116"/>
        <v>292.1782131836008</v>
      </c>
    </row>
    <row r="318" spans="1:46" ht="14">
      <c r="A318">
        <f t="shared" si="130"/>
        <v>160</v>
      </c>
      <c r="B318" s="19">
        <f t="shared" si="130"/>
        <v>240</v>
      </c>
      <c r="C318" s="26">
        <f t="shared" ref="C318" si="135">B$8*(1-EXP(-B$9*$B318))^3</f>
        <v>163.91551453053341</v>
      </c>
      <c r="D318" s="26"/>
      <c r="E318" s="26"/>
      <c r="F318" s="26"/>
      <c r="G318" s="26"/>
      <c r="H318" s="26"/>
      <c r="I318" s="126"/>
      <c r="J318" s="26"/>
      <c r="K318" s="26"/>
      <c r="L318" s="26"/>
      <c r="M318" s="83">
        <f>C$158*(0.4*D$14)*('Product half-life and C flows'!B179/100)</f>
        <v>3.3367562207375766E-2</v>
      </c>
      <c r="N318" s="85"/>
      <c r="O318" s="85">
        <f t="shared" si="131"/>
        <v>23.063658997738134</v>
      </c>
      <c r="P318" s="85">
        <f t="shared" si="131"/>
        <v>12.300618132127003</v>
      </c>
      <c r="Q318" s="83">
        <f>C$158*(0.6*C$15)*('Product half-life and C flows'!L179/100)</f>
        <v>3.2692496387035246</v>
      </c>
      <c r="R318" s="85">
        <f>C$158*0.6*('Product half-life and C flows'!N179/100)</f>
        <v>23.470234804145029</v>
      </c>
      <c r="S318" s="85">
        <f>C$158*0.6*('Product half-life and C flows'!P179/100)</f>
        <v>11.723394008064444</v>
      </c>
      <c r="T318" s="85">
        <f t="shared" si="132"/>
        <v>11.038827979547648</v>
      </c>
      <c r="U318" s="3"/>
      <c r="V318" s="90">
        <f>N$238*(0.4*V$40)*('Product half-life and C flows'!B98/100)</f>
        <v>0.63357572081473468</v>
      </c>
      <c r="W318" s="90">
        <f t="shared" si="128"/>
        <v>97.410450236139908</v>
      </c>
      <c r="X318" s="89">
        <f t="shared" si="133"/>
        <v>26.438132413138941</v>
      </c>
      <c r="Y318" s="89">
        <f t="shared" si="133"/>
        <v>14.100337287007433</v>
      </c>
      <c r="Z318" s="91">
        <f>N$238*(0.6*Z$41)*('Product half-life and C flows'!L98/100)</f>
        <v>13.049823616509256</v>
      </c>
      <c r="AA318" s="91">
        <f>N$238*0.6*('Product half-life and C flows'!N98/100)</f>
        <v>20.696496090529575</v>
      </c>
      <c r="AB318" s="91">
        <f>N$238*0.6*('Product half-life and C flows'!P98/100)</f>
        <v>10.337910135129659</v>
      </c>
      <c r="AC318" s="89">
        <f t="shared" si="134"/>
        <v>25.116225792481988</v>
      </c>
      <c r="AD318" s="17"/>
      <c r="AE318">
        <f t="shared" si="100"/>
        <v>160</v>
      </c>
      <c r="AF318" s="3">
        <f>(C$158*$AF$76)*('Product half-life and C flows'!B179/100)</f>
        <v>0.25025671655531823</v>
      </c>
      <c r="AG318" s="3">
        <f t="shared" si="129"/>
        <v>0</v>
      </c>
      <c r="AH318" s="3" t="e">
        <f>#REF!</f>
        <v>#REF!</v>
      </c>
      <c r="AI318" s="3" t="e">
        <f t="shared" si="115"/>
        <v>#REF!</v>
      </c>
      <c r="AJ318" s="113">
        <f t="shared" si="101"/>
        <v>163.91551453053341</v>
      </c>
      <c r="AK318" s="124">
        <f t="shared" si="120"/>
        <v>0.66694328302211048</v>
      </c>
      <c r="AL318" s="124">
        <f t="shared" si="121"/>
        <v>97.410450236139908</v>
      </c>
      <c r="AM318" s="124">
        <f t="shared" si="122"/>
        <v>49.501791410877075</v>
      </c>
      <c r="AN318" s="124">
        <f t="shared" si="123"/>
        <v>26.400955419134434</v>
      </c>
      <c r="AO318" s="124">
        <f t="shared" si="124"/>
        <v>16.319073255212782</v>
      </c>
      <c r="AP318" s="124">
        <f t="shared" si="125"/>
        <v>44.1667308946746</v>
      </c>
      <c r="AQ318" s="124">
        <f t="shared" si="126"/>
        <v>22.061304143194103</v>
      </c>
      <c r="AR318" s="124">
        <f t="shared" si="127"/>
        <v>36.155053772029632</v>
      </c>
      <c r="AS318" s="3">
        <f t="shared" si="116"/>
        <v>292.68230241428466</v>
      </c>
    </row>
    <row r="319" spans="1:46">
      <c r="N319" s="17"/>
      <c r="O319" s="17"/>
      <c r="P319" s="17"/>
      <c r="Q319" s="17"/>
      <c r="R319" s="17"/>
      <c r="S319" s="17"/>
      <c r="T319" s="17"/>
      <c r="U319" s="17"/>
    </row>
    <row r="320" spans="1:46">
      <c r="A320" t="s">
        <v>227</v>
      </c>
      <c r="N320" s="3">
        <f>AVERAGE(M158:M238)</f>
        <v>2.909004394320017</v>
      </c>
      <c r="O320" s="3">
        <f t="shared" ref="O320:U320" si="136">AVERAGE(N158:N238)</f>
        <v>51.5032495381109</v>
      </c>
      <c r="P320" s="3">
        <f t="shared" si="136"/>
        <v>23.06365899773817</v>
      </c>
      <c r="Q320" s="3">
        <f t="shared" si="136"/>
        <v>12.300618132127028</v>
      </c>
      <c r="R320" s="3">
        <f t="shared" si="136"/>
        <v>22.131082106034587</v>
      </c>
      <c r="S320" s="3">
        <f t="shared" si="136"/>
        <v>10.88310527094611</v>
      </c>
      <c r="T320" s="3">
        <f t="shared" si="136"/>
        <v>5.4361165189541012</v>
      </c>
      <c r="U320" s="3">
        <f t="shared" si="136"/>
        <v>21.910476047851244</v>
      </c>
      <c r="AH320" s="3"/>
      <c r="AI320" s="3"/>
      <c r="AJ320" s="3" t="e">
        <f>AVERAGE(AI78:AI318)</f>
        <v>#REF!</v>
      </c>
      <c r="AK320" s="3">
        <f>AVERAGE(AJ78:AJ318)</f>
        <v>103.62092086291</v>
      </c>
      <c r="AQ320" s="115"/>
      <c r="AT320" s="3">
        <f>AVERAGE(AS78:AS318)</f>
        <v>148.22848812794336</v>
      </c>
    </row>
    <row r="321" spans="1:39">
      <c r="A321" t="s">
        <v>142</v>
      </c>
      <c r="N321" s="3">
        <f>N320+P320+Q320+R320+S320+T320+U320</f>
        <v>98.63406146797125</v>
      </c>
    </row>
    <row r="322" spans="1:39">
      <c r="A322" t="s">
        <v>143</v>
      </c>
      <c r="N322" s="3">
        <f>AVERAGE(M239:M318)</f>
        <v>0.17741192188658844</v>
      </c>
      <c r="R322" s="3">
        <f t="shared" ref="R322:U322" si="137">AVERAGE(Q239:Q318)</f>
        <v>6.3946869780280595</v>
      </c>
      <c r="S322" s="3">
        <f t="shared" si="137"/>
        <v>21.384526286369137</v>
      </c>
      <c r="T322" s="3">
        <f t="shared" si="137"/>
        <v>10.681581561622938</v>
      </c>
      <c r="U322" s="3">
        <f t="shared" si="137"/>
        <v>11.038827979547671</v>
      </c>
    </row>
    <row r="323" spans="1:39">
      <c r="A323" t="s">
        <v>180</v>
      </c>
      <c r="AK323">
        <f>(SUM(AJ78:AJ318))/240</f>
        <v>104.05267469983879</v>
      </c>
      <c r="AM323">
        <f>(SUM(AJ78:AJ157)+(SUM(AL158:AL318)))/240</f>
        <v>44.168168228820157</v>
      </c>
    </row>
  </sheetData>
  <mergeCells count="3">
    <mergeCell ref="H3:J3"/>
    <mergeCell ref="H7:J7"/>
    <mergeCell ref="A17:B17"/>
  </mergeCells>
  <phoneticPr fontId="2" type="noConversion"/>
  <hyperlinks>
    <hyperlink ref="C4" r:id="rId1" display="COLE: Carbon On Line Estimator Version 2.0.&quot;   Retrieved February 26, 2014, from http://www.ncasi2.org/COLE/"/>
  </hyperlinks>
  <pageMargins left="0.75" right="0.75" top="0.5" bottom="0.5" header="0.5" footer="0.5"/>
  <pageSetup orientation="landscape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 enableFormatConditionsCalculation="0">
    <pageSetUpPr fitToPage="1"/>
  </sheetPr>
  <dimension ref="A1:CS324"/>
  <sheetViews>
    <sheetView topLeftCell="A4" workbookViewId="0">
      <selection activeCell="H24" sqref="H24"/>
    </sheetView>
  </sheetViews>
  <sheetFormatPr baseColWidth="10" defaultColWidth="11.5" defaultRowHeight="12" x14ac:dyDescent="0"/>
  <cols>
    <col min="1" max="1" width="27.5" customWidth="1"/>
    <col min="2" max="2" width="9" style="19" customWidth="1"/>
    <col min="3" max="3" width="9.6640625" customWidth="1"/>
    <col min="4" max="4" width="10.83203125" customWidth="1"/>
    <col min="13" max="20" width="4.83203125" customWidth="1"/>
    <col min="21" max="21" width="4" customWidth="1"/>
    <col min="22" max="48" width="5.33203125" customWidth="1"/>
    <col min="49" max="84" width="3.33203125" customWidth="1"/>
    <col min="85" max="85" width="6.6640625" customWidth="1"/>
  </cols>
  <sheetData>
    <row r="1" spans="1:17">
      <c r="A1" s="65" t="s">
        <v>207</v>
      </c>
      <c r="B1" s="65"/>
      <c r="C1" s="65"/>
      <c r="D1" s="65"/>
      <c r="E1" s="65"/>
    </row>
    <row r="2" spans="1:17">
      <c r="A2" s="65" t="s">
        <v>213</v>
      </c>
      <c r="B2" s="65"/>
      <c r="C2" s="65"/>
      <c r="D2" s="65"/>
      <c r="E2" s="65"/>
      <c r="G2" s="157" t="s">
        <v>72</v>
      </c>
      <c r="H2" s="158"/>
      <c r="I2" s="158"/>
      <c r="J2" s="159"/>
    </row>
    <row r="3" spans="1:17" ht="14">
      <c r="A3" s="65" t="s">
        <v>101</v>
      </c>
      <c r="B3" s="66"/>
      <c r="C3" s="65"/>
      <c r="D3" s="65"/>
      <c r="E3" s="65"/>
      <c r="G3" s="171" t="s">
        <v>68</v>
      </c>
      <c r="H3" s="154" t="s">
        <v>100</v>
      </c>
      <c r="I3" s="155"/>
      <c r="J3" s="156"/>
      <c r="Q3" s="4"/>
    </row>
    <row r="4" spans="1:17" ht="14">
      <c r="A4" t="s">
        <v>107</v>
      </c>
      <c r="C4" s="15" t="s">
        <v>106</v>
      </c>
      <c r="E4" s="65"/>
      <c r="G4" s="67" t="s">
        <v>69</v>
      </c>
      <c r="H4" s="154" t="s">
        <v>99</v>
      </c>
      <c r="I4" s="155"/>
      <c r="J4" s="156"/>
      <c r="Q4" s="4"/>
    </row>
    <row r="5" spans="1:17" ht="14">
      <c r="A5" s="19"/>
      <c r="B5" s="76" t="s">
        <v>23</v>
      </c>
      <c r="C5" t="s">
        <v>24</v>
      </c>
      <c r="D5" t="s">
        <v>211</v>
      </c>
      <c r="G5" s="68" t="s">
        <v>70</v>
      </c>
      <c r="H5" s="154" t="s">
        <v>98</v>
      </c>
      <c r="I5" s="155"/>
      <c r="J5" s="156"/>
      <c r="Q5" s="4"/>
    </row>
    <row r="6" spans="1:17" ht="14">
      <c r="A6" s="117" t="s">
        <v>138</v>
      </c>
      <c r="B6" s="118">
        <v>121.4</v>
      </c>
      <c r="C6" s="117">
        <v>84.4</v>
      </c>
      <c r="G6" s="69" t="s">
        <v>71</v>
      </c>
      <c r="H6" s="154" t="s">
        <v>97</v>
      </c>
      <c r="I6" s="155"/>
      <c r="J6" s="156"/>
      <c r="Q6" s="4"/>
    </row>
    <row r="7" spans="1:17" ht="14">
      <c r="A7" s="116" t="s">
        <v>140</v>
      </c>
      <c r="B7" s="76"/>
      <c r="G7" s="70" t="s">
        <v>103</v>
      </c>
      <c r="H7" s="151" t="s">
        <v>96</v>
      </c>
      <c r="I7" s="152"/>
      <c r="J7" s="153"/>
      <c r="Q7" s="4"/>
    </row>
    <row r="8" spans="1:17" ht="14">
      <c r="A8" s="116" t="s">
        <v>6</v>
      </c>
      <c r="B8" s="27">
        <v>168.03</v>
      </c>
      <c r="C8" s="27">
        <v>110.94</v>
      </c>
      <c r="D8" s="160">
        <v>39.64</v>
      </c>
      <c r="Q8" s="4"/>
    </row>
    <row r="9" spans="1:17" ht="14">
      <c r="A9" s="116" t="s">
        <v>7</v>
      </c>
      <c r="B9" s="27">
        <v>0.02</v>
      </c>
      <c r="C9" s="27">
        <v>0.04</v>
      </c>
      <c r="D9" s="160">
        <v>0.04</v>
      </c>
      <c r="Q9" s="4"/>
    </row>
    <row r="10" spans="1:17" ht="14">
      <c r="A10" s="116" t="s">
        <v>8</v>
      </c>
      <c r="B10" s="27">
        <v>120.14</v>
      </c>
      <c r="C10" s="48">
        <v>77.91</v>
      </c>
      <c r="D10" s="160">
        <v>27.97</v>
      </c>
      <c r="Q10" s="4"/>
    </row>
    <row r="11" spans="1:17" s="40" customFormat="1" ht="14">
      <c r="A11" s="64" t="s">
        <v>132</v>
      </c>
      <c r="B11" s="27">
        <v>1374</v>
      </c>
      <c r="C11" s="48">
        <v>351</v>
      </c>
      <c r="D11" s="161">
        <v>241</v>
      </c>
      <c r="Q11" s="59"/>
    </row>
    <row r="12" spans="1:17" s="40" customFormat="1">
      <c r="A12" s="38" t="s">
        <v>234</v>
      </c>
      <c r="B12" s="74" t="s">
        <v>108</v>
      </c>
      <c r="C12" s="40" t="s">
        <v>109</v>
      </c>
      <c r="D12" s="36" t="s">
        <v>94</v>
      </c>
      <c r="E12" s="74" t="s">
        <v>134</v>
      </c>
      <c r="Q12" s="59"/>
    </row>
    <row r="13" spans="1:17" s="40" customFormat="1" ht="14">
      <c r="A13" s="24" t="s">
        <v>160</v>
      </c>
      <c r="B13" s="172">
        <v>0.72</v>
      </c>
      <c r="C13" s="77">
        <v>0.28000000000000003</v>
      </c>
      <c r="D13" s="36"/>
      <c r="E13" s="167" t="s">
        <v>161</v>
      </c>
      <c r="F13" s="168"/>
      <c r="G13" s="168"/>
      <c r="H13" s="168"/>
      <c r="I13" s="168"/>
      <c r="J13" s="168"/>
      <c r="K13" s="168"/>
      <c r="Q13" s="59"/>
    </row>
    <row r="14" spans="1:17" s="40" customFormat="1" ht="14">
      <c r="A14" s="36" t="s">
        <v>92</v>
      </c>
      <c r="B14" s="50">
        <v>0.75</v>
      </c>
      <c r="C14" s="77">
        <v>0</v>
      </c>
      <c r="D14" s="50">
        <v>0.25</v>
      </c>
      <c r="E14" s="169" t="s">
        <v>110</v>
      </c>
      <c r="F14" s="168"/>
      <c r="G14" s="168"/>
      <c r="H14" s="168"/>
      <c r="I14" s="168"/>
      <c r="J14" s="168"/>
      <c r="K14" s="168"/>
      <c r="Q14" s="59"/>
    </row>
    <row r="15" spans="1:17" s="40" customFormat="1" ht="14">
      <c r="A15" s="36" t="s">
        <v>93</v>
      </c>
      <c r="B15" s="50">
        <v>0.24</v>
      </c>
      <c r="C15" s="61">
        <v>0.75</v>
      </c>
      <c r="D15" s="40">
        <v>0.01</v>
      </c>
      <c r="E15" s="169" t="s">
        <v>235</v>
      </c>
      <c r="F15" s="168"/>
      <c r="G15" s="168"/>
      <c r="H15" s="168"/>
      <c r="I15" s="168"/>
      <c r="J15" s="168"/>
      <c r="K15" s="168"/>
      <c r="Q15" s="59"/>
    </row>
    <row r="16" spans="1:17" s="40" customFormat="1" ht="14">
      <c r="A16" s="120" t="s">
        <v>154</v>
      </c>
      <c r="B16" s="60"/>
      <c r="C16" s="30">
        <v>0.56999999999999995</v>
      </c>
      <c r="D16" s="30">
        <v>0.43</v>
      </c>
      <c r="E16" s="170" t="s">
        <v>156</v>
      </c>
      <c r="F16" s="168"/>
      <c r="G16" s="168"/>
      <c r="H16" s="168"/>
      <c r="I16" s="168"/>
      <c r="J16" s="168"/>
      <c r="K16" s="168"/>
      <c r="Q16" s="59"/>
    </row>
    <row r="17" spans="1:87" ht="14">
      <c r="A17" s="314" t="s">
        <v>90</v>
      </c>
      <c r="B17" s="316"/>
      <c r="C17" s="30"/>
      <c r="D17" s="30"/>
      <c r="E17" s="28"/>
      <c r="F17" s="28"/>
      <c r="G17" s="28"/>
      <c r="Q17" s="4"/>
    </row>
    <row r="18" spans="1:87" ht="14">
      <c r="A18" s="57" t="s">
        <v>113</v>
      </c>
      <c r="B18" s="57" t="s">
        <v>73</v>
      </c>
      <c r="C18" s="103" t="s">
        <v>67</v>
      </c>
      <c r="D18" s="30"/>
      <c r="Q18" s="4"/>
    </row>
    <row r="19" spans="1:87" ht="14">
      <c r="A19" s="173" t="s">
        <v>242</v>
      </c>
      <c r="B19" s="178">
        <f>SUM(C78:C198)</f>
        <v>6768.605372308004</v>
      </c>
      <c r="C19" s="176">
        <f>B19/120</f>
        <v>56.405044769233363</v>
      </c>
      <c r="D19" s="30"/>
      <c r="Q19" s="4"/>
    </row>
    <row r="20" spans="1:87" ht="14">
      <c r="A20" s="24" t="s">
        <v>58</v>
      </c>
      <c r="B20" s="75">
        <f>SUM(C78:C238)</f>
        <v>12322.529666674971</v>
      </c>
      <c r="C20" s="56">
        <f>B20/160</f>
        <v>77.015810416718566</v>
      </c>
      <c r="D20" s="30"/>
      <c r="Q20" s="4"/>
    </row>
    <row r="21" spans="1:87" ht="14">
      <c r="A21" s="24" t="s">
        <v>59</v>
      </c>
      <c r="B21" s="75">
        <f>SUM(C78:C318)</f>
        <v>24972.641927961311</v>
      </c>
      <c r="C21" s="56">
        <f>B21/240</f>
        <v>104.05267469983879</v>
      </c>
      <c r="D21" s="30"/>
      <c r="Q21" s="4"/>
    </row>
    <row r="22" spans="1:87" ht="14" customHeight="1">
      <c r="B22"/>
      <c r="Q22" s="4"/>
    </row>
    <row r="23" spans="1:87" s="1" customFormat="1" ht="24">
      <c r="A23" s="103" t="s">
        <v>120</v>
      </c>
      <c r="B23" s="103" t="s">
        <v>73</v>
      </c>
      <c r="C23" s="103" t="s">
        <v>67</v>
      </c>
      <c r="D23" s="103" t="s">
        <v>91</v>
      </c>
      <c r="E23" s="1" t="s">
        <v>243</v>
      </c>
      <c r="Q23" s="104"/>
    </row>
    <row r="24" spans="1:87" s="1" customFormat="1" ht="24">
      <c r="A24" s="174" t="s">
        <v>241</v>
      </c>
      <c r="B24" s="179">
        <f>SUM(C78:C158)+(SUM(CJ78:CQ198))</f>
        <v>8423.1828728135515</v>
      </c>
      <c r="C24" s="176">
        <f>B24/120</f>
        <v>70.193190606779595</v>
      </c>
      <c r="D24" s="177">
        <f>C24/C19</f>
        <v>1.2444488058463008</v>
      </c>
      <c r="E24" s="182">
        <f>(D24-D25)/D$25</f>
        <v>-6.9576782188516512E-2</v>
      </c>
      <c r="Q24" s="104"/>
    </row>
    <row r="25" spans="1:87" ht="14">
      <c r="A25" s="24" t="s">
        <v>111</v>
      </c>
      <c r="B25" s="75">
        <f>SUM(C78:C158)+SUM(CJ78:CQ238)</f>
        <v>16481.486097014309</v>
      </c>
      <c r="C25" s="56">
        <f>B25/160</f>
        <v>103.00928810633943</v>
      </c>
      <c r="D25" s="69">
        <f>B25/B20</f>
        <v>1.337508331717538</v>
      </c>
      <c r="E25" s="22"/>
      <c r="Q25" s="4"/>
    </row>
    <row r="26" spans="1:87" ht="14">
      <c r="A26" s="24" t="s">
        <v>112</v>
      </c>
      <c r="B26" s="75">
        <f>SUM(C78:C158)+(SUM(CJ78:CQ318))</f>
        <v>39778.45946846818</v>
      </c>
      <c r="C26" s="56">
        <f>B26/240</f>
        <v>165.74358111861741</v>
      </c>
      <c r="D26" s="69">
        <f>B26/B21</f>
        <v>1.5928815054176997</v>
      </c>
      <c r="E26" s="22">
        <f>(D26-D25)/D$25</f>
        <v>0.19093202460445882</v>
      </c>
      <c r="F26" s="28"/>
      <c r="G26" s="28"/>
      <c r="H26" s="31"/>
      <c r="Q26" s="4"/>
    </row>
    <row r="27" spans="1:87" s="40" customFormat="1" ht="14">
      <c r="A27" s="28"/>
      <c r="B27" s="31"/>
      <c r="C27" s="31"/>
      <c r="D27" s="58"/>
      <c r="F27" s="28"/>
      <c r="G27" s="28"/>
      <c r="H27" s="31"/>
      <c r="Q27" s="59"/>
    </row>
    <row r="28" spans="1:87" s="40" customFormat="1" ht="14">
      <c r="A28" s="63" t="s">
        <v>131</v>
      </c>
      <c r="B28" s="31"/>
      <c r="C28" s="62"/>
      <c r="G28" s="28"/>
      <c r="Q28" s="59"/>
    </row>
    <row r="29" spans="1:87" ht="48">
      <c r="A29" s="39" t="s">
        <v>89</v>
      </c>
      <c r="B29" s="39" t="s">
        <v>222</v>
      </c>
      <c r="C29" s="39" t="s">
        <v>220</v>
      </c>
      <c r="D29" s="39" t="s">
        <v>176</v>
      </c>
      <c r="E29" s="39" t="s">
        <v>127</v>
      </c>
      <c r="F29" s="39" t="s">
        <v>115</v>
      </c>
      <c r="G29" s="103" t="s">
        <v>116</v>
      </c>
      <c r="I29" s="28"/>
      <c r="S29" s="4"/>
      <c r="CI29" s="40"/>
    </row>
    <row r="30" spans="1:87" ht="25">
      <c r="A30" s="106" t="s">
        <v>240</v>
      </c>
      <c r="B30" s="75">
        <f>((SUM(CI78:CI158))+(SUM(CJ78:CJ198))+(SUM(CK78:CK198)))/120</f>
        <v>44.770512857598732</v>
      </c>
      <c r="C30" s="75">
        <f>((SUM(CN78:CN198)))/120</f>
        <v>7.340758092587512</v>
      </c>
      <c r="D30" s="75">
        <f>((SUM(CL78:CL198))+(SUM(CM78:CM198))+(SUM(CP78:CP198)))/120</f>
        <v>12.029203792140601</v>
      </c>
      <c r="E30" s="75">
        <f>(SUM(CO78:CO198))/120</f>
        <v>1.4837551286984378</v>
      </c>
      <c r="F30" s="75">
        <f>(SUM(CQ78:CQ198))/120</f>
        <v>4.5689607357542537</v>
      </c>
      <c r="G30" s="102">
        <f>SUM(B30:F30)</f>
        <v>70.193190606779538</v>
      </c>
      <c r="I30" s="28"/>
      <c r="S30" s="4"/>
    </row>
    <row r="31" spans="1:87" ht="14">
      <c r="A31" s="74" t="s">
        <v>105</v>
      </c>
      <c r="B31" s="75">
        <f>((SUM(CI78:CI157))+(SUM(CJ78:CJ238))+(SUM(CK78:CK238)))/160</f>
        <v>51.042843155301128</v>
      </c>
      <c r="C31" s="75">
        <f>(SUM(CN78:CN238))/160</f>
        <v>14.016341624671373</v>
      </c>
      <c r="D31" s="101">
        <f>(SUM(CL78:CL238)+(SUM(CM78:CM238))+(SUM(CP78:CP238)))/160</f>
        <v>23.940548030708612</v>
      </c>
      <c r="E31" s="101">
        <f>SUM(CO78:CO238)/160</f>
        <v>4.934514173573878</v>
      </c>
      <c r="F31" s="75">
        <f>SUM(CQ78:CQ238)/160</f>
        <v>8.5411601267664157</v>
      </c>
      <c r="G31" s="102">
        <f>SUM(B31:F31)</f>
        <v>102.4754071110214</v>
      </c>
      <c r="I31" s="28"/>
      <c r="J31" s="31"/>
      <c r="S31" s="4"/>
    </row>
    <row r="32" spans="1:87" ht="14">
      <c r="A32" s="74" t="s">
        <v>104</v>
      </c>
      <c r="B32" s="75">
        <f>((SUM(CI78:CI157))+(SUM(CJ158:CJ318))+(SUM(CK158:CK318)))/240</f>
        <v>58.075627165937838</v>
      </c>
      <c r="C32" s="75">
        <f>(SUM(CN158:CN318))/240</f>
        <v>23.556454538493355</v>
      </c>
      <c r="D32" s="101">
        <f>(SUM(CL78:CL318)+(SUM(CM78:CM318))+(SUM(CP78:CP318)))/240</f>
        <v>52.524064352709225</v>
      </c>
      <c r="E32" s="101">
        <f>SUM(CO78:CO318)/240</f>
        <v>16.365446750154806</v>
      </c>
      <c r="F32" s="101">
        <f>SUM(CQ78:CQ318)/240</f>
        <v>14.385212593783482</v>
      </c>
      <c r="G32" s="102">
        <f>SUM(B32:F32)</f>
        <v>164.90680540107869</v>
      </c>
      <c r="I32" s="28"/>
      <c r="J32" s="31"/>
      <c r="S32" s="4"/>
    </row>
    <row r="33" spans="1:95" ht="14">
      <c r="A33" s="28"/>
      <c r="B33" s="29"/>
      <c r="C33" s="29"/>
      <c r="D33" s="30"/>
      <c r="E33" s="30"/>
      <c r="F33" s="30"/>
      <c r="G33" s="114"/>
      <c r="H33" s="28"/>
      <c r="I33" s="28"/>
      <c r="J33" s="31"/>
    </row>
    <row r="34" spans="1:95" ht="49">
      <c r="A34" s="39" t="s">
        <v>89</v>
      </c>
      <c r="B34" s="39" t="s">
        <v>222</v>
      </c>
      <c r="C34" s="39" t="s">
        <v>220</v>
      </c>
      <c r="D34" s="39" t="s">
        <v>177</v>
      </c>
      <c r="E34" s="39" t="s">
        <v>127</v>
      </c>
      <c r="F34" s="39" t="s">
        <v>115</v>
      </c>
      <c r="G34" s="103" t="s">
        <v>116</v>
      </c>
      <c r="H34" s="28"/>
      <c r="I34" s="28"/>
      <c r="J34" s="31"/>
    </row>
    <row r="35" spans="1:95" ht="25">
      <c r="A35" s="106" t="s">
        <v>240</v>
      </c>
      <c r="B35" s="105">
        <f>B30/$G30</f>
        <v>0.6378184617422793</v>
      </c>
      <c r="C35" s="105">
        <f t="shared" ref="C35:G35" si="0">C30/$G30</f>
        <v>0.10457934778474812</v>
      </c>
      <c r="D35" s="105">
        <f t="shared" si="0"/>
        <v>0.17137280252051645</v>
      </c>
      <c r="E35" s="105">
        <f t="shared" si="0"/>
        <v>2.1138163344225171E-2</v>
      </c>
      <c r="F35" s="105">
        <f t="shared" si="0"/>
        <v>6.5091224608230941E-2</v>
      </c>
      <c r="G35" s="105">
        <f t="shared" si="0"/>
        <v>1</v>
      </c>
      <c r="H35" s="28"/>
      <c r="I35" s="28"/>
      <c r="J35" s="31"/>
    </row>
    <row r="36" spans="1:95">
      <c r="A36" s="74" t="s">
        <v>105</v>
      </c>
      <c r="B36" s="105">
        <f t="shared" ref="B36:G37" si="1">B31/$G31</f>
        <v>0.49809846668871038</v>
      </c>
      <c r="C36" s="105">
        <f t="shared" si="1"/>
        <v>0.13677761347643275</v>
      </c>
      <c r="D36" s="105">
        <f t="shared" si="1"/>
        <v>0.23362237541317138</v>
      </c>
      <c r="E36" s="105">
        <f t="shared" si="1"/>
        <v>4.8153155109965533E-2</v>
      </c>
      <c r="F36" s="105">
        <f t="shared" si="1"/>
        <v>8.3348389311720048E-2</v>
      </c>
      <c r="G36" s="105">
        <f t="shared" si="1"/>
        <v>1</v>
      </c>
      <c r="H36" s="28"/>
      <c r="I36" s="28"/>
      <c r="J36" s="28"/>
    </row>
    <row r="37" spans="1:95">
      <c r="A37" s="74" t="s">
        <v>104</v>
      </c>
      <c r="B37" s="105">
        <f t="shared" si="1"/>
        <v>0.35217241049991233</v>
      </c>
      <c r="C37" s="105">
        <f t="shared" si="1"/>
        <v>0.142847073419441</v>
      </c>
      <c r="D37" s="105">
        <f t="shared" si="1"/>
        <v>0.31850756083087434</v>
      </c>
      <c r="E37" s="105">
        <f t="shared" si="1"/>
        <v>9.9240578400336635E-2</v>
      </c>
      <c r="F37" s="105">
        <f t="shared" si="1"/>
        <v>8.7232376849435869E-2</v>
      </c>
      <c r="G37" s="105">
        <f t="shared" si="1"/>
        <v>1</v>
      </c>
    </row>
    <row r="38" spans="1:95">
      <c r="W38" s="2"/>
    </row>
    <row r="39" spans="1:95">
      <c r="A39" t="s">
        <v>162</v>
      </c>
      <c r="C39" s="22">
        <v>0.4</v>
      </c>
      <c r="W39" s="22"/>
      <c r="X39" s="22"/>
    </row>
    <row r="40" spans="1:95" ht="14">
      <c r="A40" t="s">
        <v>129</v>
      </c>
      <c r="C40" s="3"/>
      <c r="D40" s="22">
        <f>D14</f>
        <v>0.25</v>
      </c>
      <c r="E40" s="3"/>
      <c r="F40" s="22">
        <f>B14</f>
        <v>0.75</v>
      </c>
      <c r="G40" s="3"/>
      <c r="H40" s="3"/>
      <c r="I40" s="3"/>
      <c r="J40" s="3"/>
      <c r="K40" s="3"/>
      <c r="L40" s="3"/>
      <c r="M40" s="107">
        <f>$D14</f>
        <v>0.25</v>
      </c>
      <c r="O40" s="107">
        <f>$B14</f>
        <v>0.75</v>
      </c>
      <c r="Q40" s="3"/>
      <c r="S40" s="2"/>
      <c r="V40" s="107">
        <f>$D14</f>
        <v>0.25</v>
      </c>
      <c r="X40" s="107">
        <f>$B14</f>
        <v>0.75</v>
      </c>
      <c r="Z40" s="3"/>
      <c r="AB40" s="2"/>
      <c r="AE40" s="107">
        <f>$D14</f>
        <v>0.25</v>
      </c>
      <c r="AG40" s="107">
        <f>$B14</f>
        <v>0.75</v>
      </c>
      <c r="AI40" s="3"/>
      <c r="AK40" s="2"/>
      <c r="AN40" s="107">
        <f>$D14</f>
        <v>0.25</v>
      </c>
      <c r="AP40" s="107">
        <f>$B14</f>
        <v>0.75</v>
      </c>
      <c r="AR40" s="3"/>
      <c r="AT40" s="2"/>
      <c r="AW40" s="107">
        <f>$D14</f>
        <v>0.25</v>
      </c>
      <c r="AY40" s="107">
        <f>$B14</f>
        <v>0.75</v>
      </c>
      <c r="BA40" s="3"/>
      <c r="BC40" s="2"/>
      <c r="BF40" s="107">
        <f>$D14</f>
        <v>0.25</v>
      </c>
      <c r="BH40" s="107">
        <f>$B14</f>
        <v>0.75</v>
      </c>
      <c r="BJ40" s="3"/>
      <c r="BL40" s="2"/>
      <c r="BO40" s="107">
        <f>$D14</f>
        <v>0.25</v>
      </c>
      <c r="BQ40" s="107">
        <f>$B14</f>
        <v>0.75</v>
      </c>
      <c r="BS40" s="3"/>
      <c r="BU40" s="2"/>
      <c r="BX40" s="107">
        <f>$D14</f>
        <v>0.25</v>
      </c>
      <c r="BZ40" s="107">
        <f>$B14</f>
        <v>0.75</v>
      </c>
      <c r="CB40" s="3"/>
      <c r="CD40" s="2"/>
      <c r="CJ40" s="109">
        <f>D14</f>
        <v>0.25</v>
      </c>
      <c r="CL40" s="109">
        <f>B14</f>
        <v>0.75</v>
      </c>
    </row>
    <row r="41" spans="1:95" ht="14">
      <c r="A41" t="s">
        <v>130</v>
      </c>
      <c r="C41" s="3"/>
      <c r="D41" s="3"/>
      <c r="E41" s="3"/>
      <c r="F41" s="3"/>
      <c r="G41" s="22">
        <f>B15</f>
        <v>0.24</v>
      </c>
      <c r="H41" s="22">
        <f>C15</f>
        <v>0.75</v>
      </c>
      <c r="I41" s="3"/>
      <c r="J41" s="3"/>
      <c r="K41" s="3"/>
      <c r="L41" s="3"/>
      <c r="P41" s="108">
        <f>$B15</f>
        <v>0.24</v>
      </c>
      <c r="Q41" s="108">
        <f>$C15</f>
        <v>0.75</v>
      </c>
      <c r="S41" s="2"/>
      <c r="T41" s="2"/>
      <c r="U41" s="4"/>
      <c r="Y41" s="108">
        <f>$B15</f>
        <v>0.24</v>
      </c>
      <c r="Z41" s="108">
        <f>$C15</f>
        <v>0.75</v>
      </c>
      <c r="AB41" s="2"/>
      <c r="AC41" s="2"/>
      <c r="AH41" s="108">
        <f>$B15</f>
        <v>0.24</v>
      </c>
      <c r="AI41" s="108">
        <f>$C15</f>
        <v>0.75</v>
      </c>
      <c r="AK41" s="2"/>
      <c r="AL41" s="2"/>
      <c r="AQ41" s="108">
        <f>$B15</f>
        <v>0.24</v>
      </c>
      <c r="AR41" s="108">
        <f>$C15</f>
        <v>0.75</v>
      </c>
      <c r="AT41" s="2"/>
      <c r="AU41" s="2"/>
      <c r="AZ41" s="108">
        <f>$B15</f>
        <v>0.24</v>
      </c>
      <c r="BA41" s="108">
        <f>$C15</f>
        <v>0.75</v>
      </c>
      <c r="BC41" s="2"/>
      <c r="BD41" s="2"/>
      <c r="BI41" s="108">
        <f>$B15</f>
        <v>0.24</v>
      </c>
      <c r="BJ41" s="108">
        <f>$C15</f>
        <v>0.75</v>
      </c>
      <c r="BL41" s="2"/>
      <c r="BM41" s="2"/>
      <c r="BR41" s="108">
        <f>$B15</f>
        <v>0.24</v>
      </c>
      <c r="BS41" s="108">
        <f>$C15</f>
        <v>0.75</v>
      </c>
      <c r="BU41" s="2"/>
      <c r="BV41" s="2"/>
      <c r="CA41" s="108">
        <f>$B15</f>
        <v>0.24</v>
      </c>
      <c r="CB41" s="108">
        <f>$C15</f>
        <v>0.75</v>
      </c>
      <c r="CD41" s="2"/>
      <c r="CE41" s="2"/>
      <c r="CL41" s="110"/>
      <c r="CM41" s="108">
        <f>B15</f>
        <v>0.24</v>
      </c>
      <c r="CN41" s="109">
        <f>C15</f>
        <v>0.75</v>
      </c>
    </row>
    <row r="42" spans="1:95" ht="14">
      <c r="A42" t="s">
        <v>153</v>
      </c>
      <c r="C42" s="3"/>
      <c r="D42" s="3"/>
      <c r="E42" s="3"/>
      <c r="F42" s="3"/>
      <c r="G42" s="3"/>
      <c r="H42" s="3"/>
      <c r="I42" s="3"/>
      <c r="J42" s="3"/>
      <c r="K42" s="22">
        <f>C16</f>
        <v>0.56999999999999995</v>
      </c>
      <c r="L42" s="3"/>
      <c r="P42" s="108"/>
      <c r="Q42" s="108"/>
      <c r="S42" s="2"/>
      <c r="T42" s="119">
        <f>$C16</f>
        <v>0.56999999999999995</v>
      </c>
      <c r="U42" s="4"/>
      <c r="Y42" s="108"/>
      <c r="Z42" s="108"/>
      <c r="AB42" s="2"/>
      <c r="AC42" s="119">
        <f>$C16</f>
        <v>0.56999999999999995</v>
      </c>
      <c r="AD42" s="119"/>
      <c r="AH42" s="108"/>
      <c r="AI42" s="108"/>
      <c r="AK42" s="2"/>
      <c r="AL42" s="119">
        <f>$C16</f>
        <v>0.56999999999999995</v>
      </c>
      <c r="AM42" s="119"/>
      <c r="AQ42" s="108"/>
      <c r="AR42" s="108"/>
      <c r="AT42" s="2"/>
      <c r="AU42" s="119">
        <f>$C16</f>
        <v>0.56999999999999995</v>
      </c>
      <c r="AV42" s="119"/>
      <c r="AZ42" s="108"/>
      <c r="BA42" s="108"/>
      <c r="BC42" s="2"/>
      <c r="BD42" s="119">
        <f>$C16</f>
        <v>0.56999999999999995</v>
      </c>
      <c r="BI42" s="108"/>
      <c r="BJ42" s="108"/>
      <c r="BL42" s="2"/>
      <c r="BM42" s="119">
        <f>$C16</f>
        <v>0.56999999999999995</v>
      </c>
      <c r="BR42" s="108"/>
      <c r="BS42" s="108"/>
      <c r="BU42" s="2"/>
      <c r="BV42" s="119">
        <f>$C16</f>
        <v>0.56999999999999995</v>
      </c>
      <c r="CA42" s="108"/>
      <c r="CB42" s="108"/>
      <c r="CD42" s="2"/>
      <c r="CE42" s="119">
        <f>$C16</f>
        <v>0.56999999999999995</v>
      </c>
      <c r="CL42" s="110"/>
      <c r="CM42" s="108"/>
      <c r="CN42" s="109"/>
      <c r="CQ42" s="119">
        <f>C16</f>
        <v>0.56999999999999995</v>
      </c>
    </row>
    <row r="43" spans="1:95" ht="14">
      <c r="C43" s="3"/>
      <c r="D43" s="3"/>
      <c r="E43" s="3"/>
      <c r="F43" s="3"/>
      <c r="G43" s="3"/>
      <c r="H43" s="3"/>
      <c r="I43" s="3"/>
      <c r="J43" s="3"/>
      <c r="K43" s="22"/>
      <c r="L43" s="3"/>
      <c r="P43" s="108"/>
      <c r="Q43" s="108"/>
      <c r="S43" s="2"/>
      <c r="T43" s="119"/>
      <c r="U43" s="4"/>
      <c r="Y43" s="108"/>
      <c r="Z43" s="108"/>
      <c r="AB43" s="2"/>
      <c r="AC43" s="119"/>
      <c r="AD43" s="119"/>
      <c r="AH43" s="108"/>
      <c r="AI43" s="108"/>
      <c r="AK43" s="2"/>
      <c r="AL43" s="119"/>
      <c r="AM43" s="119"/>
      <c r="AQ43" s="108"/>
      <c r="AR43" s="108"/>
      <c r="AT43" s="2"/>
      <c r="AU43" s="119"/>
      <c r="AV43" s="119"/>
      <c r="AZ43" s="108"/>
      <c r="BA43" s="108"/>
      <c r="BC43" s="2"/>
      <c r="BD43" s="119"/>
      <c r="BI43" s="108"/>
      <c r="BJ43" s="108"/>
      <c r="BL43" s="2"/>
      <c r="BM43" s="119"/>
      <c r="BR43" s="108"/>
      <c r="BS43" s="108"/>
      <c r="BU43" s="2"/>
      <c r="BV43" s="119"/>
      <c r="CA43" s="108"/>
      <c r="CB43" s="108"/>
      <c r="CD43" s="2"/>
      <c r="CE43" s="119"/>
      <c r="CL43" s="110"/>
      <c r="CM43" s="108"/>
      <c r="CN43" s="109"/>
      <c r="CQ43" s="119"/>
    </row>
    <row r="44" spans="1:95" ht="14">
      <c r="C44" s="3"/>
      <c r="D44" s="3"/>
      <c r="E44" s="3"/>
      <c r="F44" s="3"/>
      <c r="G44" s="3"/>
      <c r="H44" s="3"/>
      <c r="I44" s="3"/>
      <c r="J44" s="3"/>
      <c r="K44" s="22"/>
      <c r="L44" s="3"/>
      <c r="P44" s="108"/>
      <c r="Q44" s="108"/>
      <c r="S44" s="2"/>
      <c r="T44" s="119"/>
      <c r="U44" s="4"/>
      <c r="Y44" s="108"/>
      <c r="Z44" s="108"/>
      <c r="AB44" s="2"/>
      <c r="AC44" s="119"/>
      <c r="AD44" s="119"/>
      <c r="AH44" s="108"/>
      <c r="AI44" s="108"/>
      <c r="AK44" s="2"/>
      <c r="AL44" s="119"/>
      <c r="AM44" s="119"/>
      <c r="AQ44" s="108"/>
      <c r="AR44" s="108"/>
      <c r="AT44" s="2"/>
      <c r="AU44" s="119"/>
      <c r="AV44" s="119"/>
      <c r="AZ44" s="108"/>
      <c r="BA44" s="108"/>
      <c r="BC44" s="2"/>
      <c r="BD44" s="119"/>
      <c r="BI44" s="108"/>
      <c r="BJ44" s="108"/>
      <c r="BL44" s="2"/>
      <c r="BM44" s="119"/>
      <c r="BR44" s="108"/>
      <c r="BS44" s="108"/>
      <c r="BU44" s="2"/>
      <c r="BV44" s="119"/>
      <c r="CA44" s="108"/>
      <c r="CB44" s="108"/>
      <c r="CD44" s="2"/>
      <c r="CE44" s="119"/>
      <c r="CL44" s="110"/>
      <c r="CM44" s="108"/>
      <c r="CN44" s="109"/>
      <c r="CQ44" s="119"/>
    </row>
    <row r="45" spans="1:95" ht="14">
      <c r="C45" s="3"/>
      <c r="D45" s="3"/>
      <c r="E45" s="3"/>
      <c r="F45" s="3"/>
      <c r="G45" s="3"/>
      <c r="H45" s="3"/>
      <c r="I45" s="3"/>
      <c r="J45" s="3"/>
      <c r="K45" s="22"/>
      <c r="L45" s="3"/>
      <c r="P45" s="108"/>
      <c r="Q45" s="108"/>
      <c r="S45" s="2"/>
      <c r="T45" s="119"/>
      <c r="U45" s="4"/>
      <c r="Y45" s="108"/>
      <c r="Z45" s="108"/>
      <c r="AB45" s="2"/>
      <c r="AC45" s="119"/>
      <c r="AD45" s="119"/>
      <c r="AH45" s="108"/>
      <c r="AI45" s="108"/>
      <c r="AK45" s="2"/>
      <c r="AL45" s="119"/>
      <c r="AM45" s="119"/>
      <c r="AQ45" s="108"/>
      <c r="AR45" s="108"/>
      <c r="AT45" s="2"/>
      <c r="AU45" s="119"/>
      <c r="AV45" s="119"/>
      <c r="AZ45" s="108"/>
      <c r="BA45" s="108"/>
      <c r="BC45" s="2"/>
      <c r="BD45" s="119"/>
      <c r="BI45" s="108"/>
      <c r="BJ45" s="108"/>
      <c r="BL45" s="2"/>
      <c r="BM45" s="119"/>
      <c r="BR45" s="108"/>
      <c r="BS45" s="108"/>
      <c r="BU45" s="2"/>
      <c r="BV45" s="119"/>
      <c r="CA45" s="108"/>
      <c r="CB45" s="108"/>
      <c r="CD45" s="2"/>
      <c r="CE45" s="119"/>
      <c r="CL45" s="110"/>
      <c r="CM45" s="108"/>
      <c r="CN45" s="109"/>
      <c r="CQ45" s="119"/>
    </row>
    <row r="46" spans="1:95" ht="14">
      <c r="C46" s="3"/>
      <c r="D46" s="3"/>
      <c r="E46" s="3"/>
      <c r="F46" s="3"/>
      <c r="G46" s="3"/>
      <c r="H46" s="3"/>
      <c r="I46" s="3"/>
      <c r="J46" s="3"/>
      <c r="K46" s="22"/>
      <c r="L46" s="3"/>
      <c r="P46" s="108"/>
      <c r="Q46" s="108"/>
      <c r="S46" s="2"/>
      <c r="T46" s="119"/>
      <c r="U46" s="4"/>
      <c r="Y46" s="108"/>
      <c r="Z46" s="108"/>
      <c r="AB46" s="2"/>
      <c r="AC46" s="119"/>
      <c r="AD46" s="119"/>
      <c r="AH46" s="108"/>
      <c r="AI46" s="108"/>
      <c r="AK46" s="2"/>
      <c r="AL46" s="119"/>
      <c r="AM46" s="119"/>
      <c r="AQ46" s="108"/>
      <c r="AR46" s="108"/>
      <c r="AT46" s="2"/>
      <c r="AU46" s="119"/>
      <c r="AV46" s="119"/>
      <c r="AZ46" s="108"/>
      <c r="BA46" s="108"/>
      <c r="BC46" s="2"/>
      <c r="BD46" s="119"/>
      <c r="BI46" s="108"/>
      <c r="BJ46" s="108"/>
      <c r="BL46" s="2"/>
      <c r="BM46" s="119"/>
      <c r="BR46" s="108"/>
      <c r="BS46" s="108"/>
      <c r="BU46" s="2"/>
      <c r="BV46" s="119"/>
      <c r="CA46" s="108"/>
      <c r="CB46" s="108"/>
      <c r="CD46" s="2"/>
      <c r="CE46" s="119"/>
      <c r="CL46" s="110"/>
      <c r="CM46" s="108"/>
      <c r="CN46" s="109"/>
      <c r="CQ46" s="119"/>
    </row>
    <row r="47" spans="1:95" ht="14">
      <c r="C47" s="3"/>
      <c r="D47" s="3"/>
      <c r="E47" s="3"/>
      <c r="F47" s="3"/>
      <c r="G47" s="3"/>
      <c r="H47" s="3"/>
      <c r="I47" s="3"/>
      <c r="J47" s="3"/>
      <c r="K47" s="22"/>
      <c r="L47" s="3"/>
      <c r="P47" s="108"/>
      <c r="Q47" s="108"/>
      <c r="S47" s="2"/>
      <c r="T47" s="119"/>
      <c r="U47" s="4"/>
      <c r="Y47" s="108"/>
      <c r="Z47" s="108"/>
      <c r="AB47" s="2"/>
      <c r="AC47" s="119"/>
      <c r="AD47" s="119"/>
      <c r="AH47" s="108"/>
      <c r="AI47" s="108"/>
      <c r="AK47" s="2"/>
      <c r="AL47" s="119"/>
      <c r="AM47" s="119"/>
      <c r="AQ47" s="108"/>
      <c r="AR47" s="108"/>
      <c r="AT47" s="2"/>
      <c r="AU47" s="119"/>
      <c r="AV47" s="119"/>
      <c r="AZ47" s="108"/>
      <c r="BA47" s="108"/>
      <c r="BC47" s="2"/>
      <c r="BD47" s="119"/>
      <c r="BI47" s="108"/>
      <c r="BJ47" s="108"/>
      <c r="BL47" s="2"/>
      <c r="BM47" s="119"/>
      <c r="BR47" s="108"/>
      <c r="BS47" s="108"/>
      <c r="BU47" s="2"/>
      <c r="BV47" s="119"/>
      <c r="CA47" s="108"/>
      <c r="CB47" s="108"/>
      <c r="CD47" s="2"/>
      <c r="CE47" s="119"/>
      <c r="CL47" s="110"/>
      <c r="CM47" s="108"/>
      <c r="CN47" s="109"/>
      <c r="CQ47" s="119"/>
    </row>
    <row r="48" spans="1:95" ht="14">
      <c r="B48"/>
      <c r="C48" s="3"/>
      <c r="D48" s="3"/>
      <c r="E48" s="3"/>
      <c r="F48" s="3"/>
      <c r="G48" s="3"/>
      <c r="H48" s="3"/>
      <c r="I48" s="3"/>
      <c r="J48" s="3"/>
      <c r="K48" s="22"/>
      <c r="L48" s="3"/>
      <c r="P48" s="108"/>
      <c r="Q48" s="108"/>
      <c r="S48" s="2"/>
      <c r="T48" s="119"/>
      <c r="U48" s="4"/>
      <c r="Y48" s="108"/>
      <c r="Z48" s="108"/>
      <c r="AB48" s="2"/>
      <c r="AC48" s="119"/>
      <c r="AD48" s="119"/>
      <c r="AH48" s="108"/>
      <c r="AI48" s="108"/>
      <c r="AK48" s="2"/>
      <c r="AL48" s="119"/>
      <c r="AM48" s="119"/>
      <c r="AQ48" s="108"/>
      <c r="AR48" s="108"/>
      <c r="AT48" s="2"/>
      <c r="AU48" s="119"/>
      <c r="AV48" s="119"/>
      <c r="AZ48" s="108"/>
      <c r="BA48" s="108"/>
      <c r="BC48" s="2"/>
      <c r="BD48" s="119"/>
      <c r="BI48" s="108"/>
      <c r="BJ48" s="108"/>
      <c r="BL48" s="2"/>
      <c r="BM48" s="119"/>
      <c r="BR48" s="108"/>
      <c r="BS48" s="108"/>
      <c r="BU48" s="2"/>
      <c r="BV48" s="119"/>
      <c r="CA48" s="108"/>
      <c r="CB48" s="108"/>
      <c r="CD48" s="2"/>
      <c r="CE48" s="119"/>
      <c r="CL48" s="110"/>
      <c r="CM48" s="108"/>
      <c r="CN48" s="109"/>
      <c r="CQ48" s="119"/>
    </row>
    <row r="49" spans="2:95" ht="14">
      <c r="B49"/>
      <c r="C49" s="3"/>
      <c r="D49" s="3"/>
      <c r="E49" s="3"/>
      <c r="F49" s="3"/>
      <c r="G49" s="3"/>
      <c r="H49" s="3"/>
      <c r="I49" s="3"/>
      <c r="J49" s="3"/>
      <c r="K49" s="22"/>
      <c r="L49" s="3"/>
      <c r="P49" s="108"/>
      <c r="Q49" s="108"/>
      <c r="S49" s="2"/>
      <c r="T49" s="119"/>
      <c r="U49" s="4"/>
      <c r="Y49" s="108"/>
      <c r="Z49" s="108"/>
      <c r="AB49" s="2"/>
      <c r="AC49" s="119"/>
      <c r="AD49" s="119"/>
      <c r="AH49" s="108"/>
      <c r="AI49" s="108"/>
      <c r="AK49" s="2"/>
      <c r="AL49" s="119"/>
      <c r="AM49" s="119"/>
      <c r="AQ49" s="108"/>
      <c r="AR49" s="108"/>
      <c r="AT49" s="2"/>
      <c r="AU49" s="119"/>
      <c r="AV49" s="119"/>
      <c r="AZ49" s="108"/>
      <c r="BA49" s="108"/>
      <c r="BC49" s="2"/>
      <c r="BD49" s="119"/>
      <c r="BI49" s="108"/>
      <c r="BJ49" s="108"/>
      <c r="BL49" s="2"/>
      <c r="BM49" s="119"/>
      <c r="BR49" s="108"/>
      <c r="BS49" s="108"/>
      <c r="BU49" s="2"/>
      <c r="BV49" s="119"/>
      <c r="CA49" s="108"/>
      <c r="CB49" s="108"/>
      <c r="CD49" s="2"/>
      <c r="CE49" s="119"/>
      <c r="CL49" s="110"/>
      <c r="CM49" s="108"/>
      <c r="CN49" s="109"/>
      <c r="CQ49" s="119"/>
    </row>
    <row r="50" spans="2:95" ht="14">
      <c r="B50"/>
      <c r="C50" s="3"/>
      <c r="D50" s="3"/>
      <c r="E50" s="3"/>
      <c r="F50" s="3"/>
      <c r="G50" s="3"/>
      <c r="H50" s="3"/>
      <c r="I50" s="3"/>
      <c r="J50" s="3"/>
      <c r="K50" s="22"/>
      <c r="L50" s="3"/>
      <c r="P50" s="108"/>
      <c r="Q50" s="108"/>
      <c r="S50" s="2"/>
      <c r="T50" s="119"/>
      <c r="U50" s="4"/>
      <c r="Y50" s="108"/>
      <c r="Z50" s="108"/>
      <c r="AB50" s="2"/>
      <c r="AC50" s="119"/>
      <c r="AD50" s="119"/>
      <c r="AH50" s="108"/>
      <c r="AI50" s="108"/>
      <c r="AK50" s="2"/>
      <c r="AL50" s="119"/>
      <c r="AM50" s="119"/>
      <c r="AQ50" s="108"/>
      <c r="AR50" s="108"/>
      <c r="AT50" s="2"/>
      <c r="AU50" s="119"/>
      <c r="AV50" s="119"/>
      <c r="AZ50" s="108"/>
      <c r="BA50" s="108"/>
      <c r="BC50" s="2"/>
      <c r="BD50" s="119"/>
      <c r="BI50" s="108"/>
      <c r="BJ50" s="108"/>
      <c r="BL50" s="2"/>
      <c r="BM50" s="119"/>
      <c r="BR50" s="108"/>
      <c r="BS50" s="108"/>
      <c r="BU50" s="2"/>
      <c r="BV50" s="119"/>
      <c r="CA50" s="108"/>
      <c r="CB50" s="108"/>
      <c r="CD50" s="2"/>
      <c r="CE50" s="119"/>
      <c r="CL50" s="110"/>
      <c r="CM50" s="108"/>
      <c r="CN50" s="109"/>
      <c r="CQ50" s="119"/>
    </row>
    <row r="51" spans="2:95" ht="14">
      <c r="B51"/>
      <c r="C51" s="3"/>
      <c r="D51" s="3"/>
      <c r="E51" s="3"/>
      <c r="F51" s="3"/>
      <c r="G51" s="3"/>
      <c r="H51" s="3"/>
      <c r="I51" s="3"/>
      <c r="J51" s="3"/>
      <c r="K51" s="22"/>
      <c r="L51" s="3"/>
      <c r="P51" s="108"/>
      <c r="Q51" s="108"/>
      <c r="S51" s="2"/>
      <c r="T51" s="119"/>
      <c r="U51" s="4"/>
      <c r="Y51" s="108"/>
      <c r="Z51" s="108"/>
      <c r="AB51" s="2"/>
      <c r="AC51" s="119"/>
      <c r="AD51" s="119"/>
      <c r="AH51" s="108"/>
      <c r="AI51" s="108"/>
      <c r="AK51" s="2"/>
      <c r="AL51" s="119"/>
      <c r="AM51" s="119"/>
      <c r="AQ51" s="108"/>
      <c r="AR51" s="108"/>
      <c r="AT51" s="2"/>
      <c r="AU51" s="119"/>
      <c r="AV51" s="119"/>
      <c r="AZ51" s="108"/>
      <c r="BA51" s="108"/>
      <c r="BC51" s="2"/>
      <c r="BD51" s="119"/>
      <c r="BI51" s="108"/>
      <c r="BJ51" s="108"/>
      <c r="BL51" s="2"/>
      <c r="BM51" s="119"/>
      <c r="BR51" s="108"/>
      <c r="BS51" s="108"/>
      <c r="BU51" s="2"/>
      <c r="BV51" s="119"/>
      <c r="CA51" s="108"/>
      <c r="CB51" s="108"/>
      <c r="CD51" s="2"/>
      <c r="CE51" s="119"/>
      <c r="CL51" s="110"/>
      <c r="CM51" s="108"/>
      <c r="CN51" s="109"/>
      <c r="CQ51" s="119"/>
    </row>
    <row r="52" spans="2:95" ht="14">
      <c r="B52"/>
      <c r="C52" s="3"/>
      <c r="D52" s="3"/>
      <c r="E52" s="3"/>
      <c r="F52" s="3"/>
      <c r="G52" s="3"/>
      <c r="H52" s="3"/>
      <c r="I52" s="3"/>
      <c r="J52" s="3"/>
      <c r="K52" s="22"/>
      <c r="L52" s="3"/>
      <c r="P52" s="108"/>
      <c r="Q52" s="108"/>
      <c r="S52" s="2"/>
      <c r="T52" s="119"/>
      <c r="U52" s="4"/>
      <c r="Y52" s="108"/>
      <c r="Z52" s="108"/>
      <c r="AB52" s="2"/>
      <c r="AC52" s="119"/>
      <c r="AD52" s="119"/>
      <c r="AH52" s="108"/>
      <c r="AI52" s="108"/>
      <c r="AK52" s="2"/>
      <c r="AL52" s="119"/>
      <c r="AM52" s="119"/>
      <c r="AQ52" s="108"/>
      <c r="AR52" s="108"/>
      <c r="AT52" s="2"/>
      <c r="AU52" s="119"/>
      <c r="AV52" s="119"/>
      <c r="AZ52" s="108"/>
      <c r="BA52" s="108"/>
      <c r="BC52" s="2"/>
      <c r="BD52" s="119"/>
      <c r="BI52" s="108"/>
      <c r="BJ52" s="108"/>
      <c r="BL52" s="2"/>
      <c r="BM52" s="119"/>
      <c r="BR52" s="108"/>
      <c r="BS52" s="108"/>
      <c r="BU52" s="2"/>
      <c r="BV52" s="119"/>
      <c r="CA52" s="108"/>
      <c r="CB52" s="108"/>
      <c r="CD52" s="2"/>
      <c r="CE52" s="119"/>
      <c r="CL52" s="110"/>
      <c r="CM52" s="108"/>
      <c r="CN52" s="109"/>
      <c r="CQ52" s="119"/>
    </row>
    <row r="53" spans="2:95" ht="14">
      <c r="B53"/>
      <c r="C53" s="3"/>
      <c r="D53" s="3"/>
      <c r="E53" s="3"/>
      <c r="F53" s="3"/>
      <c r="G53" s="3"/>
      <c r="H53" s="3"/>
      <c r="I53" s="3"/>
      <c r="J53" s="3"/>
      <c r="K53" s="22"/>
      <c r="L53" s="3"/>
      <c r="P53" s="108"/>
      <c r="Q53" s="108"/>
      <c r="S53" s="2"/>
      <c r="T53" s="119"/>
      <c r="U53" s="4"/>
      <c r="Y53" s="108"/>
      <c r="Z53" s="108"/>
      <c r="AB53" s="2"/>
      <c r="AC53" s="119"/>
      <c r="AD53" s="119"/>
      <c r="AH53" s="108"/>
      <c r="AI53" s="108"/>
      <c r="AK53" s="2"/>
      <c r="AL53" s="119"/>
      <c r="AM53" s="119"/>
      <c r="AQ53" s="108"/>
      <c r="AR53" s="108"/>
      <c r="AT53" s="2"/>
      <c r="AU53" s="119"/>
      <c r="AV53" s="119"/>
      <c r="AZ53" s="108"/>
      <c r="BA53" s="108"/>
      <c r="BC53" s="2"/>
      <c r="BD53" s="119"/>
      <c r="BI53" s="108"/>
      <c r="BJ53" s="108"/>
      <c r="BL53" s="2"/>
      <c r="BM53" s="119"/>
      <c r="BR53" s="108"/>
      <c r="BS53" s="108"/>
      <c r="BU53" s="2"/>
      <c r="BV53" s="119"/>
      <c r="CA53" s="108"/>
      <c r="CB53" s="108"/>
      <c r="CD53" s="2"/>
      <c r="CE53" s="119"/>
      <c r="CL53" s="110"/>
      <c r="CM53" s="108"/>
      <c r="CN53" s="109"/>
      <c r="CQ53" s="119"/>
    </row>
    <row r="54" spans="2:95" ht="14">
      <c r="B54"/>
      <c r="C54" s="3"/>
      <c r="D54" s="3"/>
      <c r="E54" s="3"/>
      <c r="F54" s="3"/>
      <c r="G54" s="3"/>
      <c r="H54" s="3"/>
      <c r="I54" s="3"/>
      <c r="J54" s="3"/>
      <c r="K54" s="22"/>
      <c r="L54" s="3"/>
      <c r="P54" s="108"/>
      <c r="Q54" s="108"/>
      <c r="S54" s="2"/>
      <c r="T54" s="119"/>
      <c r="U54" s="4"/>
      <c r="Y54" s="108"/>
      <c r="Z54" s="108"/>
      <c r="AB54" s="2"/>
      <c r="AC54" s="119"/>
      <c r="AD54" s="119"/>
      <c r="AH54" s="108"/>
      <c r="AI54" s="108"/>
      <c r="AK54" s="2"/>
      <c r="AL54" s="119"/>
      <c r="AM54" s="119"/>
      <c r="AQ54" s="108"/>
      <c r="AR54" s="108"/>
      <c r="AT54" s="2"/>
      <c r="AU54" s="119"/>
      <c r="AV54" s="119"/>
      <c r="AZ54" s="108"/>
      <c r="BA54" s="108"/>
      <c r="BC54" s="2"/>
      <c r="BD54" s="119"/>
      <c r="BI54" s="108"/>
      <c r="BJ54" s="108"/>
      <c r="BL54" s="2"/>
      <c r="BM54" s="119"/>
      <c r="BR54" s="108"/>
      <c r="BS54" s="108"/>
      <c r="BU54" s="2"/>
      <c r="BV54" s="119"/>
      <c r="CA54" s="108"/>
      <c r="CB54" s="108"/>
      <c r="CD54" s="2"/>
      <c r="CE54" s="119"/>
      <c r="CL54" s="110"/>
      <c r="CM54" s="108"/>
      <c r="CN54" s="109"/>
      <c r="CQ54" s="119"/>
    </row>
    <row r="55" spans="2:95" ht="14">
      <c r="B55"/>
      <c r="C55" s="3"/>
      <c r="D55" s="3"/>
      <c r="E55" s="3"/>
      <c r="F55" s="3"/>
      <c r="G55" s="3"/>
      <c r="H55" s="3"/>
      <c r="I55" s="3"/>
      <c r="J55" s="3"/>
      <c r="K55" s="22"/>
      <c r="L55" s="3"/>
      <c r="P55" s="108"/>
      <c r="Q55" s="108"/>
      <c r="S55" s="2"/>
      <c r="T55" s="119"/>
      <c r="U55" s="4"/>
      <c r="Y55" s="108"/>
      <c r="Z55" s="108"/>
      <c r="AB55" s="2"/>
      <c r="AC55" s="119"/>
      <c r="AD55" s="119"/>
      <c r="AH55" s="108"/>
      <c r="AI55" s="108"/>
      <c r="AK55" s="2"/>
      <c r="AL55" s="119"/>
      <c r="AM55" s="119"/>
      <c r="AQ55" s="108"/>
      <c r="AR55" s="108"/>
      <c r="AT55" s="2"/>
      <c r="AU55" s="119"/>
      <c r="AV55" s="119"/>
      <c r="AZ55" s="108"/>
      <c r="BA55" s="108"/>
      <c r="BC55" s="2"/>
      <c r="BD55" s="119"/>
      <c r="BI55" s="108"/>
      <c r="BJ55" s="108"/>
      <c r="BL55" s="2"/>
      <c r="BM55" s="119"/>
      <c r="BR55" s="108"/>
      <c r="BS55" s="108"/>
      <c r="BU55" s="2"/>
      <c r="BV55" s="119"/>
      <c r="CA55" s="108"/>
      <c r="CB55" s="108"/>
      <c r="CD55" s="2"/>
      <c r="CE55" s="119"/>
      <c r="CL55" s="110"/>
      <c r="CM55" s="108"/>
      <c r="CN55" s="109"/>
      <c r="CQ55" s="119"/>
    </row>
    <row r="56" spans="2:95" ht="14">
      <c r="B56"/>
      <c r="C56" s="3"/>
      <c r="D56" s="3"/>
      <c r="E56" s="3"/>
      <c r="F56" s="3"/>
      <c r="G56" s="3"/>
      <c r="H56" s="3"/>
      <c r="I56" s="3"/>
      <c r="J56" s="3"/>
      <c r="K56" s="22"/>
      <c r="L56" s="3"/>
      <c r="P56" s="108"/>
      <c r="Q56" s="108"/>
      <c r="S56" s="2"/>
      <c r="T56" s="119"/>
      <c r="U56" s="4"/>
      <c r="Y56" s="108"/>
      <c r="Z56" s="108"/>
      <c r="AB56" s="2"/>
      <c r="AC56" s="119"/>
      <c r="AD56" s="119"/>
      <c r="AH56" s="108"/>
      <c r="AI56" s="108"/>
      <c r="AK56" s="2"/>
      <c r="AL56" s="119"/>
      <c r="AM56" s="119"/>
      <c r="AQ56" s="108"/>
      <c r="AR56" s="108"/>
      <c r="AT56" s="2"/>
      <c r="AU56" s="119"/>
      <c r="AV56" s="119"/>
      <c r="AZ56" s="108"/>
      <c r="BA56" s="108"/>
      <c r="BC56" s="2"/>
      <c r="BD56" s="119"/>
      <c r="BI56" s="108"/>
      <c r="BJ56" s="108"/>
      <c r="BL56" s="2"/>
      <c r="BM56" s="119"/>
      <c r="BR56" s="108"/>
      <c r="BS56" s="108"/>
      <c r="BU56" s="2"/>
      <c r="BV56" s="119"/>
      <c r="CA56" s="108"/>
      <c r="CB56" s="108"/>
      <c r="CD56" s="2"/>
      <c r="CE56" s="119"/>
      <c r="CL56" s="110"/>
      <c r="CM56" s="108"/>
      <c r="CN56" s="109"/>
      <c r="CQ56" s="119"/>
    </row>
    <row r="57" spans="2:95" ht="14">
      <c r="B57"/>
      <c r="C57" s="3"/>
      <c r="D57" s="3"/>
      <c r="E57" s="3"/>
      <c r="F57" s="3"/>
      <c r="G57" s="3"/>
      <c r="H57" s="3"/>
      <c r="I57" s="3"/>
      <c r="J57" s="3"/>
      <c r="K57" s="22"/>
      <c r="L57" s="3"/>
      <c r="P57" s="108"/>
      <c r="Q57" s="108"/>
      <c r="S57" s="2"/>
      <c r="T57" s="119"/>
      <c r="U57" s="4"/>
      <c r="Y57" s="108"/>
      <c r="Z57" s="108"/>
      <c r="AB57" s="2"/>
      <c r="AC57" s="119"/>
      <c r="AD57" s="119"/>
      <c r="AH57" s="108"/>
      <c r="AI57" s="108"/>
      <c r="AK57" s="2"/>
      <c r="AL57" s="119"/>
      <c r="AM57" s="119"/>
      <c r="AQ57" s="108"/>
      <c r="AR57" s="108"/>
      <c r="AT57" s="2"/>
      <c r="AU57" s="119"/>
      <c r="AV57" s="119"/>
      <c r="AZ57" s="108"/>
      <c r="BA57" s="108"/>
      <c r="BC57" s="2"/>
      <c r="BD57" s="119"/>
      <c r="BI57" s="108"/>
      <c r="BJ57" s="108"/>
      <c r="BL57" s="2"/>
      <c r="BM57" s="119"/>
      <c r="BR57" s="108"/>
      <c r="BS57" s="108"/>
      <c r="BU57" s="2"/>
      <c r="BV57" s="119"/>
      <c r="CA57" s="108"/>
      <c r="CB57" s="108"/>
      <c r="CD57" s="2"/>
      <c r="CE57" s="119"/>
      <c r="CL57" s="110"/>
      <c r="CM57" s="108"/>
      <c r="CN57" s="109"/>
      <c r="CQ57" s="119"/>
    </row>
    <row r="58" spans="2:95" ht="14">
      <c r="B58"/>
      <c r="C58" s="3"/>
      <c r="D58" s="3"/>
      <c r="E58" s="3"/>
      <c r="F58" s="3"/>
      <c r="G58" s="3"/>
      <c r="H58" s="3"/>
      <c r="I58" s="3"/>
      <c r="J58" s="3"/>
      <c r="K58" s="22"/>
      <c r="L58" s="3"/>
      <c r="P58" s="108"/>
      <c r="Q58" s="108"/>
      <c r="S58" s="2"/>
      <c r="T58" s="119"/>
      <c r="U58" s="4"/>
      <c r="Y58" s="108"/>
      <c r="Z58" s="108"/>
      <c r="AB58" s="2"/>
      <c r="AC58" s="119"/>
      <c r="AD58" s="119"/>
      <c r="AH58" s="108"/>
      <c r="AI58" s="108"/>
      <c r="AK58" s="2"/>
      <c r="AL58" s="119"/>
      <c r="AM58" s="119"/>
      <c r="AQ58" s="108"/>
      <c r="AR58" s="108"/>
      <c r="AT58" s="2"/>
      <c r="AU58" s="119"/>
      <c r="AV58" s="119"/>
      <c r="AZ58" s="108"/>
      <c r="BA58" s="108"/>
      <c r="BC58" s="2"/>
      <c r="BD58" s="119"/>
      <c r="BI58" s="108"/>
      <c r="BJ58" s="108"/>
      <c r="BL58" s="2"/>
      <c r="BM58" s="119"/>
      <c r="BR58" s="108"/>
      <c r="BS58" s="108"/>
      <c r="BU58" s="2"/>
      <c r="BV58" s="119"/>
      <c r="CA58" s="108"/>
      <c r="CB58" s="108"/>
      <c r="CD58" s="2"/>
      <c r="CE58" s="119"/>
      <c r="CL58" s="110"/>
      <c r="CM58" s="108"/>
      <c r="CN58" s="109"/>
      <c r="CQ58" s="119"/>
    </row>
    <row r="59" spans="2:95" ht="14">
      <c r="B59"/>
      <c r="C59" s="3"/>
      <c r="D59" s="3"/>
      <c r="E59" s="3"/>
      <c r="F59" s="3"/>
      <c r="G59" s="3"/>
      <c r="H59" s="3"/>
      <c r="I59" s="3"/>
      <c r="J59" s="3"/>
      <c r="K59" s="22"/>
      <c r="L59" s="3"/>
      <c r="P59" s="108"/>
      <c r="Q59" s="108"/>
      <c r="S59" s="2"/>
      <c r="T59" s="119"/>
      <c r="U59" s="4"/>
      <c r="Y59" s="108"/>
      <c r="Z59" s="108"/>
      <c r="AB59" s="2"/>
      <c r="AC59" s="119"/>
      <c r="AD59" s="119"/>
      <c r="AH59" s="108"/>
      <c r="AI59" s="108"/>
      <c r="AK59" s="2"/>
      <c r="AL59" s="119"/>
      <c r="AM59" s="119"/>
      <c r="AQ59" s="108"/>
      <c r="AR59" s="108"/>
      <c r="AT59" s="2"/>
      <c r="AU59" s="119"/>
      <c r="AV59" s="119"/>
      <c r="AZ59" s="108"/>
      <c r="BA59" s="108"/>
      <c r="BC59" s="2"/>
      <c r="BD59" s="119"/>
      <c r="BI59" s="108"/>
      <c r="BJ59" s="108"/>
      <c r="BL59" s="2"/>
      <c r="BM59" s="119"/>
      <c r="BR59" s="108"/>
      <c r="BS59" s="108"/>
      <c r="BU59" s="2"/>
      <c r="BV59" s="119"/>
      <c r="CA59" s="108"/>
      <c r="CB59" s="108"/>
      <c r="CD59" s="2"/>
      <c r="CE59" s="119"/>
      <c r="CL59" s="110"/>
      <c r="CM59" s="108"/>
      <c r="CN59" s="109"/>
      <c r="CQ59" s="119"/>
    </row>
    <row r="60" spans="2:95" ht="14">
      <c r="B60"/>
      <c r="C60" s="3"/>
      <c r="D60" s="3"/>
      <c r="E60" s="3"/>
      <c r="F60" s="3"/>
      <c r="G60" s="3"/>
      <c r="H60" s="3"/>
      <c r="I60" s="3"/>
      <c r="J60" s="3"/>
      <c r="K60" s="22"/>
      <c r="L60" s="3"/>
      <c r="P60" s="108"/>
      <c r="Q60" s="108"/>
      <c r="S60" s="2"/>
      <c r="T60" s="119"/>
      <c r="U60" s="4"/>
      <c r="Y60" s="108"/>
      <c r="Z60" s="108"/>
      <c r="AB60" s="2"/>
      <c r="AC60" s="119"/>
      <c r="AD60" s="119"/>
      <c r="AH60" s="108"/>
      <c r="AI60" s="108"/>
      <c r="AK60" s="2"/>
      <c r="AL60" s="119"/>
      <c r="AM60" s="119"/>
      <c r="AQ60" s="108"/>
      <c r="AR60" s="108"/>
      <c r="AT60" s="2"/>
      <c r="AU60" s="119"/>
      <c r="AV60" s="119"/>
      <c r="AZ60" s="108"/>
      <c r="BA60" s="108"/>
      <c r="BC60" s="2"/>
      <c r="BD60" s="119"/>
      <c r="BI60" s="108"/>
      <c r="BJ60" s="108"/>
      <c r="BL60" s="2"/>
      <c r="BM60" s="119"/>
      <c r="BR60" s="108"/>
      <c r="BS60" s="108"/>
      <c r="BU60" s="2"/>
      <c r="BV60" s="119"/>
      <c r="CA60" s="108"/>
      <c r="CB60" s="108"/>
      <c r="CD60" s="2"/>
      <c r="CE60" s="119"/>
      <c r="CL60" s="110"/>
      <c r="CM60" s="108"/>
      <c r="CN60" s="109"/>
      <c r="CQ60" s="119"/>
    </row>
    <row r="61" spans="2:95" ht="14">
      <c r="B61"/>
      <c r="C61" s="3"/>
      <c r="D61" s="3"/>
      <c r="E61" s="3"/>
      <c r="F61" s="3"/>
      <c r="G61" s="3"/>
      <c r="H61" s="3"/>
      <c r="I61" s="3"/>
      <c r="J61" s="3"/>
      <c r="K61" s="22"/>
      <c r="L61" s="3"/>
      <c r="P61" s="108"/>
      <c r="Q61" s="108"/>
      <c r="S61" s="2"/>
      <c r="T61" s="119"/>
      <c r="U61" s="4"/>
      <c r="Y61" s="108"/>
      <c r="Z61" s="108"/>
      <c r="AB61" s="2"/>
      <c r="AC61" s="119"/>
      <c r="AD61" s="119"/>
      <c r="AH61" s="108"/>
      <c r="AI61" s="108"/>
      <c r="AK61" s="2"/>
      <c r="AL61" s="119"/>
      <c r="AM61" s="119"/>
      <c r="AQ61" s="108"/>
      <c r="AR61" s="108"/>
      <c r="AT61" s="2"/>
      <c r="AU61" s="119"/>
      <c r="AV61" s="119"/>
      <c r="AZ61" s="108"/>
      <c r="BA61" s="108"/>
      <c r="BC61" s="2"/>
      <c r="BD61" s="119"/>
      <c r="BI61" s="108"/>
      <c r="BJ61" s="108"/>
      <c r="BL61" s="2"/>
      <c r="BM61" s="119"/>
      <c r="BR61" s="108"/>
      <c r="BS61" s="108"/>
      <c r="BU61" s="2"/>
      <c r="BV61" s="119"/>
      <c r="CA61" s="108"/>
      <c r="CB61" s="108"/>
      <c r="CD61" s="2"/>
      <c r="CE61" s="119"/>
      <c r="CL61" s="110"/>
      <c r="CM61" s="108"/>
      <c r="CN61" s="109"/>
      <c r="CQ61" s="119"/>
    </row>
    <row r="62" spans="2:95" ht="14">
      <c r="B62"/>
      <c r="C62" s="3"/>
      <c r="D62" s="3"/>
      <c r="E62" s="3"/>
      <c r="F62" s="3"/>
      <c r="G62" s="3"/>
      <c r="H62" s="3"/>
      <c r="I62" s="3"/>
      <c r="J62" s="3"/>
      <c r="K62" s="22"/>
      <c r="L62" s="3"/>
      <c r="P62" s="108"/>
      <c r="Q62" s="108"/>
      <c r="S62" s="2"/>
      <c r="T62" s="119"/>
      <c r="U62" s="4"/>
      <c r="Y62" s="108"/>
      <c r="Z62" s="108"/>
      <c r="AB62" s="2"/>
      <c r="AC62" s="119"/>
      <c r="AD62" s="119"/>
      <c r="AH62" s="108"/>
      <c r="AI62" s="108"/>
      <c r="AK62" s="2"/>
      <c r="AL62" s="119"/>
      <c r="AM62" s="119"/>
      <c r="AQ62" s="108"/>
      <c r="AR62" s="108"/>
      <c r="AT62" s="2"/>
      <c r="AU62" s="119"/>
      <c r="AV62" s="119"/>
      <c r="AZ62" s="108"/>
      <c r="BA62" s="108"/>
      <c r="BC62" s="2"/>
      <c r="BD62" s="119"/>
      <c r="BI62" s="108"/>
      <c r="BJ62" s="108"/>
      <c r="BL62" s="2"/>
      <c r="BM62" s="119"/>
      <c r="BR62" s="108"/>
      <c r="BS62" s="108"/>
      <c r="BU62" s="2"/>
      <c r="BV62" s="119"/>
      <c r="CA62" s="108"/>
      <c r="CB62" s="108"/>
      <c r="CD62" s="2"/>
      <c r="CE62" s="119"/>
      <c r="CL62" s="110"/>
      <c r="CM62" s="108"/>
      <c r="CN62" s="109"/>
      <c r="CQ62" s="119"/>
    </row>
    <row r="63" spans="2:95" ht="14">
      <c r="B63"/>
      <c r="C63" s="3"/>
      <c r="D63" s="3"/>
      <c r="E63" s="3"/>
      <c r="F63" s="3"/>
      <c r="G63" s="3"/>
      <c r="H63" s="3"/>
      <c r="I63" s="3"/>
      <c r="J63" s="3"/>
      <c r="K63" s="22"/>
      <c r="L63" s="3"/>
      <c r="P63" s="108"/>
      <c r="Q63" s="108"/>
      <c r="S63" s="2"/>
      <c r="T63" s="119"/>
      <c r="U63" s="4"/>
      <c r="Y63" s="108"/>
      <c r="Z63" s="108"/>
      <c r="AB63" s="2"/>
      <c r="AC63" s="119"/>
      <c r="AD63" s="119"/>
      <c r="AH63" s="108"/>
      <c r="AI63" s="108"/>
      <c r="AK63" s="2"/>
      <c r="AL63" s="119"/>
      <c r="AM63" s="119"/>
      <c r="AQ63" s="108"/>
      <c r="AR63" s="108"/>
      <c r="AT63" s="2"/>
      <c r="AU63" s="119"/>
      <c r="AV63" s="119"/>
      <c r="AZ63" s="108"/>
      <c r="BA63" s="108"/>
      <c r="BC63" s="2"/>
      <c r="BD63" s="119"/>
      <c r="BI63" s="108"/>
      <c r="BJ63" s="108"/>
      <c r="BL63" s="2"/>
      <c r="BM63" s="119"/>
      <c r="BR63" s="108"/>
      <c r="BS63" s="108"/>
      <c r="BU63" s="2"/>
      <c r="BV63" s="119"/>
      <c r="CA63" s="108"/>
      <c r="CB63" s="108"/>
      <c r="CD63" s="2"/>
      <c r="CE63" s="119"/>
      <c r="CL63" s="110"/>
      <c r="CM63" s="108"/>
      <c r="CN63" s="109"/>
      <c r="CQ63" s="119"/>
    </row>
    <row r="64" spans="2:95" ht="14">
      <c r="B64"/>
      <c r="C64" s="3"/>
      <c r="D64" s="3"/>
      <c r="E64" s="3"/>
      <c r="F64" s="3"/>
      <c r="G64" s="3"/>
      <c r="H64" s="3"/>
      <c r="I64" s="3"/>
      <c r="J64" s="3"/>
      <c r="K64" s="22"/>
      <c r="L64" s="3"/>
      <c r="P64" s="108"/>
      <c r="Q64" s="108"/>
      <c r="S64" s="2"/>
      <c r="T64" s="119"/>
      <c r="U64" s="4"/>
      <c r="Y64" s="108"/>
      <c r="Z64" s="108"/>
      <c r="AB64" s="2"/>
      <c r="AC64" s="119"/>
      <c r="AD64" s="119"/>
      <c r="AH64" s="108"/>
      <c r="AI64" s="108"/>
      <c r="AK64" s="2"/>
      <c r="AL64" s="119"/>
      <c r="AM64" s="119"/>
      <c r="AQ64" s="108"/>
      <c r="AR64" s="108"/>
      <c r="AT64" s="2"/>
      <c r="AU64" s="119"/>
      <c r="AV64" s="119"/>
      <c r="AZ64" s="108"/>
      <c r="BA64" s="108"/>
      <c r="BC64" s="2"/>
      <c r="BD64" s="119"/>
      <c r="BI64" s="108"/>
      <c r="BJ64" s="108"/>
      <c r="BL64" s="2"/>
      <c r="BM64" s="119"/>
      <c r="BR64" s="108"/>
      <c r="BS64" s="108"/>
      <c r="BU64" s="2"/>
      <c r="BV64" s="119"/>
      <c r="CA64" s="108"/>
      <c r="CB64" s="108"/>
      <c r="CD64" s="2"/>
      <c r="CE64" s="119"/>
      <c r="CL64" s="110"/>
      <c r="CM64" s="108"/>
      <c r="CN64" s="109"/>
      <c r="CQ64" s="119"/>
    </row>
    <row r="65" spans="1:96" ht="14">
      <c r="C65" s="3"/>
      <c r="D65" s="3"/>
      <c r="E65" s="3"/>
      <c r="F65" s="3"/>
      <c r="G65" s="3"/>
      <c r="H65" s="3"/>
      <c r="I65" s="3"/>
      <c r="J65" s="3"/>
      <c r="K65" s="22"/>
      <c r="L65" s="3"/>
      <c r="P65" s="108"/>
      <c r="Q65" s="108"/>
      <c r="S65" s="2"/>
      <c r="T65" s="119"/>
      <c r="U65" s="4"/>
      <c r="Y65" s="108"/>
      <c r="Z65" s="108"/>
      <c r="AB65" s="2"/>
      <c r="AC65" s="119"/>
      <c r="AD65" s="119"/>
      <c r="AH65" s="108"/>
      <c r="AI65" s="108"/>
      <c r="AK65" s="2"/>
      <c r="AL65" s="119"/>
      <c r="AM65" s="119"/>
      <c r="AQ65" s="108"/>
      <c r="AR65" s="108"/>
      <c r="AT65" s="2"/>
      <c r="AU65" s="119"/>
      <c r="AV65" s="119"/>
      <c r="AZ65" s="108"/>
      <c r="BA65" s="108"/>
      <c r="BC65" s="2"/>
      <c r="BD65" s="119"/>
      <c r="BI65" s="108"/>
      <c r="BJ65" s="108"/>
      <c r="BL65" s="2"/>
      <c r="BM65" s="119"/>
      <c r="BR65" s="108"/>
      <c r="BS65" s="108"/>
      <c r="BU65" s="2"/>
      <c r="BV65" s="119"/>
      <c r="CA65" s="108"/>
      <c r="CB65" s="108"/>
      <c r="CD65" s="2"/>
      <c r="CE65" s="119"/>
      <c r="CL65" s="110"/>
      <c r="CM65" s="108"/>
      <c r="CN65" s="109"/>
      <c r="CQ65" s="119"/>
    </row>
    <row r="66" spans="1:96" ht="14">
      <c r="C66" s="3"/>
      <c r="D66" s="3"/>
      <c r="E66" s="3"/>
      <c r="F66" s="3"/>
      <c r="G66" s="3"/>
      <c r="H66" s="3"/>
      <c r="I66" s="3"/>
      <c r="J66" s="3"/>
      <c r="K66" s="22"/>
      <c r="L66" s="3"/>
      <c r="P66" s="108"/>
      <c r="Q66" s="108"/>
      <c r="S66" s="2"/>
      <c r="T66" s="119"/>
      <c r="U66" s="4"/>
      <c r="Y66" s="108"/>
      <c r="Z66" s="108"/>
      <c r="AB66" s="2"/>
      <c r="AC66" s="119"/>
      <c r="AD66" s="119"/>
      <c r="AH66" s="108"/>
      <c r="AI66" s="108"/>
      <c r="AK66" s="2"/>
      <c r="AL66" s="119"/>
      <c r="AM66" s="119"/>
      <c r="AQ66" s="108"/>
      <c r="AR66" s="108"/>
      <c r="AT66" s="2"/>
      <c r="AU66" s="119"/>
      <c r="AV66" s="119"/>
      <c r="AZ66" s="108"/>
      <c r="BA66" s="108"/>
      <c r="BC66" s="2"/>
      <c r="BD66" s="119"/>
      <c r="BI66" s="108"/>
      <c r="BJ66" s="108"/>
      <c r="BL66" s="2"/>
      <c r="BM66" s="119"/>
      <c r="BR66" s="108"/>
      <c r="BS66" s="108"/>
      <c r="BU66" s="2"/>
      <c r="BV66" s="119"/>
      <c r="CA66" s="108"/>
      <c r="CB66" s="108"/>
      <c r="CD66" s="2"/>
      <c r="CE66" s="119"/>
      <c r="CL66" s="110"/>
      <c r="CM66" s="108"/>
      <c r="CN66" s="109"/>
      <c r="CQ66" s="119"/>
    </row>
    <row r="67" spans="1:96" ht="14">
      <c r="C67" s="3"/>
      <c r="D67" s="3"/>
      <c r="E67" s="3"/>
      <c r="F67" s="3"/>
      <c r="G67" s="3"/>
      <c r="H67" s="3"/>
      <c r="I67" s="3"/>
      <c r="J67" s="3"/>
      <c r="K67" s="22"/>
      <c r="L67" s="3"/>
      <c r="P67" s="108"/>
      <c r="Q67" s="108"/>
      <c r="S67" s="2"/>
      <c r="T67" s="119"/>
      <c r="U67" s="4"/>
      <c r="Y67" s="108"/>
      <c r="Z67" s="108"/>
      <c r="AB67" s="2"/>
      <c r="AC67" s="119"/>
      <c r="AD67" s="119"/>
      <c r="AH67" s="108"/>
      <c r="AI67" s="108"/>
      <c r="AK67" s="2"/>
      <c r="AL67" s="119"/>
      <c r="AM67" s="119"/>
      <c r="AQ67" s="108"/>
      <c r="AR67" s="108"/>
      <c r="AT67" s="2"/>
      <c r="AU67" s="119"/>
      <c r="AV67" s="119"/>
      <c r="AZ67" s="108"/>
      <c r="BA67" s="108"/>
      <c r="BC67" s="2"/>
      <c r="BD67" s="119"/>
      <c r="BI67" s="108"/>
      <c r="BJ67" s="108"/>
      <c r="BL67" s="2"/>
      <c r="BM67" s="119"/>
      <c r="BR67" s="108"/>
      <c r="BS67" s="108"/>
      <c r="BU67" s="2"/>
      <c r="BV67" s="119"/>
      <c r="CA67" s="108"/>
      <c r="CB67" s="108"/>
      <c r="CD67" s="2"/>
      <c r="CE67" s="119"/>
      <c r="CL67" s="110"/>
      <c r="CM67" s="108"/>
      <c r="CN67" s="109"/>
      <c r="CQ67" s="119"/>
    </row>
    <row r="68" spans="1:96" ht="14">
      <c r="C68" s="3"/>
      <c r="D68" s="3"/>
      <c r="E68" s="3"/>
      <c r="F68" s="3"/>
      <c r="G68" s="3"/>
      <c r="H68" s="3"/>
      <c r="I68" s="3"/>
      <c r="J68" s="3"/>
      <c r="K68" s="22"/>
      <c r="L68" s="3"/>
      <c r="P68" s="108"/>
      <c r="Q68" s="108"/>
      <c r="S68" s="2"/>
      <c r="T68" s="119"/>
      <c r="U68" s="4"/>
      <c r="Y68" s="108"/>
      <c r="Z68" s="108"/>
      <c r="AB68" s="2"/>
      <c r="AC68" s="119"/>
      <c r="AD68" s="119"/>
      <c r="AH68" s="108"/>
      <c r="AI68" s="108"/>
      <c r="AK68" s="2"/>
      <c r="AL68" s="119"/>
      <c r="AM68" s="119"/>
      <c r="AQ68" s="108"/>
      <c r="AR68" s="108"/>
      <c r="AT68" s="2"/>
      <c r="AU68" s="119"/>
      <c r="AV68" s="119"/>
      <c r="AZ68" s="108"/>
      <c r="BA68" s="108"/>
      <c r="BC68" s="2"/>
      <c r="BD68" s="119"/>
      <c r="BI68" s="108"/>
      <c r="BJ68" s="108"/>
      <c r="BL68" s="2"/>
      <c r="BM68" s="119"/>
      <c r="BR68" s="108"/>
      <c r="BS68" s="108"/>
      <c r="BU68" s="2"/>
      <c r="BV68" s="119"/>
      <c r="CA68" s="108"/>
      <c r="CB68" s="108"/>
      <c r="CD68" s="2"/>
      <c r="CE68" s="119"/>
      <c r="CL68" s="110"/>
      <c r="CM68" s="108"/>
      <c r="CN68" s="109"/>
      <c r="CQ68" s="119"/>
    </row>
    <row r="69" spans="1:96" ht="14">
      <c r="C69" s="3"/>
      <c r="D69" s="3"/>
      <c r="E69" s="3"/>
      <c r="F69" s="3"/>
      <c r="G69" s="3"/>
      <c r="H69" s="3"/>
      <c r="I69" s="3"/>
      <c r="J69" s="3"/>
      <c r="K69" s="22"/>
      <c r="L69" s="3"/>
      <c r="P69" s="108"/>
      <c r="Q69" s="108"/>
      <c r="S69" s="2"/>
      <c r="T69" s="119"/>
      <c r="U69" s="4"/>
      <c r="Y69" s="108"/>
      <c r="Z69" s="108"/>
      <c r="AB69" s="2"/>
      <c r="AC69" s="119"/>
      <c r="AD69" s="119"/>
      <c r="AH69" s="108"/>
      <c r="AI69" s="108"/>
      <c r="AK69" s="2"/>
      <c r="AL69" s="119"/>
      <c r="AM69" s="119"/>
      <c r="AQ69" s="108"/>
      <c r="AR69" s="108"/>
      <c r="AT69" s="2"/>
      <c r="AU69" s="119"/>
      <c r="AV69" s="119"/>
      <c r="AZ69" s="108"/>
      <c r="BA69" s="108"/>
      <c r="BC69" s="2"/>
      <c r="BD69" s="119"/>
      <c r="BI69" s="108"/>
      <c r="BJ69" s="108"/>
      <c r="BL69" s="2"/>
      <c r="BM69" s="119"/>
      <c r="BR69" s="108"/>
      <c r="BS69" s="108"/>
      <c r="BU69" s="2"/>
      <c r="BV69" s="119"/>
      <c r="CA69" s="108"/>
      <c r="CB69" s="108"/>
      <c r="CD69" s="2"/>
      <c r="CE69" s="119"/>
      <c r="CL69" s="110"/>
      <c r="CM69" s="108"/>
      <c r="CN69" s="109"/>
      <c r="CQ69" s="119"/>
    </row>
    <row r="70" spans="1:96" ht="14">
      <c r="C70" s="3"/>
      <c r="D70" s="3"/>
      <c r="E70" s="3"/>
      <c r="F70" s="3"/>
      <c r="G70" s="3"/>
      <c r="H70" s="3"/>
      <c r="I70" s="3"/>
      <c r="J70" s="3"/>
      <c r="K70" s="22"/>
      <c r="L70" s="3"/>
      <c r="P70" s="108"/>
      <c r="Q70" s="108"/>
      <c r="S70" s="2"/>
      <c r="T70" s="119"/>
      <c r="U70" s="4"/>
      <c r="Y70" s="108"/>
      <c r="Z70" s="108"/>
      <c r="AB70" s="2"/>
      <c r="AC70" s="119"/>
      <c r="AD70" s="119"/>
      <c r="AH70" s="108"/>
      <c r="AI70" s="108"/>
      <c r="AK70" s="2"/>
      <c r="AL70" s="119"/>
      <c r="AM70" s="119"/>
      <c r="AQ70" s="108"/>
      <c r="AR70" s="108"/>
      <c r="AT70" s="2"/>
      <c r="AU70" s="119"/>
      <c r="AV70" s="119"/>
      <c r="AZ70" s="108"/>
      <c r="BA70" s="108"/>
      <c r="BC70" s="2"/>
      <c r="BD70" s="119"/>
      <c r="BI70" s="108"/>
      <c r="BJ70" s="108"/>
      <c r="BL70" s="2"/>
      <c r="BM70" s="119"/>
      <c r="BR70" s="108"/>
      <c r="BS70" s="108"/>
      <c r="BU70" s="2"/>
      <c r="BV70" s="119"/>
      <c r="CA70" s="108"/>
      <c r="CB70" s="108"/>
      <c r="CD70" s="2"/>
      <c r="CE70" s="119"/>
      <c r="CL70" s="110"/>
      <c r="CM70" s="108"/>
      <c r="CN70" s="109"/>
      <c r="CQ70" s="119"/>
    </row>
    <row r="71" spans="1:96" ht="14">
      <c r="C71" s="3"/>
      <c r="D71" s="3"/>
      <c r="E71" s="3"/>
      <c r="F71" s="3"/>
      <c r="G71" s="3"/>
      <c r="H71" s="3"/>
      <c r="I71" s="3"/>
      <c r="J71" s="3"/>
      <c r="K71" s="22"/>
      <c r="L71" s="3"/>
      <c r="P71" s="108"/>
      <c r="Q71" s="108"/>
      <c r="S71" s="2"/>
      <c r="T71" s="119"/>
      <c r="U71" s="4"/>
      <c r="Y71" s="108"/>
      <c r="Z71" s="108"/>
      <c r="AB71" s="2"/>
      <c r="AC71" s="119"/>
      <c r="AD71" s="119"/>
      <c r="AH71" s="108"/>
      <c r="AI71" s="108"/>
      <c r="AK71" s="2"/>
      <c r="AL71" s="119"/>
      <c r="AM71" s="119"/>
      <c r="AQ71" s="108"/>
      <c r="AR71" s="108"/>
      <c r="AT71" s="2"/>
      <c r="AU71" s="119"/>
      <c r="AV71" s="119"/>
      <c r="AZ71" s="108"/>
      <c r="BA71" s="108"/>
      <c r="BC71" s="2"/>
      <c r="BD71" s="119"/>
      <c r="BI71" s="108"/>
      <c r="BJ71" s="108"/>
      <c r="BL71" s="2"/>
      <c r="BM71" s="119"/>
      <c r="BR71" s="108"/>
      <c r="BS71" s="108"/>
      <c r="BU71" s="2"/>
      <c r="BV71" s="119"/>
      <c r="CA71" s="108"/>
      <c r="CB71" s="108"/>
      <c r="CD71" s="2"/>
      <c r="CE71" s="119"/>
      <c r="CL71" s="110"/>
      <c r="CM71" s="108"/>
      <c r="CN71" s="109"/>
      <c r="CQ71" s="119"/>
    </row>
    <row r="72" spans="1:96" ht="14">
      <c r="C72" s="3"/>
      <c r="D72" s="3"/>
      <c r="E72" s="3"/>
      <c r="F72" s="3"/>
      <c r="G72" s="3"/>
      <c r="H72" s="3"/>
      <c r="I72" s="3"/>
      <c r="J72" s="3"/>
      <c r="K72" s="22"/>
      <c r="L72" s="3"/>
      <c r="P72" s="108"/>
      <c r="Q72" s="108"/>
      <c r="S72" s="2"/>
      <c r="T72" s="119"/>
      <c r="U72" s="4"/>
      <c r="Y72" s="108"/>
      <c r="Z72" s="108"/>
      <c r="AB72" s="2"/>
      <c r="AC72" s="119"/>
      <c r="AD72" s="119"/>
      <c r="AH72" s="108"/>
      <c r="AI72" s="108"/>
      <c r="AK72" s="2"/>
      <c r="AL72" s="119"/>
      <c r="AM72" s="119"/>
      <c r="AQ72" s="108"/>
      <c r="AR72" s="108"/>
      <c r="AT72" s="2"/>
      <c r="AU72" s="119"/>
      <c r="AV72" s="119"/>
      <c r="AZ72" s="108"/>
      <c r="BA72" s="108"/>
      <c r="BC72" s="2"/>
      <c r="BD72" s="119"/>
      <c r="BI72" s="108"/>
      <c r="BJ72" s="108"/>
      <c r="BL72" s="2"/>
      <c r="BM72" s="119"/>
      <c r="BR72" s="108"/>
      <c r="BS72" s="108"/>
      <c r="BU72" s="2"/>
      <c r="BV72" s="119"/>
      <c r="CA72" s="108"/>
      <c r="CB72" s="108"/>
      <c r="CD72" s="2"/>
      <c r="CE72" s="119"/>
      <c r="CL72" s="110"/>
      <c r="CM72" s="108"/>
      <c r="CN72" s="109"/>
      <c r="CQ72" s="119"/>
    </row>
    <row r="73" spans="1:96" ht="14">
      <c r="C73" s="3"/>
      <c r="D73" s="3"/>
      <c r="E73" s="3"/>
      <c r="F73" s="3"/>
      <c r="G73" s="3"/>
      <c r="H73" s="3"/>
      <c r="I73" s="3"/>
      <c r="J73" s="3"/>
      <c r="K73" s="22"/>
      <c r="L73" s="3"/>
      <c r="P73" s="108"/>
      <c r="Q73" s="108"/>
      <c r="S73" s="2"/>
      <c r="T73" s="119"/>
      <c r="U73" s="4"/>
      <c r="Y73" s="108"/>
      <c r="Z73" s="108"/>
      <c r="AB73" s="2"/>
      <c r="AC73" s="119"/>
      <c r="AD73" s="119"/>
      <c r="AH73" s="108"/>
      <c r="AI73" s="108"/>
      <c r="AK73" s="2"/>
      <c r="AL73" s="119"/>
      <c r="AM73" s="119"/>
      <c r="AQ73" s="108"/>
      <c r="AR73" s="108"/>
      <c r="AT73" s="2"/>
      <c r="AU73" s="119"/>
      <c r="AV73" s="119"/>
      <c r="AZ73" s="108"/>
      <c r="BA73" s="108"/>
      <c r="BC73" s="2"/>
      <c r="BD73" s="119"/>
      <c r="BI73" s="108"/>
      <c r="BJ73" s="108"/>
      <c r="BL73" s="2"/>
      <c r="BM73" s="119"/>
      <c r="BR73" s="108"/>
      <c r="BS73" s="108"/>
      <c r="BU73" s="2"/>
      <c r="BV73" s="119"/>
      <c r="CA73" s="108"/>
      <c r="CB73" s="108"/>
      <c r="CD73" s="2"/>
      <c r="CE73" s="119"/>
      <c r="CL73" s="110"/>
      <c r="CM73" s="108"/>
      <c r="CN73" s="109"/>
      <c r="CQ73" s="119"/>
    </row>
    <row r="74" spans="1:96" ht="14">
      <c r="C74" s="3"/>
      <c r="D74" s="3"/>
      <c r="E74" s="3"/>
      <c r="F74" s="3"/>
      <c r="G74" s="3"/>
      <c r="H74" s="3"/>
      <c r="I74" s="3"/>
      <c r="J74" s="3"/>
      <c r="K74" s="22"/>
      <c r="L74" s="3"/>
      <c r="P74" s="108"/>
      <c r="Q74" s="108"/>
      <c r="S74" s="2"/>
      <c r="T74" s="119"/>
      <c r="U74" s="4"/>
      <c r="Y74" s="108"/>
      <c r="Z74" s="108"/>
      <c r="AB74" s="2"/>
      <c r="AC74" s="119"/>
      <c r="AD74" s="119"/>
      <c r="AH74" s="108"/>
      <c r="AI74" s="108"/>
      <c r="AK74" s="2"/>
      <c r="AL74" s="119"/>
      <c r="AM74" s="119"/>
      <c r="AQ74" s="108"/>
      <c r="AR74" s="108"/>
      <c r="AT74" s="2"/>
      <c r="AU74" s="119"/>
      <c r="AV74" s="119"/>
      <c r="AZ74" s="108"/>
      <c r="BA74" s="108"/>
      <c r="BC74" s="2"/>
      <c r="BD74" s="119"/>
      <c r="BI74" s="108"/>
      <c r="BJ74" s="108"/>
      <c r="BL74" s="2"/>
      <c r="BM74" s="119"/>
      <c r="BR74" s="108"/>
      <c r="BS74" s="108"/>
      <c r="BU74" s="2"/>
      <c r="BV74" s="119"/>
      <c r="CA74" s="108"/>
      <c r="CB74" s="108"/>
      <c r="CD74" s="2"/>
      <c r="CE74" s="119"/>
      <c r="CL74" s="110"/>
      <c r="CM74" s="108"/>
      <c r="CN74" s="109"/>
      <c r="CQ74" s="119"/>
    </row>
    <row r="75" spans="1:96" ht="14">
      <c r="C75" s="3"/>
      <c r="D75" s="3"/>
      <c r="E75" s="3"/>
      <c r="F75" s="3"/>
      <c r="G75" s="3"/>
      <c r="H75" s="3"/>
      <c r="I75" s="3"/>
      <c r="J75" s="3"/>
      <c r="K75" s="22"/>
      <c r="L75" s="3"/>
      <c r="P75" s="108"/>
      <c r="Q75" s="108"/>
      <c r="S75" s="2"/>
      <c r="T75" s="119"/>
      <c r="U75" s="4"/>
      <c r="Y75" s="108"/>
      <c r="Z75" s="108"/>
      <c r="AB75" s="2"/>
      <c r="AC75" s="119"/>
      <c r="AD75" s="119"/>
      <c r="AH75" s="108"/>
      <c r="AI75" s="108"/>
      <c r="AK75" s="2"/>
      <c r="AL75" s="119"/>
      <c r="AM75" s="119"/>
      <c r="AQ75" s="108"/>
      <c r="AR75" s="108"/>
      <c r="AT75" s="2"/>
      <c r="AU75" s="119"/>
      <c r="AV75" s="119"/>
      <c r="AZ75" s="108"/>
      <c r="BA75" s="108"/>
      <c r="BC75" s="2"/>
      <c r="BD75" s="119"/>
      <c r="BI75" s="108"/>
      <c r="BJ75" s="108"/>
      <c r="BL75" s="2"/>
      <c r="BM75" s="119"/>
      <c r="BR75" s="108"/>
      <c r="BS75" s="108"/>
      <c r="BU75" s="2"/>
      <c r="BV75" s="119"/>
      <c r="CA75" s="108"/>
      <c r="CB75" s="108"/>
      <c r="CD75" s="2"/>
      <c r="CE75" s="119"/>
      <c r="CL75" s="110"/>
      <c r="CM75" s="108"/>
      <c r="CN75" s="109"/>
      <c r="CQ75" s="119"/>
    </row>
    <row r="76" spans="1:96" ht="14">
      <c r="C76" s="3"/>
      <c r="D76" s="111" t="s">
        <v>172</v>
      </c>
      <c r="E76" s="3"/>
      <c r="F76" s="3"/>
      <c r="G76" s="3"/>
      <c r="H76" s="3"/>
      <c r="I76" s="3"/>
      <c r="J76" s="3"/>
      <c r="K76" s="3"/>
      <c r="L76" s="3"/>
      <c r="M76" s="111" t="s">
        <v>163</v>
      </c>
      <c r="S76" s="2"/>
      <c r="T76" s="2"/>
      <c r="U76" s="4"/>
      <c r="V76" s="111" t="s">
        <v>164</v>
      </c>
      <c r="X76" s="99"/>
      <c r="Z76" s="100"/>
      <c r="AE76" t="s">
        <v>165</v>
      </c>
      <c r="AN76" t="s">
        <v>166</v>
      </c>
      <c r="AW76" t="s">
        <v>167</v>
      </c>
      <c r="BF76" t="s">
        <v>168</v>
      </c>
      <c r="BO76" t="s">
        <v>169</v>
      </c>
      <c r="BX76" t="s">
        <v>170</v>
      </c>
      <c r="CJ76" s="111" t="s">
        <v>173</v>
      </c>
    </row>
    <row r="77" spans="1:96" s="1" customFormat="1" ht="47" customHeight="1">
      <c r="A77" s="1" t="s">
        <v>62</v>
      </c>
      <c r="B77" s="20" t="s">
        <v>19</v>
      </c>
      <c r="C77" s="1" t="s">
        <v>152</v>
      </c>
      <c r="D77" s="78" t="s">
        <v>61</v>
      </c>
      <c r="E77" s="78" t="s">
        <v>43</v>
      </c>
      <c r="F77" s="78" t="s">
        <v>44</v>
      </c>
      <c r="G77" s="79" t="s">
        <v>45</v>
      </c>
      <c r="H77" s="92" t="s">
        <v>46</v>
      </c>
      <c r="I77" s="79" t="s">
        <v>48</v>
      </c>
      <c r="J77" s="78" t="s">
        <v>49</v>
      </c>
      <c r="K77" s="92" t="s">
        <v>47</v>
      </c>
      <c r="M77" s="78" t="s">
        <v>61</v>
      </c>
      <c r="N77" s="78" t="s">
        <v>43</v>
      </c>
      <c r="O77" s="78" t="s">
        <v>44</v>
      </c>
      <c r="P77" s="79" t="s">
        <v>45</v>
      </c>
      <c r="Q77" s="92" t="s">
        <v>46</v>
      </c>
      <c r="R77" s="79" t="s">
        <v>48</v>
      </c>
      <c r="S77" s="78" t="s">
        <v>49</v>
      </c>
      <c r="T77" s="92" t="s">
        <v>47</v>
      </c>
      <c r="U77" s="16"/>
      <c r="V77" s="86" t="s">
        <v>61</v>
      </c>
      <c r="W77" s="86" t="s">
        <v>50</v>
      </c>
      <c r="X77" s="86" t="s">
        <v>51</v>
      </c>
      <c r="Y77" s="87" t="s">
        <v>52</v>
      </c>
      <c r="Z77" s="93" t="s">
        <v>53</v>
      </c>
      <c r="AA77" s="87" t="s">
        <v>55</v>
      </c>
      <c r="AB77" s="86" t="s">
        <v>56</v>
      </c>
      <c r="AC77" s="93" t="s">
        <v>54</v>
      </c>
      <c r="AD77" s="134"/>
      <c r="AE77" s="86" t="s">
        <v>61</v>
      </c>
      <c r="AF77" s="86" t="s">
        <v>50</v>
      </c>
      <c r="AG77" s="86" t="s">
        <v>51</v>
      </c>
      <c r="AH77" s="87" t="s">
        <v>52</v>
      </c>
      <c r="AI77" s="93" t="s">
        <v>53</v>
      </c>
      <c r="AJ77" s="87" t="s">
        <v>55</v>
      </c>
      <c r="AK77" s="86" t="s">
        <v>56</v>
      </c>
      <c r="AL77" s="93" t="s">
        <v>54</v>
      </c>
      <c r="AM77" s="134"/>
      <c r="AN77" s="86" t="s">
        <v>61</v>
      </c>
      <c r="AO77" s="86" t="s">
        <v>50</v>
      </c>
      <c r="AP77" s="86" t="s">
        <v>51</v>
      </c>
      <c r="AQ77" s="87" t="s">
        <v>52</v>
      </c>
      <c r="AR77" s="93" t="s">
        <v>53</v>
      </c>
      <c r="AS77" s="87" t="s">
        <v>55</v>
      </c>
      <c r="AT77" s="86" t="s">
        <v>56</v>
      </c>
      <c r="AU77" s="93" t="s">
        <v>54</v>
      </c>
      <c r="AV77" s="134"/>
      <c r="AW77" s="86" t="s">
        <v>61</v>
      </c>
      <c r="AX77" s="86" t="s">
        <v>50</v>
      </c>
      <c r="AY77" s="86" t="s">
        <v>51</v>
      </c>
      <c r="AZ77" s="87" t="s">
        <v>52</v>
      </c>
      <c r="BA77" s="93" t="s">
        <v>53</v>
      </c>
      <c r="BB77" s="87" t="s">
        <v>55</v>
      </c>
      <c r="BC77" s="86" t="s">
        <v>56</v>
      </c>
      <c r="BD77" s="93" t="s">
        <v>54</v>
      </c>
      <c r="BF77" s="86" t="s">
        <v>61</v>
      </c>
      <c r="BG77" s="86" t="s">
        <v>50</v>
      </c>
      <c r="BH77" s="86" t="s">
        <v>51</v>
      </c>
      <c r="BI77" s="87" t="s">
        <v>52</v>
      </c>
      <c r="BJ77" s="93" t="s">
        <v>53</v>
      </c>
      <c r="BK77" s="87" t="s">
        <v>55</v>
      </c>
      <c r="BL77" s="86" t="s">
        <v>56</v>
      </c>
      <c r="BM77" s="93" t="s">
        <v>54</v>
      </c>
      <c r="BO77" s="86" t="s">
        <v>61</v>
      </c>
      <c r="BP77" s="86" t="s">
        <v>50</v>
      </c>
      <c r="BQ77" s="86" t="s">
        <v>51</v>
      </c>
      <c r="BR77" s="87" t="s">
        <v>52</v>
      </c>
      <c r="BS77" s="93" t="s">
        <v>53</v>
      </c>
      <c r="BT77" s="87" t="s">
        <v>55</v>
      </c>
      <c r="BU77" s="86" t="s">
        <v>56</v>
      </c>
      <c r="BV77" s="93" t="s">
        <v>54</v>
      </c>
      <c r="BX77" s="86" t="s">
        <v>61</v>
      </c>
      <c r="BY77" s="86" t="s">
        <v>50</v>
      </c>
      <c r="BZ77" s="86" t="s">
        <v>51</v>
      </c>
      <c r="CA77" s="87" t="s">
        <v>52</v>
      </c>
      <c r="CB77" s="93" t="s">
        <v>53</v>
      </c>
      <c r="CC77" s="87" t="s">
        <v>55</v>
      </c>
      <c r="CD77" s="86" t="s">
        <v>56</v>
      </c>
      <c r="CE77" s="93" t="s">
        <v>54</v>
      </c>
      <c r="CH77" s="1" t="s">
        <v>42</v>
      </c>
      <c r="CI77" s="112" t="s">
        <v>65</v>
      </c>
      <c r="CJ77" s="94" t="s">
        <v>123</v>
      </c>
      <c r="CK77" s="94" t="s">
        <v>122</v>
      </c>
      <c r="CL77" s="94" t="s">
        <v>124</v>
      </c>
      <c r="CM77" s="95" t="s">
        <v>125</v>
      </c>
      <c r="CN77" s="96" t="s">
        <v>126</v>
      </c>
      <c r="CO77" s="95" t="s">
        <v>127</v>
      </c>
      <c r="CP77" s="94" t="s">
        <v>128</v>
      </c>
      <c r="CQ77" s="96" t="s">
        <v>155</v>
      </c>
      <c r="CR77" s="1" t="s">
        <v>57</v>
      </c>
    </row>
    <row r="78" spans="1:96" ht="14">
      <c r="A78">
        <f t="shared" ref="A78:A141" si="2">A79-1</f>
        <v>-80</v>
      </c>
      <c r="B78" s="21">
        <v>0</v>
      </c>
      <c r="C78" s="26">
        <f t="shared" ref="C78:C118" si="3">B$8*(1-EXP(-B$9*$B78))^3</f>
        <v>0</v>
      </c>
      <c r="D78" s="26"/>
      <c r="E78" s="26"/>
      <c r="F78" s="26"/>
      <c r="G78" s="26"/>
      <c r="H78" s="26"/>
      <c r="I78" s="26"/>
      <c r="J78" s="26"/>
      <c r="K78" s="26"/>
      <c r="L78" s="26"/>
      <c r="M78" s="80"/>
      <c r="N78" s="80"/>
      <c r="O78" s="80"/>
      <c r="P78" s="81"/>
      <c r="Q78" s="81"/>
      <c r="R78" s="81"/>
      <c r="S78" s="81"/>
      <c r="T78" s="81"/>
      <c r="U78" s="3"/>
      <c r="V78" s="88"/>
      <c r="W78" s="88"/>
      <c r="X78" s="88"/>
      <c r="Y78" s="88"/>
      <c r="Z78" s="88"/>
      <c r="AA78" s="88"/>
      <c r="AB78" s="88"/>
      <c r="AC78" s="88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CH78">
        <f t="shared" ref="CH78:CH141" si="4">A78</f>
        <v>-80</v>
      </c>
      <c r="CI78" s="113">
        <f t="shared" ref="CI78:CI141" si="5">C78</f>
        <v>0</v>
      </c>
      <c r="CJ78" s="97"/>
      <c r="CK78" s="97"/>
      <c r="CL78" s="97"/>
      <c r="CM78" s="97"/>
      <c r="CN78" s="97"/>
      <c r="CO78" s="97"/>
      <c r="CP78" s="97"/>
      <c r="CQ78" s="97"/>
    </row>
    <row r="79" spans="1:96" ht="14">
      <c r="A79">
        <f t="shared" si="2"/>
        <v>-79</v>
      </c>
      <c r="B79" s="21">
        <v>1</v>
      </c>
      <c r="C79" s="26">
        <f t="shared" si="3"/>
        <v>1.304576931015696E-3</v>
      </c>
      <c r="D79" s="26"/>
      <c r="E79" s="26"/>
      <c r="F79" s="26"/>
      <c r="G79" s="26"/>
      <c r="H79" s="26"/>
      <c r="I79" s="26"/>
      <c r="J79" s="26"/>
      <c r="K79" s="26"/>
      <c r="L79" s="26"/>
      <c r="M79" s="80"/>
      <c r="N79" s="80"/>
      <c r="O79" s="80"/>
      <c r="P79" s="81"/>
      <c r="Q79" s="81"/>
      <c r="R79" s="81"/>
      <c r="S79" s="81"/>
      <c r="T79" s="81"/>
      <c r="U79" s="3"/>
      <c r="V79" s="88"/>
      <c r="W79" s="88"/>
      <c r="X79" s="88"/>
      <c r="Y79" s="88"/>
      <c r="Z79" s="88"/>
      <c r="AA79" s="88"/>
      <c r="AB79" s="88"/>
      <c r="AC79" s="88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CH79">
        <f t="shared" si="4"/>
        <v>-79</v>
      </c>
      <c r="CI79" s="113">
        <f t="shared" si="5"/>
        <v>1.304576931015696E-3</v>
      </c>
      <c r="CJ79" s="97"/>
      <c r="CK79" s="97"/>
      <c r="CL79" s="97"/>
      <c r="CM79" s="97"/>
      <c r="CN79" s="97"/>
      <c r="CO79" s="97"/>
      <c r="CP79" s="97"/>
      <c r="CQ79" s="97"/>
    </row>
    <row r="80" spans="1:96" ht="14">
      <c r="A80">
        <f t="shared" si="2"/>
        <v>-78</v>
      </c>
      <c r="B80" s="21">
        <v>2</v>
      </c>
      <c r="C80" s="26">
        <f t="shared" si="3"/>
        <v>1.0129686160647853E-2</v>
      </c>
      <c r="D80" s="26"/>
      <c r="E80" s="26"/>
      <c r="F80" s="26"/>
      <c r="G80" s="26"/>
      <c r="H80" s="26"/>
      <c r="I80" s="26"/>
      <c r="J80" s="26"/>
      <c r="K80" s="26"/>
      <c r="L80" s="26"/>
      <c r="M80" s="80"/>
      <c r="N80" s="80"/>
      <c r="O80" s="80"/>
      <c r="P80" s="81"/>
      <c r="Q80" s="81"/>
      <c r="R80" s="81"/>
      <c r="S80" s="81"/>
      <c r="T80" s="81"/>
      <c r="U80" s="3"/>
      <c r="V80" s="88"/>
      <c r="W80" s="88"/>
      <c r="X80" s="88"/>
      <c r="Y80" s="88"/>
      <c r="Z80" s="88"/>
      <c r="AA80" s="88"/>
      <c r="AB80" s="88"/>
      <c r="AC80" s="88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CH80">
        <f t="shared" si="4"/>
        <v>-78</v>
      </c>
      <c r="CI80" s="113">
        <f t="shared" si="5"/>
        <v>1.0129686160647853E-2</v>
      </c>
      <c r="CJ80" s="97"/>
      <c r="CK80" s="97"/>
      <c r="CL80" s="97"/>
      <c r="CM80" s="97"/>
      <c r="CN80" s="97"/>
      <c r="CO80" s="97"/>
      <c r="CP80" s="97"/>
      <c r="CQ80" s="97"/>
    </row>
    <row r="81" spans="1:95" ht="14">
      <c r="A81">
        <f t="shared" si="2"/>
        <v>-77</v>
      </c>
      <c r="B81" s="21">
        <v>3</v>
      </c>
      <c r="C81" s="26">
        <f t="shared" si="3"/>
        <v>3.3185586831962252E-2</v>
      </c>
      <c r="D81" s="26"/>
      <c r="E81" s="26"/>
      <c r="F81" s="26"/>
      <c r="G81" s="26"/>
      <c r="H81" s="26"/>
      <c r="I81" s="26"/>
      <c r="J81" s="26"/>
      <c r="K81" s="26"/>
      <c r="L81" s="26"/>
      <c r="M81" s="80"/>
      <c r="N81" s="80"/>
      <c r="O81" s="80"/>
      <c r="P81" s="81"/>
      <c r="Q81" s="81"/>
      <c r="R81" s="81"/>
      <c r="S81" s="81"/>
      <c r="T81" s="81"/>
      <c r="U81" s="3"/>
      <c r="V81" s="88"/>
      <c r="W81" s="88"/>
      <c r="X81" s="88"/>
      <c r="Y81" s="88"/>
      <c r="Z81" s="88"/>
      <c r="AA81" s="88"/>
      <c r="AB81" s="88"/>
      <c r="AC81" s="88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CH81">
        <f t="shared" si="4"/>
        <v>-77</v>
      </c>
      <c r="CI81" s="113">
        <f t="shared" si="5"/>
        <v>3.3185586831962252E-2</v>
      </c>
      <c r="CJ81" s="97"/>
      <c r="CK81" s="97"/>
      <c r="CL81" s="97"/>
      <c r="CM81" s="97"/>
      <c r="CN81" s="97"/>
      <c r="CO81" s="97"/>
      <c r="CP81" s="97"/>
      <c r="CQ81" s="97"/>
    </row>
    <row r="82" spans="1:95" ht="14">
      <c r="A82">
        <f t="shared" si="2"/>
        <v>-76</v>
      </c>
      <c r="B82" s="21">
        <v>4</v>
      </c>
      <c r="C82" s="26">
        <f t="shared" si="3"/>
        <v>7.6364034925272523E-2</v>
      </c>
      <c r="D82" s="26"/>
      <c r="E82" s="26"/>
      <c r="F82" s="26"/>
      <c r="G82" s="26"/>
      <c r="H82" s="26"/>
      <c r="I82" s="26"/>
      <c r="J82" s="26"/>
      <c r="K82" s="26"/>
      <c r="L82" s="26"/>
      <c r="M82" s="80"/>
      <c r="N82" s="80"/>
      <c r="O82" s="80"/>
      <c r="P82" s="81"/>
      <c r="Q82" s="81"/>
      <c r="R82" s="81"/>
      <c r="S82" s="81"/>
      <c r="T82" s="81"/>
      <c r="U82" s="3"/>
      <c r="V82" s="88"/>
      <c r="W82" s="88"/>
      <c r="X82" s="88"/>
      <c r="Y82" s="88"/>
      <c r="Z82" s="88"/>
      <c r="AA82" s="88"/>
      <c r="AB82" s="88"/>
      <c r="AC82" s="88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CH82">
        <f t="shared" si="4"/>
        <v>-76</v>
      </c>
      <c r="CI82" s="113">
        <f t="shared" si="5"/>
        <v>7.6364034925272523E-2</v>
      </c>
      <c r="CJ82" s="97"/>
      <c r="CK82" s="97"/>
      <c r="CL82" s="97"/>
      <c r="CM82" s="97"/>
      <c r="CN82" s="97"/>
      <c r="CO82" s="97"/>
      <c r="CP82" s="97"/>
      <c r="CQ82" s="97"/>
    </row>
    <row r="83" spans="1:95" ht="14">
      <c r="A83">
        <f t="shared" si="2"/>
        <v>-75</v>
      </c>
      <c r="B83" s="21">
        <v>5</v>
      </c>
      <c r="C83" s="26">
        <f t="shared" si="3"/>
        <v>0.14480564018396114</v>
      </c>
      <c r="D83" s="26"/>
      <c r="E83" s="26"/>
      <c r="F83" s="26"/>
      <c r="G83" s="26"/>
      <c r="H83" s="26"/>
      <c r="I83" s="26"/>
      <c r="J83" s="26"/>
      <c r="K83" s="26"/>
      <c r="L83" s="26"/>
      <c r="M83" s="80"/>
      <c r="N83" s="80"/>
      <c r="O83" s="80"/>
      <c r="P83" s="81"/>
      <c r="Q83" s="81"/>
      <c r="R83" s="81"/>
      <c r="S83" s="81"/>
      <c r="T83" s="81"/>
      <c r="U83" s="3"/>
      <c r="V83" s="88"/>
      <c r="W83" s="88"/>
      <c r="X83" s="88"/>
      <c r="Y83" s="88"/>
      <c r="Z83" s="88"/>
      <c r="AA83" s="88"/>
      <c r="AB83" s="88"/>
      <c r="AC83" s="88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CH83">
        <f t="shared" si="4"/>
        <v>-75</v>
      </c>
      <c r="CI83" s="113">
        <f t="shared" si="5"/>
        <v>0.14480564018396114</v>
      </c>
      <c r="CJ83" s="97"/>
      <c r="CK83" s="97"/>
      <c r="CL83" s="97"/>
      <c r="CM83" s="97"/>
      <c r="CN83" s="97"/>
      <c r="CO83" s="97"/>
      <c r="CP83" s="97"/>
      <c r="CQ83" s="97"/>
    </row>
    <row r="84" spans="1:95" ht="14">
      <c r="A84">
        <f t="shared" si="2"/>
        <v>-74</v>
      </c>
      <c r="B84" s="21">
        <v>6</v>
      </c>
      <c r="C84" s="26">
        <f t="shared" si="3"/>
        <v>0.24296247057162773</v>
      </c>
      <c r="D84" s="26"/>
      <c r="E84" s="26"/>
      <c r="F84" s="26"/>
      <c r="G84" s="26"/>
      <c r="H84" s="26"/>
      <c r="I84" s="26"/>
      <c r="J84" s="26"/>
      <c r="K84" s="26"/>
      <c r="L84" s="26"/>
      <c r="M84" s="80"/>
      <c r="N84" s="80"/>
      <c r="O84" s="80"/>
      <c r="P84" s="81"/>
      <c r="Q84" s="81"/>
      <c r="R84" s="81"/>
      <c r="S84" s="81"/>
      <c r="T84" s="81"/>
      <c r="U84" s="3"/>
      <c r="V84" s="88"/>
      <c r="W84" s="88"/>
      <c r="X84" s="88"/>
      <c r="Y84" s="88"/>
      <c r="Z84" s="88"/>
      <c r="AA84" s="88"/>
      <c r="AB84" s="88"/>
      <c r="AC84" s="88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CH84">
        <f t="shared" si="4"/>
        <v>-74</v>
      </c>
      <c r="CI84" s="113">
        <f t="shared" si="5"/>
        <v>0.24296247057162773</v>
      </c>
      <c r="CJ84" s="97"/>
      <c r="CK84" s="97"/>
      <c r="CL84" s="97"/>
      <c r="CM84" s="97"/>
      <c r="CN84" s="97"/>
      <c r="CO84" s="97"/>
      <c r="CP84" s="97"/>
      <c r="CQ84" s="97"/>
    </row>
    <row r="85" spans="1:95" ht="14">
      <c r="A85">
        <f t="shared" si="2"/>
        <v>-73</v>
      </c>
      <c r="B85" s="21">
        <v>7</v>
      </c>
      <c r="C85" s="26">
        <f t="shared" si="3"/>
        <v>0.3746562147086363</v>
      </c>
      <c r="D85" s="26"/>
      <c r="E85" s="26"/>
      <c r="F85" s="26"/>
      <c r="G85" s="26"/>
      <c r="H85" s="26"/>
      <c r="I85" s="26"/>
      <c r="J85" s="26"/>
      <c r="K85" s="26"/>
      <c r="L85" s="26"/>
      <c r="M85" s="80"/>
      <c r="N85" s="80"/>
      <c r="O85" s="80"/>
      <c r="P85" s="81"/>
      <c r="Q85" s="81"/>
      <c r="R85" s="81"/>
      <c r="S85" s="81"/>
      <c r="T85" s="81"/>
      <c r="U85" s="3"/>
      <c r="V85" s="88"/>
      <c r="W85" s="88"/>
      <c r="X85" s="88"/>
      <c r="Y85" s="88"/>
      <c r="Z85" s="88"/>
      <c r="AA85" s="88"/>
      <c r="AB85" s="88"/>
      <c r="AC85" s="88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CH85">
        <f t="shared" si="4"/>
        <v>-73</v>
      </c>
      <c r="CI85" s="113">
        <f t="shared" si="5"/>
        <v>0.3746562147086363</v>
      </c>
      <c r="CJ85" s="97"/>
      <c r="CK85" s="97"/>
      <c r="CL85" s="97"/>
      <c r="CM85" s="97"/>
      <c r="CN85" s="97"/>
      <c r="CO85" s="97"/>
      <c r="CP85" s="97"/>
      <c r="CQ85" s="97"/>
    </row>
    <row r="86" spans="1:95" ht="14">
      <c r="A86">
        <f t="shared" si="2"/>
        <v>-72</v>
      </c>
      <c r="B86" s="21">
        <v>8</v>
      </c>
      <c r="C86" s="26">
        <f t="shared" si="3"/>
        <v>0.54313219331353713</v>
      </c>
      <c r="D86" s="26"/>
      <c r="E86" s="26"/>
      <c r="F86" s="26"/>
      <c r="G86" s="26"/>
      <c r="H86" s="26"/>
      <c r="I86" s="26"/>
      <c r="J86" s="26"/>
      <c r="K86" s="26"/>
      <c r="L86" s="26"/>
      <c r="M86" s="80"/>
      <c r="N86" s="80"/>
      <c r="O86" s="80"/>
      <c r="P86" s="81"/>
      <c r="Q86" s="81"/>
      <c r="R86" s="81"/>
      <c r="S86" s="81"/>
      <c r="T86" s="81"/>
      <c r="U86" s="3"/>
      <c r="V86" s="88"/>
      <c r="W86" s="88"/>
      <c r="X86" s="88"/>
      <c r="Y86" s="88"/>
      <c r="Z86" s="88"/>
      <c r="AA86" s="88"/>
      <c r="AB86" s="88"/>
      <c r="AC86" s="88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CH86">
        <f t="shared" si="4"/>
        <v>-72</v>
      </c>
      <c r="CI86" s="113">
        <f t="shared" si="5"/>
        <v>0.54313219331353713</v>
      </c>
      <c r="CJ86" s="97"/>
      <c r="CK86" s="97"/>
      <c r="CL86" s="97"/>
      <c r="CM86" s="97"/>
      <c r="CN86" s="97"/>
      <c r="CO86" s="97"/>
      <c r="CP86" s="97"/>
      <c r="CQ86" s="97"/>
    </row>
    <row r="87" spans="1:95" ht="14">
      <c r="A87">
        <f t="shared" si="2"/>
        <v>-71</v>
      </c>
      <c r="B87" s="21">
        <v>9</v>
      </c>
      <c r="C87" s="26">
        <f t="shared" si="3"/>
        <v>0.7511094924364492</v>
      </c>
      <c r="D87" s="26"/>
      <c r="E87" s="26"/>
      <c r="F87" s="26"/>
      <c r="G87" s="26"/>
      <c r="H87" s="26"/>
      <c r="I87" s="26"/>
      <c r="J87" s="26"/>
      <c r="K87" s="26"/>
      <c r="L87" s="26"/>
      <c r="M87" s="80"/>
      <c r="N87" s="80"/>
      <c r="O87" s="80"/>
      <c r="P87" s="81"/>
      <c r="Q87" s="81"/>
      <c r="R87" s="81"/>
      <c r="S87" s="81"/>
      <c r="T87" s="81"/>
      <c r="U87" s="3"/>
      <c r="V87" s="88"/>
      <c r="W87" s="88"/>
      <c r="X87" s="88"/>
      <c r="Y87" s="88"/>
      <c r="Z87" s="88"/>
      <c r="AA87" s="88"/>
      <c r="AB87" s="88"/>
      <c r="AC87" s="88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CH87">
        <f t="shared" si="4"/>
        <v>-71</v>
      </c>
      <c r="CI87" s="113">
        <f t="shared" si="5"/>
        <v>0.7511094924364492</v>
      </c>
      <c r="CJ87" s="97"/>
      <c r="CK87" s="97"/>
      <c r="CL87" s="97"/>
      <c r="CM87" s="97"/>
      <c r="CN87" s="97"/>
      <c r="CO87" s="97"/>
      <c r="CP87" s="97"/>
      <c r="CQ87" s="97"/>
    </row>
    <row r="88" spans="1:95" ht="14">
      <c r="A88">
        <f t="shared" si="2"/>
        <v>-70</v>
      </c>
      <c r="B88" s="21">
        <v>10</v>
      </c>
      <c r="C88" s="26">
        <f t="shared" si="3"/>
        <v>1.000827474146279</v>
      </c>
      <c r="D88" s="26"/>
      <c r="E88" s="26"/>
      <c r="F88" s="26"/>
      <c r="G88" s="26"/>
      <c r="H88" s="26"/>
      <c r="I88" s="26"/>
      <c r="J88" s="26"/>
      <c r="K88" s="26"/>
      <c r="L88" s="26"/>
      <c r="M88" s="80"/>
      <c r="N88" s="80"/>
      <c r="O88" s="80"/>
      <c r="P88" s="81"/>
      <c r="Q88" s="81"/>
      <c r="R88" s="81"/>
      <c r="S88" s="81"/>
      <c r="T88" s="81"/>
      <c r="U88" s="3"/>
      <c r="V88" s="88"/>
      <c r="W88" s="88"/>
      <c r="X88" s="88"/>
      <c r="Y88" s="88"/>
      <c r="Z88" s="88"/>
      <c r="AA88" s="88"/>
      <c r="AB88" s="88"/>
      <c r="AC88" s="88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CH88">
        <f t="shared" si="4"/>
        <v>-70</v>
      </c>
      <c r="CI88" s="113">
        <f t="shared" si="5"/>
        <v>1.000827474146279</v>
      </c>
      <c r="CJ88" s="97"/>
      <c r="CK88" s="97"/>
      <c r="CL88" s="97"/>
      <c r="CM88" s="97"/>
      <c r="CN88" s="97"/>
      <c r="CO88" s="97"/>
      <c r="CP88" s="97"/>
      <c r="CQ88" s="97"/>
    </row>
    <row r="89" spans="1:95" ht="14">
      <c r="A89">
        <f t="shared" si="2"/>
        <v>-69</v>
      </c>
      <c r="B89" s="21">
        <v>11</v>
      </c>
      <c r="C89" s="26">
        <f t="shared" si="3"/>
        <v>1.2940889042547259</v>
      </c>
      <c r="D89" s="26"/>
      <c r="E89" s="26"/>
      <c r="F89" s="26"/>
      <c r="G89" s="26"/>
      <c r="H89" s="26"/>
      <c r="I89" s="26"/>
      <c r="J89" s="26"/>
      <c r="K89" s="26"/>
      <c r="L89" s="26"/>
      <c r="M89" s="80"/>
      <c r="N89" s="80"/>
      <c r="O89" s="80"/>
      <c r="P89" s="81"/>
      <c r="Q89" s="81"/>
      <c r="R89" s="81"/>
      <c r="S89" s="81"/>
      <c r="T89" s="81"/>
      <c r="U89" s="3"/>
      <c r="V89" s="88"/>
      <c r="W89" s="88"/>
      <c r="X89" s="88"/>
      <c r="Y89" s="88"/>
      <c r="Z89" s="88"/>
      <c r="AA89" s="88"/>
      <c r="AB89" s="88"/>
      <c r="AC89" s="88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CH89">
        <f t="shared" si="4"/>
        <v>-69</v>
      </c>
      <c r="CI89" s="113">
        <f t="shared" si="5"/>
        <v>1.2940889042547259</v>
      </c>
      <c r="CJ89" s="97"/>
      <c r="CK89" s="97"/>
      <c r="CL89" s="97"/>
      <c r="CM89" s="97"/>
      <c r="CN89" s="97"/>
      <c r="CO89" s="97"/>
      <c r="CP89" s="97"/>
      <c r="CQ89" s="97"/>
    </row>
    <row r="90" spans="1:95" ht="14">
      <c r="A90">
        <f t="shared" si="2"/>
        <v>-68</v>
      </c>
      <c r="B90" s="21">
        <v>12</v>
      </c>
      <c r="C90" s="26">
        <f t="shared" si="3"/>
        <v>1.6322999215645968</v>
      </c>
      <c r="D90" s="26"/>
      <c r="E90" s="26"/>
      <c r="F90" s="26"/>
      <c r="G90" s="26"/>
      <c r="H90" s="26"/>
      <c r="I90" s="26"/>
      <c r="J90" s="26"/>
      <c r="K90" s="26"/>
      <c r="L90" s="26"/>
      <c r="M90" s="80"/>
      <c r="N90" s="80"/>
      <c r="O90" s="80"/>
      <c r="P90" s="81"/>
      <c r="Q90" s="81"/>
      <c r="R90" s="81"/>
      <c r="S90" s="81"/>
      <c r="T90" s="81"/>
      <c r="U90" s="3"/>
      <c r="V90" s="88"/>
      <c r="W90" s="88"/>
      <c r="X90" s="88"/>
      <c r="Y90" s="88"/>
      <c r="Z90" s="88"/>
      <c r="AA90" s="88"/>
      <c r="AB90" s="88"/>
      <c r="AC90" s="88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CH90">
        <f t="shared" si="4"/>
        <v>-68</v>
      </c>
      <c r="CI90" s="113">
        <f t="shared" si="5"/>
        <v>1.6322999215645968</v>
      </c>
      <c r="CJ90" s="97"/>
      <c r="CK90" s="97"/>
      <c r="CL90" s="97"/>
      <c r="CM90" s="97"/>
      <c r="CN90" s="97"/>
      <c r="CO90" s="97"/>
      <c r="CP90" s="97"/>
      <c r="CQ90" s="97"/>
    </row>
    <row r="91" spans="1:95" ht="14">
      <c r="A91">
        <f t="shared" si="2"/>
        <v>-67</v>
      </c>
      <c r="B91" s="21">
        <v>13</v>
      </c>
      <c r="C91" s="26">
        <f t="shared" si="3"/>
        <v>2.0165070589588248</v>
      </c>
      <c r="D91" s="26"/>
      <c r="E91" s="26"/>
      <c r="F91" s="26"/>
      <c r="G91" s="26"/>
      <c r="H91" s="26"/>
      <c r="I91" s="26"/>
      <c r="J91" s="26"/>
      <c r="K91" s="26"/>
      <c r="L91" s="26"/>
      <c r="M91" s="80"/>
      <c r="N91" s="80"/>
      <c r="O91" s="80"/>
      <c r="P91" s="81"/>
      <c r="Q91" s="81"/>
      <c r="R91" s="81"/>
      <c r="S91" s="81"/>
      <c r="T91" s="81"/>
      <c r="U91" s="3"/>
      <c r="V91" s="88"/>
      <c r="W91" s="88"/>
      <c r="X91" s="88"/>
      <c r="Y91" s="88"/>
      <c r="Z91" s="88"/>
      <c r="AA91" s="88"/>
      <c r="AB91" s="88"/>
      <c r="AC91" s="88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CH91">
        <f t="shared" si="4"/>
        <v>-67</v>
      </c>
      <c r="CI91" s="113">
        <f t="shared" si="5"/>
        <v>2.0165070589588248</v>
      </c>
      <c r="CJ91" s="97"/>
      <c r="CK91" s="97"/>
      <c r="CL91" s="97"/>
      <c r="CM91" s="97"/>
      <c r="CN91" s="97"/>
      <c r="CO91" s="97"/>
      <c r="CP91" s="97"/>
      <c r="CQ91" s="97"/>
    </row>
    <row r="92" spans="1:95" ht="14">
      <c r="A92">
        <f t="shared" si="2"/>
        <v>-66</v>
      </c>
      <c r="B92" s="21">
        <v>14</v>
      </c>
      <c r="C92" s="26">
        <f t="shared" si="3"/>
        <v>2.4474315133441817</v>
      </c>
      <c r="D92" s="26"/>
      <c r="E92" s="26"/>
      <c r="F92" s="26"/>
      <c r="G92" s="26"/>
      <c r="H92" s="26"/>
      <c r="I92" s="26"/>
      <c r="J92" s="26"/>
      <c r="K92" s="26"/>
      <c r="L92" s="26"/>
      <c r="M92" s="80"/>
      <c r="N92" s="80"/>
      <c r="O92" s="80"/>
      <c r="P92" s="81"/>
      <c r="Q92" s="81"/>
      <c r="R92" s="81"/>
      <c r="S92" s="81"/>
      <c r="T92" s="81"/>
      <c r="U92" s="3"/>
      <c r="V92" s="88"/>
      <c r="W92" s="88"/>
      <c r="X92" s="88"/>
      <c r="Y92" s="88"/>
      <c r="Z92" s="88"/>
      <c r="AA92" s="88"/>
      <c r="AB92" s="88"/>
      <c r="AC92" s="88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CH92">
        <f t="shared" si="4"/>
        <v>-66</v>
      </c>
      <c r="CI92" s="113">
        <f t="shared" si="5"/>
        <v>2.4474315133441817</v>
      </c>
      <c r="CJ92" s="97"/>
      <c r="CK92" s="97"/>
      <c r="CL92" s="97"/>
      <c r="CM92" s="97"/>
      <c r="CN92" s="97"/>
      <c r="CO92" s="97"/>
      <c r="CP92" s="97"/>
      <c r="CQ92" s="97"/>
    </row>
    <row r="93" spans="1:95" ht="14">
      <c r="A93">
        <f t="shared" si="2"/>
        <v>-65</v>
      </c>
      <c r="B93" s="21">
        <v>15</v>
      </c>
      <c r="C93" s="26">
        <f t="shared" si="3"/>
        <v>2.9255008489777561</v>
      </c>
      <c r="D93" s="26"/>
      <c r="E93" s="26"/>
      <c r="F93" s="26"/>
      <c r="G93" s="26"/>
      <c r="H93" s="26"/>
      <c r="I93" s="26"/>
      <c r="J93" s="26"/>
      <c r="K93" s="26"/>
      <c r="L93" s="26"/>
      <c r="M93" s="80"/>
      <c r="N93" s="80"/>
      <c r="O93" s="80"/>
      <c r="P93" s="81"/>
      <c r="Q93" s="81"/>
      <c r="R93" s="81"/>
      <c r="S93" s="81"/>
      <c r="T93" s="81"/>
      <c r="U93" s="3"/>
      <c r="V93" s="88"/>
      <c r="W93" s="88"/>
      <c r="X93" s="88"/>
      <c r="Y93" s="88"/>
      <c r="Z93" s="88"/>
      <c r="AA93" s="88"/>
      <c r="AB93" s="88"/>
      <c r="AC93" s="88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CH93">
        <f t="shared" si="4"/>
        <v>-65</v>
      </c>
      <c r="CI93" s="113">
        <f t="shared" si="5"/>
        <v>2.9255008489777561</v>
      </c>
      <c r="CJ93" s="97"/>
      <c r="CK93" s="97"/>
      <c r="CL93" s="97"/>
      <c r="CM93" s="97"/>
      <c r="CN93" s="97"/>
      <c r="CO93" s="97"/>
      <c r="CP93" s="97"/>
      <c r="CQ93" s="97"/>
    </row>
    <row r="94" spans="1:95" ht="14">
      <c r="A94">
        <f t="shared" si="2"/>
        <v>-64</v>
      </c>
      <c r="B94" s="21">
        <v>16</v>
      </c>
      <c r="C94" s="26">
        <f t="shared" si="3"/>
        <v>3.4508783069854148</v>
      </c>
      <c r="D94" s="26"/>
      <c r="E94" s="26"/>
      <c r="F94" s="26"/>
      <c r="G94" s="26"/>
      <c r="H94" s="26"/>
      <c r="I94" s="26"/>
      <c r="J94" s="26"/>
      <c r="K94" s="26"/>
      <c r="L94" s="26"/>
      <c r="M94" s="80"/>
      <c r="N94" s="80"/>
      <c r="O94" s="80"/>
      <c r="P94" s="81"/>
      <c r="Q94" s="81"/>
      <c r="R94" s="81"/>
      <c r="S94" s="81"/>
      <c r="T94" s="81"/>
      <c r="U94" s="3"/>
      <c r="V94" s="88"/>
      <c r="W94" s="88"/>
      <c r="X94" s="88"/>
      <c r="Y94" s="88"/>
      <c r="Z94" s="88"/>
      <c r="AA94" s="88"/>
      <c r="AB94" s="88"/>
      <c r="AC94" s="88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CH94">
        <f t="shared" si="4"/>
        <v>-64</v>
      </c>
      <c r="CI94" s="113">
        <f t="shared" si="5"/>
        <v>3.4508783069854148</v>
      </c>
      <c r="CJ94" s="97"/>
      <c r="CK94" s="97"/>
      <c r="CL94" s="97"/>
      <c r="CM94" s="97"/>
      <c r="CN94" s="97"/>
      <c r="CO94" s="97"/>
      <c r="CP94" s="97"/>
      <c r="CQ94" s="97"/>
    </row>
    <row r="95" spans="1:95" ht="14">
      <c r="A95">
        <f t="shared" si="2"/>
        <v>-63</v>
      </c>
      <c r="B95" s="21">
        <v>17</v>
      </c>
      <c r="C95" s="26">
        <f t="shared" si="3"/>
        <v>4.0234898828837915</v>
      </c>
      <c r="D95" s="26"/>
      <c r="E95" s="26"/>
      <c r="F95" s="26"/>
      <c r="G95" s="26"/>
      <c r="H95" s="26"/>
      <c r="I95" s="26"/>
      <c r="J95" s="26"/>
      <c r="K95" s="26"/>
      <c r="L95" s="26"/>
      <c r="M95" s="80"/>
      <c r="N95" s="80"/>
      <c r="O95" s="80"/>
      <c r="P95" s="81"/>
      <c r="Q95" s="81"/>
      <c r="R95" s="81"/>
      <c r="S95" s="81"/>
      <c r="T95" s="81"/>
      <c r="U95" s="3"/>
      <c r="V95" s="88"/>
      <c r="W95" s="88"/>
      <c r="X95" s="88"/>
      <c r="Y95" s="88"/>
      <c r="Z95" s="88"/>
      <c r="AA95" s="88"/>
      <c r="AB95" s="88"/>
      <c r="AC95" s="88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CH95">
        <f t="shared" si="4"/>
        <v>-63</v>
      </c>
      <c r="CI95" s="113">
        <f t="shared" si="5"/>
        <v>4.0234898828837915</v>
      </c>
      <c r="CJ95" s="97"/>
      <c r="CK95" s="97"/>
      <c r="CL95" s="97"/>
      <c r="CM95" s="97"/>
      <c r="CN95" s="97"/>
      <c r="CO95" s="97"/>
      <c r="CP95" s="97"/>
      <c r="CQ95" s="97"/>
    </row>
    <row r="96" spans="1:95" ht="14">
      <c r="A96">
        <f t="shared" si="2"/>
        <v>-62</v>
      </c>
      <c r="B96" s="21">
        <v>18</v>
      </c>
      <c r="C96" s="26">
        <f t="shared" si="3"/>
        <v>4.643049323596939</v>
      </c>
      <c r="D96" s="26"/>
      <c r="E96" s="26"/>
      <c r="F96" s="26"/>
      <c r="G96" s="26"/>
      <c r="H96" s="26"/>
      <c r="I96" s="26"/>
      <c r="J96" s="26"/>
      <c r="K96" s="26"/>
      <c r="L96" s="26"/>
      <c r="M96" s="80"/>
      <c r="N96" s="80"/>
      <c r="O96" s="80"/>
      <c r="P96" s="81"/>
      <c r="Q96" s="81"/>
      <c r="R96" s="81"/>
      <c r="S96" s="81"/>
      <c r="T96" s="81"/>
      <c r="U96" s="3"/>
      <c r="V96" s="88"/>
      <c r="W96" s="88"/>
      <c r="X96" s="88"/>
      <c r="Y96" s="88"/>
      <c r="Z96" s="88"/>
      <c r="AA96" s="88"/>
      <c r="AB96" s="88"/>
      <c r="AC96" s="88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CH96">
        <f t="shared" si="4"/>
        <v>-62</v>
      </c>
      <c r="CI96" s="113">
        <f t="shared" si="5"/>
        <v>4.643049323596939</v>
      </c>
      <c r="CJ96" s="97"/>
      <c r="CK96" s="97"/>
      <c r="CL96" s="97"/>
      <c r="CM96" s="97"/>
      <c r="CN96" s="97"/>
      <c r="CO96" s="97"/>
      <c r="CP96" s="97"/>
      <c r="CQ96" s="97"/>
    </row>
    <row r="97" spans="1:95" ht="14">
      <c r="A97">
        <f t="shared" si="2"/>
        <v>-61</v>
      </c>
      <c r="B97" s="21">
        <v>19</v>
      </c>
      <c r="C97" s="26">
        <f t="shared" si="3"/>
        <v>5.3090811857751401</v>
      </c>
      <c r="D97" s="26"/>
      <c r="E97" s="26"/>
      <c r="F97" s="26"/>
      <c r="G97" s="26"/>
      <c r="H97" s="26"/>
      <c r="I97" s="26"/>
      <c r="J97" s="26"/>
      <c r="K97" s="26"/>
      <c r="L97" s="26"/>
      <c r="M97" s="80"/>
      <c r="N97" s="80"/>
      <c r="O97" s="80"/>
      <c r="P97" s="81"/>
      <c r="Q97" s="81"/>
      <c r="R97" s="81"/>
      <c r="S97" s="81"/>
      <c r="T97" s="81"/>
      <c r="U97" s="3"/>
      <c r="V97" s="88"/>
      <c r="W97" s="88"/>
      <c r="X97" s="88"/>
      <c r="Y97" s="88"/>
      <c r="Z97" s="88"/>
      <c r="AA97" s="88"/>
      <c r="AB97" s="88"/>
      <c r="AC97" s="88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CH97">
        <f t="shared" si="4"/>
        <v>-61</v>
      </c>
      <c r="CI97" s="113">
        <f t="shared" si="5"/>
        <v>5.3090811857751401</v>
      </c>
      <c r="CJ97" s="97"/>
      <c r="CK97" s="97"/>
      <c r="CL97" s="97"/>
      <c r="CM97" s="97"/>
      <c r="CN97" s="97"/>
      <c r="CO97" s="97"/>
      <c r="CP97" s="97"/>
      <c r="CQ97" s="97"/>
    </row>
    <row r="98" spans="1:95" ht="14">
      <c r="A98">
        <f t="shared" si="2"/>
        <v>-60</v>
      </c>
      <c r="B98" s="21">
        <v>20</v>
      </c>
      <c r="C98" s="26">
        <f t="shared" si="3"/>
        <v>6.020942088137498</v>
      </c>
      <c r="D98" s="26"/>
      <c r="E98" s="26"/>
      <c r="F98" s="26"/>
      <c r="G98" s="26"/>
      <c r="H98" s="26"/>
      <c r="I98" s="26"/>
      <c r="J98" s="26"/>
      <c r="K98" s="26"/>
      <c r="L98" s="26"/>
      <c r="M98" s="80"/>
      <c r="N98" s="80"/>
      <c r="O98" s="80"/>
      <c r="P98" s="81"/>
      <c r="Q98" s="81"/>
      <c r="R98" s="81"/>
      <c r="S98" s="81"/>
      <c r="T98" s="81"/>
      <c r="U98" s="3"/>
      <c r="V98" s="88"/>
      <c r="W98" s="88"/>
      <c r="X98" s="88"/>
      <c r="Y98" s="88"/>
      <c r="Z98" s="88"/>
      <c r="AA98" s="88"/>
      <c r="AB98" s="88"/>
      <c r="AC98" s="88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CH98">
        <f t="shared" si="4"/>
        <v>-60</v>
      </c>
      <c r="CI98" s="113">
        <f t="shared" si="5"/>
        <v>6.020942088137498</v>
      </c>
      <c r="CJ98" s="97"/>
      <c r="CK98" s="97"/>
      <c r="CL98" s="97"/>
      <c r="CM98" s="97"/>
      <c r="CN98" s="97"/>
      <c r="CO98" s="97"/>
      <c r="CP98" s="97"/>
      <c r="CQ98" s="97"/>
    </row>
    <row r="99" spans="1:95" ht="14">
      <c r="A99">
        <f t="shared" si="2"/>
        <v>-59</v>
      </c>
      <c r="B99" s="21">
        <v>21</v>
      </c>
      <c r="C99" s="26">
        <f t="shared" si="3"/>
        <v>6.7778402820363954</v>
      </c>
      <c r="D99" s="26"/>
      <c r="E99" s="26"/>
      <c r="F99" s="26"/>
      <c r="G99" s="26"/>
      <c r="H99" s="26"/>
      <c r="I99" s="26"/>
      <c r="J99" s="26"/>
      <c r="K99" s="26"/>
      <c r="L99" s="26"/>
      <c r="M99" s="80"/>
      <c r="N99" s="80"/>
      <c r="O99" s="80"/>
      <c r="P99" s="81"/>
      <c r="Q99" s="81"/>
      <c r="R99" s="81"/>
      <c r="S99" s="81"/>
      <c r="T99" s="81"/>
      <c r="U99" s="3"/>
      <c r="V99" s="88"/>
      <c r="W99" s="88"/>
      <c r="X99" s="88"/>
      <c r="Y99" s="88"/>
      <c r="Z99" s="88"/>
      <c r="AA99" s="88"/>
      <c r="AB99" s="88"/>
      <c r="AC99" s="88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CH99">
        <f t="shared" si="4"/>
        <v>-59</v>
      </c>
      <c r="CI99" s="113">
        <f t="shared" si="5"/>
        <v>6.7778402820363954</v>
      </c>
      <c r="CJ99" s="97"/>
      <c r="CK99" s="97"/>
      <c r="CL99" s="97"/>
      <c r="CM99" s="97"/>
      <c r="CN99" s="97"/>
      <c r="CO99" s="97"/>
      <c r="CP99" s="97"/>
      <c r="CQ99" s="97"/>
    </row>
    <row r="100" spans="1:95" ht="14">
      <c r="A100">
        <f t="shared" si="2"/>
        <v>-58</v>
      </c>
      <c r="B100" s="21">
        <v>22</v>
      </c>
      <c r="C100" s="26">
        <f t="shared" si="3"/>
        <v>7.5788536564457836</v>
      </c>
      <c r="D100" s="26"/>
      <c r="E100" s="26"/>
      <c r="F100" s="26"/>
      <c r="G100" s="26"/>
      <c r="H100" s="26"/>
      <c r="I100" s="26"/>
      <c r="J100" s="26"/>
      <c r="K100" s="26"/>
      <c r="L100" s="26"/>
      <c r="M100" s="80"/>
      <c r="N100" s="80"/>
      <c r="O100" s="80"/>
      <c r="P100" s="81"/>
      <c r="Q100" s="81"/>
      <c r="R100" s="81"/>
      <c r="S100" s="81"/>
      <c r="T100" s="81"/>
      <c r="U100" s="3"/>
      <c r="V100" s="88"/>
      <c r="W100" s="88"/>
      <c r="X100" s="88"/>
      <c r="Y100" s="88"/>
      <c r="Z100" s="88"/>
      <c r="AA100" s="88"/>
      <c r="AB100" s="88"/>
      <c r="AC100" s="88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CH100">
        <f t="shared" si="4"/>
        <v>-58</v>
      </c>
      <c r="CI100" s="113">
        <f t="shared" si="5"/>
        <v>7.5788536564457836</v>
      </c>
      <c r="CJ100" s="97"/>
      <c r="CK100" s="97"/>
      <c r="CL100" s="97"/>
      <c r="CM100" s="97"/>
      <c r="CN100" s="97"/>
      <c r="CO100" s="97"/>
      <c r="CP100" s="97"/>
      <c r="CQ100" s="97"/>
    </row>
    <row r="101" spans="1:95" ht="14">
      <c r="A101">
        <f t="shared" si="2"/>
        <v>-57</v>
      </c>
      <c r="B101" s="21">
        <v>23</v>
      </c>
      <c r="C101" s="26">
        <f t="shared" si="3"/>
        <v>8.4229462860755522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80"/>
      <c r="N101" s="80"/>
      <c r="O101" s="80"/>
      <c r="P101" s="81"/>
      <c r="Q101" s="81"/>
      <c r="R101" s="81"/>
      <c r="S101" s="81"/>
      <c r="T101" s="81"/>
      <c r="U101" s="3"/>
      <c r="V101" s="88"/>
      <c r="W101" s="88"/>
      <c r="X101" s="88"/>
      <c r="Y101" s="88"/>
      <c r="Z101" s="88"/>
      <c r="AA101" s="88"/>
      <c r="AB101" s="88"/>
      <c r="AC101" s="88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CH101">
        <f t="shared" si="4"/>
        <v>-57</v>
      </c>
      <c r="CI101" s="113">
        <f t="shared" si="5"/>
        <v>8.4229462860755522</v>
      </c>
      <c r="CJ101" s="97"/>
      <c r="CK101" s="97"/>
      <c r="CL101" s="97"/>
      <c r="CM101" s="97"/>
      <c r="CN101" s="97"/>
      <c r="CO101" s="97"/>
      <c r="CP101" s="97"/>
      <c r="CQ101" s="97"/>
    </row>
    <row r="102" spans="1:95" ht="14">
      <c r="A102">
        <f t="shared" si="2"/>
        <v>-56</v>
      </c>
      <c r="B102" s="21">
        <v>24</v>
      </c>
      <c r="C102" s="26">
        <f t="shared" si="3"/>
        <v>9.3089836242797599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80"/>
      <c r="N102" s="80"/>
      <c r="O102" s="80"/>
      <c r="P102" s="81"/>
      <c r="Q102" s="81"/>
      <c r="R102" s="81"/>
      <c r="S102" s="81"/>
      <c r="T102" s="81"/>
      <c r="U102" s="3"/>
      <c r="V102" s="88"/>
      <c r="W102" s="88"/>
      <c r="X102" s="88"/>
      <c r="Y102" s="88"/>
      <c r="Z102" s="88"/>
      <c r="AA102" s="88"/>
      <c r="AB102" s="88"/>
      <c r="AC102" s="88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CH102">
        <f t="shared" si="4"/>
        <v>-56</v>
      </c>
      <c r="CI102" s="113">
        <f t="shared" si="5"/>
        <v>9.3089836242797599</v>
      </c>
      <c r="CJ102" s="97"/>
      <c r="CK102" s="97"/>
      <c r="CL102" s="97"/>
      <c r="CM102" s="97"/>
      <c r="CN102" s="97"/>
      <c r="CO102" s="97"/>
      <c r="CP102" s="97"/>
      <c r="CQ102" s="97"/>
    </row>
    <row r="103" spans="1:95" ht="14">
      <c r="A103">
        <f t="shared" si="2"/>
        <v>-55</v>
      </c>
      <c r="B103" s="21">
        <v>25</v>
      </c>
      <c r="C103" s="26">
        <f t="shared" si="3"/>
        <v>10.235746435830315</v>
      </c>
      <c r="D103" s="26"/>
      <c r="E103" s="26"/>
      <c r="F103" s="26"/>
      <c r="G103" s="26"/>
      <c r="H103" s="26" t="s">
        <v>159</v>
      </c>
      <c r="I103" s="26"/>
      <c r="J103" s="26"/>
      <c r="K103" s="26"/>
      <c r="L103" s="26"/>
      <c r="M103" s="80"/>
      <c r="N103" s="80"/>
      <c r="O103" s="80"/>
      <c r="P103" s="81"/>
      <c r="Q103" s="81"/>
      <c r="R103" s="81"/>
      <c r="S103" s="81"/>
      <c r="T103" s="81"/>
      <c r="U103" s="3"/>
      <c r="V103" s="88"/>
      <c r="W103" s="88"/>
      <c r="X103" s="88"/>
      <c r="Y103" s="88"/>
      <c r="Z103" s="88"/>
      <c r="AA103" s="88"/>
      <c r="AB103" s="88"/>
      <c r="AC103" s="88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CH103">
        <f t="shared" si="4"/>
        <v>-55</v>
      </c>
      <c r="CI103" s="113">
        <f t="shared" si="5"/>
        <v>10.235746435830315</v>
      </c>
      <c r="CJ103" s="97"/>
      <c r="CK103" s="97"/>
      <c r="CL103" s="97"/>
      <c r="CM103" s="97"/>
      <c r="CN103" s="97"/>
      <c r="CO103" s="97"/>
      <c r="CP103" s="97"/>
      <c r="CQ103" s="97"/>
    </row>
    <row r="104" spans="1:95" ht="14">
      <c r="A104">
        <f t="shared" si="2"/>
        <v>-54</v>
      </c>
      <c r="B104" s="21">
        <v>26</v>
      </c>
      <c r="C104" s="26">
        <f t="shared" si="3"/>
        <v>11.201943558441718</v>
      </c>
      <c r="D104" s="26"/>
      <c r="E104" s="26"/>
      <c r="F104" s="26"/>
      <c r="G104" s="26"/>
      <c r="H104" s="26"/>
      <c r="I104" s="26"/>
      <c r="J104" s="26"/>
      <c r="K104" s="26"/>
      <c r="L104" s="26"/>
      <c r="M104" s="80"/>
      <c r="N104" s="80"/>
      <c r="O104" s="80"/>
      <c r="P104" s="81"/>
      <c r="Q104" s="81"/>
      <c r="R104" s="81"/>
      <c r="S104" s="81"/>
      <c r="T104" s="81"/>
      <c r="U104" s="3"/>
      <c r="V104" s="88"/>
      <c r="W104" s="88"/>
      <c r="X104" s="88"/>
      <c r="Y104" s="88"/>
      <c r="Z104" s="88"/>
      <c r="AA104" s="88"/>
      <c r="AB104" s="88"/>
      <c r="AC104" s="88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CH104">
        <f t="shared" si="4"/>
        <v>-54</v>
      </c>
      <c r="CI104" s="113">
        <f t="shared" si="5"/>
        <v>11.201943558441718</v>
      </c>
      <c r="CJ104" s="97"/>
      <c r="CK104" s="97"/>
      <c r="CL104" s="97"/>
      <c r="CM104" s="97"/>
      <c r="CN104" s="97"/>
      <c r="CO104" s="97"/>
      <c r="CP104" s="97"/>
      <c r="CQ104" s="97"/>
    </row>
    <row r="105" spans="1:95" ht="14">
      <c r="A105">
        <f t="shared" si="2"/>
        <v>-53</v>
      </c>
      <c r="B105" s="21">
        <v>27</v>
      </c>
      <c r="C105" s="26">
        <f t="shared" si="3"/>
        <v>12.206223576133153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80"/>
      <c r="N105" s="80"/>
      <c r="O105" s="80"/>
      <c r="P105" s="81"/>
      <c r="Q105" s="81"/>
      <c r="R105" s="81"/>
      <c r="S105" s="81"/>
      <c r="T105" s="81"/>
      <c r="U105" s="3"/>
      <c r="V105" s="88"/>
      <c r="W105" s="88"/>
      <c r="X105" s="88"/>
      <c r="Y105" s="88"/>
      <c r="Z105" s="88"/>
      <c r="AA105" s="88"/>
      <c r="AB105" s="88"/>
      <c r="AC105" s="88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CH105">
        <f t="shared" si="4"/>
        <v>-53</v>
      </c>
      <c r="CI105" s="113">
        <f t="shared" si="5"/>
        <v>12.206223576133153</v>
      </c>
      <c r="CJ105" s="97"/>
      <c r="CK105" s="97"/>
      <c r="CL105" s="97"/>
      <c r="CM105" s="97"/>
      <c r="CN105" s="97"/>
      <c r="CO105" s="97"/>
      <c r="CP105" s="97"/>
      <c r="CQ105" s="97"/>
    </row>
    <row r="106" spans="1:95" ht="14">
      <c r="A106">
        <f t="shared" si="2"/>
        <v>-52</v>
      </c>
      <c r="B106" s="21">
        <v>28</v>
      </c>
      <c r="C106" s="26">
        <f t="shared" si="3"/>
        <v>13.247185482076821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80"/>
      <c r="N106" s="80"/>
      <c r="O106" s="80"/>
      <c r="P106" s="81"/>
      <c r="Q106" s="81"/>
      <c r="R106" s="81"/>
      <c r="S106" s="81"/>
      <c r="T106" s="81"/>
      <c r="U106" s="3"/>
      <c r="V106" s="88"/>
      <c r="W106" s="88"/>
      <c r="X106" s="88"/>
      <c r="Y106" s="88"/>
      <c r="Z106" s="88"/>
      <c r="AA106" s="88"/>
      <c r="AB106" s="88"/>
      <c r="AC106" s="88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CH106">
        <f t="shared" si="4"/>
        <v>-52</v>
      </c>
      <c r="CI106" s="113">
        <f t="shared" si="5"/>
        <v>13.247185482076821</v>
      </c>
      <c r="CJ106" s="97"/>
      <c r="CK106" s="97"/>
      <c r="CL106" s="97"/>
      <c r="CM106" s="97"/>
      <c r="CN106" s="97"/>
      <c r="CO106" s="97"/>
      <c r="CP106" s="97"/>
      <c r="CQ106" s="97"/>
    </row>
    <row r="107" spans="1:95" ht="14">
      <c r="A107">
        <f t="shared" si="2"/>
        <v>-51</v>
      </c>
      <c r="B107" s="21">
        <v>29</v>
      </c>
      <c r="C107" s="26">
        <f t="shared" si="3"/>
        <v>14.323388403485012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80"/>
      <c r="N107" s="80"/>
      <c r="O107" s="80"/>
      <c r="P107" s="81"/>
      <c r="Q107" s="81"/>
      <c r="R107" s="81"/>
      <c r="S107" s="81"/>
      <c r="T107" s="81"/>
      <c r="U107" s="3"/>
      <c r="V107" s="88"/>
      <c r="W107" s="88"/>
      <c r="X107" s="88"/>
      <c r="Y107" s="88"/>
      <c r="Z107" s="88"/>
      <c r="AA107" s="88"/>
      <c r="AB107" s="88"/>
      <c r="AC107" s="88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CH107">
        <f t="shared" si="4"/>
        <v>-51</v>
      </c>
      <c r="CI107" s="113">
        <f t="shared" si="5"/>
        <v>14.323388403485012</v>
      </c>
      <c r="CJ107" s="97"/>
      <c r="CK107" s="97"/>
      <c r="CL107" s="97"/>
      <c r="CM107" s="97"/>
      <c r="CN107" s="97"/>
      <c r="CO107" s="97"/>
      <c r="CP107" s="97"/>
      <c r="CQ107" s="97"/>
    </row>
    <row r="108" spans="1:95" ht="14">
      <c r="A108">
        <f t="shared" si="2"/>
        <v>-50</v>
      </c>
      <c r="B108" s="21">
        <v>30</v>
      </c>
      <c r="C108" s="26">
        <f t="shared" si="3"/>
        <v>15.433360456310989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80"/>
      <c r="N108" s="80"/>
      <c r="O108" s="80"/>
      <c r="P108" s="81"/>
      <c r="Q108" s="81"/>
      <c r="R108" s="81"/>
      <c r="S108" s="81"/>
      <c r="T108" s="81"/>
      <c r="U108" s="3"/>
      <c r="V108" s="88"/>
      <c r="W108" s="88"/>
      <c r="X108" s="88"/>
      <c r="Y108" s="88"/>
      <c r="Z108" s="88"/>
      <c r="AA108" s="88"/>
      <c r="AB108" s="88"/>
      <c r="AC108" s="88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CH108">
        <f t="shared" si="4"/>
        <v>-50</v>
      </c>
      <c r="CI108" s="113">
        <f t="shared" si="5"/>
        <v>15.433360456310989</v>
      </c>
      <c r="CJ108" s="97"/>
      <c r="CK108" s="97"/>
      <c r="CL108" s="97"/>
      <c r="CM108" s="97"/>
      <c r="CN108" s="97"/>
      <c r="CO108" s="97"/>
      <c r="CP108" s="97"/>
      <c r="CQ108" s="97"/>
    </row>
    <row r="109" spans="1:95" ht="14">
      <c r="A109">
        <f t="shared" si="2"/>
        <v>-49</v>
      </c>
      <c r="B109" s="21">
        <v>31</v>
      </c>
      <c r="C109" s="26">
        <f t="shared" si="3"/>
        <v>16.575606793061986</v>
      </c>
      <c r="D109" s="26"/>
      <c r="E109" s="26"/>
      <c r="F109" s="26"/>
      <c r="G109" s="26"/>
      <c r="H109" s="26"/>
      <c r="I109" s="26"/>
      <c r="J109" s="26"/>
      <c r="K109" s="26"/>
      <c r="L109" s="26"/>
      <c r="M109" s="80"/>
      <c r="N109" s="80"/>
      <c r="O109" s="80"/>
      <c r="P109" s="81"/>
      <c r="Q109" s="81"/>
      <c r="R109" s="81"/>
      <c r="S109" s="81"/>
      <c r="T109" s="81"/>
      <c r="U109" s="3"/>
      <c r="V109" s="88"/>
      <c r="W109" s="88"/>
      <c r="X109" s="88"/>
      <c r="Y109" s="88"/>
      <c r="Z109" s="88"/>
      <c r="AA109" s="88"/>
      <c r="AB109" s="88"/>
      <c r="AC109" s="88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CH109">
        <f t="shared" si="4"/>
        <v>-49</v>
      </c>
      <c r="CI109" s="113">
        <f t="shared" si="5"/>
        <v>16.575606793061986</v>
      </c>
      <c r="CJ109" s="97"/>
      <c r="CK109" s="97"/>
      <c r="CL109" s="97"/>
      <c r="CM109" s="97"/>
      <c r="CN109" s="97"/>
      <c r="CO109" s="97"/>
      <c r="CP109" s="97"/>
      <c r="CQ109" s="97"/>
    </row>
    <row r="110" spans="1:95" ht="14">
      <c r="A110">
        <f t="shared" si="2"/>
        <v>-48</v>
      </c>
      <c r="B110" s="21">
        <v>32</v>
      </c>
      <c r="C110" s="26">
        <f t="shared" si="3"/>
        <v>17.74861690282755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80"/>
      <c r="N110" s="80"/>
      <c r="O110" s="80"/>
      <c r="P110" s="81"/>
      <c r="Q110" s="81"/>
      <c r="R110" s="81"/>
      <c r="S110" s="81"/>
      <c r="T110" s="81"/>
      <c r="U110" s="3"/>
      <c r="V110" s="88"/>
      <c r="W110" s="88"/>
      <c r="X110" s="88"/>
      <c r="Y110" s="88"/>
      <c r="Z110" s="88"/>
      <c r="AA110" s="88"/>
      <c r="AB110" s="88"/>
      <c r="AC110" s="88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CH110">
        <f t="shared" si="4"/>
        <v>-48</v>
      </c>
      <c r="CI110" s="113">
        <f t="shared" si="5"/>
        <v>17.74861690282755</v>
      </c>
      <c r="CJ110" s="97"/>
      <c r="CK110" s="97"/>
      <c r="CL110" s="97"/>
      <c r="CM110" s="97"/>
      <c r="CN110" s="97"/>
      <c r="CO110" s="97"/>
      <c r="CP110" s="97"/>
      <c r="CQ110" s="97"/>
    </row>
    <row r="111" spans="1:95" ht="14">
      <c r="A111">
        <f t="shared" si="2"/>
        <v>-47</v>
      </c>
      <c r="B111" s="21">
        <v>33</v>
      </c>
      <c r="C111" s="26">
        <f t="shared" si="3"/>
        <v>18.950871218695532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80"/>
      <c r="N111" s="80"/>
      <c r="O111" s="80"/>
      <c r="P111" s="81"/>
      <c r="Q111" s="81"/>
      <c r="R111" s="81"/>
      <c r="S111" s="81"/>
      <c r="T111" s="81"/>
      <c r="U111" s="3"/>
      <c r="V111" s="88"/>
      <c r="W111" s="88"/>
      <c r="X111" s="88"/>
      <c r="Y111" s="88"/>
      <c r="Z111" s="88"/>
      <c r="AA111" s="88"/>
      <c r="AB111" s="88"/>
      <c r="AC111" s="88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CH111">
        <f t="shared" si="4"/>
        <v>-47</v>
      </c>
      <c r="CI111" s="113">
        <f t="shared" si="5"/>
        <v>18.950871218695532</v>
      </c>
      <c r="CJ111" s="97"/>
      <c r="CK111" s="97"/>
      <c r="CL111" s="97"/>
      <c r="CM111" s="97"/>
      <c r="CN111" s="97"/>
      <c r="CO111" s="97"/>
      <c r="CP111" s="97"/>
      <c r="CQ111" s="97"/>
    </row>
    <row r="112" spans="1:95" ht="14">
      <c r="A112">
        <f t="shared" si="2"/>
        <v>-46</v>
      </c>
      <c r="B112" s="21">
        <v>34</v>
      </c>
      <c r="C112" s="26">
        <f t="shared" si="3"/>
        <v>20.180847084046018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80"/>
      <c r="N112" s="80"/>
      <c r="O112" s="80"/>
      <c r="P112" s="81"/>
      <c r="Q112" s="81"/>
      <c r="R112" s="81"/>
      <c r="S112" s="81"/>
      <c r="T112" s="81"/>
      <c r="U112" s="3"/>
      <c r="V112" s="88"/>
      <c r="W112" s="88"/>
      <c r="X112" s="88"/>
      <c r="Y112" s="88"/>
      <c r="Z112" s="88"/>
      <c r="AA112" s="88"/>
      <c r="AB112" s="88"/>
      <c r="AC112" s="88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CH112">
        <f t="shared" si="4"/>
        <v>-46</v>
      </c>
      <c r="CI112" s="113">
        <f t="shared" si="5"/>
        <v>20.180847084046018</v>
      </c>
      <c r="CJ112" s="97"/>
      <c r="CK112" s="97"/>
      <c r="CL112" s="97"/>
      <c r="CM112" s="97"/>
      <c r="CN112" s="97"/>
      <c r="CO112" s="97"/>
      <c r="CP112" s="97"/>
      <c r="CQ112" s="97"/>
    </row>
    <row r="113" spans="1:97" ht="14">
      <c r="A113">
        <f t="shared" si="2"/>
        <v>-45</v>
      </c>
      <c r="B113" s="21">
        <v>35</v>
      </c>
      <c r="C113" s="26">
        <f t="shared" si="3"/>
        <v>21.43702412576425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80"/>
      <c r="N113" s="80"/>
      <c r="O113" s="80"/>
      <c r="P113" s="81"/>
      <c r="Q113" s="81"/>
      <c r="R113" s="81"/>
      <c r="S113" s="81"/>
      <c r="T113" s="81"/>
      <c r="U113" s="3"/>
      <c r="V113" s="88"/>
      <c r="W113" s="88"/>
      <c r="X113" s="88"/>
      <c r="Y113" s="88"/>
      <c r="Z113" s="88"/>
      <c r="AA113" s="88"/>
      <c r="AB113" s="88"/>
      <c r="AC113" s="88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CH113">
        <f t="shared" si="4"/>
        <v>-45</v>
      </c>
      <c r="CI113" s="113">
        <f t="shared" si="5"/>
        <v>21.43702412576425</v>
      </c>
      <c r="CJ113" s="97"/>
      <c r="CK113" s="97"/>
      <c r="CL113" s="97"/>
      <c r="CM113" s="97"/>
      <c r="CN113" s="97"/>
      <c r="CO113" s="97"/>
      <c r="CP113" s="97"/>
      <c r="CQ113" s="97"/>
    </row>
    <row r="114" spans="1:97" ht="14">
      <c r="A114">
        <f t="shared" si="2"/>
        <v>-44</v>
      </c>
      <c r="B114" s="21">
        <v>36</v>
      </c>
      <c r="C114" s="26">
        <f t="shared" si="3"/>
        <v>22.717889079182989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80"/>
      <c r="N114" s="80"/>
      <c r="O114" s="80"/>
      <c r="P114" s="81"/>
      <c r="Q114" s="81"/>
      <c r="R114" s="81"/>
      <c r="S114" s="81"/>
      <c r="T114" s="81"/>
      <c r="U114" s="3"/>
      <c r="V114" s="88"/>
      <c r="W114" s="88"/>
      <c r="X114" s="88"/>
      <c r="Y114" s="88"/>
      <c r="Z114" s="88"/>
      <c r="AA114" s="88"/>
      <c r="AB114" s="88"/>
      <c r="AC114" s="88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CH114">
        <f t="shared" si="4"/>
        <v>-44</v>
      </c>
      <c r="CI114" s="113">
        <f t="shared" si="5"/>
        <v>22.717889079182989</v>
      </c>
      <c r="CJ114" s="97"/>
      <c r="CK114" s="97"/>
      <c r="CL114" s="97"/>
      <c r="CM114" s="97"/>
      <c r="CN114" s="97"/>
      <c r="CO114" s="97"/>
      <c r="CP114" s="97"/>
      <c r="CQ114" s="97"/>
    </row>
    <row r="115" spans="1:97" ht="14">
      <c r="A115">
        <f t="shared" si="2"/>
        <v>-43</v>
      </c>
      <c r="B115" s="21">
        <v>37</v>
      </c>
      <c r="C115" s="26">
        <f t="shared" si="3"/>
        <v>24.021940106540239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80"/>
      <c r="N115" s="80"/>
      <c r="O115" s="80"/>
      <c r="P115" s="81"/>
      <c r="Q115" s="81"/>
      <c r="R115" s="81"/>
      <c r="S115" s="81"/>
      <c r="T115" s="81"/>
      <c r="U115" s="3"/>
      <c r="V115" s="88"/>
      <c r="W115" s="88"/>
      <c r="X115" s="88"/>
      <c r="Y115" s="88"/>
      <c r="Z115" s="88"/>
      <c r="AA115" s="88"/>
      <c r="AB115" s="88"/>
      <c r="AC115" s="88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CH115">
        <f t="shared" si="4"/>
        <v>-43</v>
      </c>
      <c r="CI115" s="113">
        <f t="shared" si="5"/>
        <v>24.021940106540239</v>
      </c>
      <c r="CJ115" s="97"/>
      <c r="CK115" s="97"/>
      <c r="CL115" s="97"/>
      <c r="CM115" s="97"/>
      <c r="CN115" s="97"/>
      <c r="CO115" s="97"/>
      <c r="CP115" s="97"/>
      <c r="CQ115" s="97"/>
    </row>
    <row r="116" spans="1:97" ht="14">
      <c r="A116">
        <f t="shared" si="2"/>
        <v>-42</v>
      </c>
      <c r="B116" s="21">
        <v>38</v>
      </c>
      <c r="C116" s="26">
        <f t="shared" si="3"/>
        <v>25.347690647905036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80"/>
      <c r="N116" s="80"/>
      <c r="O116" s="80"/>
      <c r="P116" s="81"/>
      <c r="Q116" s="81"/>
      <c r="R116" s="81"/>
      <c r="S116" s="81"/>
      <c r="T116" s="81"/>
      <c r="U116" s="3"/>
      <c r="V116" s="88"/>
      <c r="W116" s="88"/>
      <c r="X116" s="88"/>
      <c r="Y116" s="88"/>
      <c r="Z116" s="88"/>
      <c r="AA116" s="88"/>
      <c r="AB116" s="88"/>
      <c r="AC116" s="88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CH116">
        <f t="shared" si="4"/>
        <v>-42</v>
      </c>
      <c r="CI116" s="113">
        <f t="shared" si="5"/>
        <v>25.347690647905036</v>
      </c>
      <c r="CJ116" s="97"/>
      <c r="CK116" s="97"/>
      <c r="CL116" s="97"/>
      <c r="CM116" s="97"/>
      <c r="CN116" s="97"/>
      <c r="CO116" s="97"/>
      <c r="CP116" s="97"/>
      <c r="CQ116" s="97"/>
    </row>
    <row r="117" spans="1:97" ht="14">
      <c r="A117">
        <f t="shared" si="2"/>
        <v>-41</v>
      </c>
      <c r="B117" s="21">
        <v>39</v>
      </c>
      <c r="C117" s="26">
        <f t="shared" si="3"/>
        <v>26.693672840873621</v>
      </c>
      <c r="D117" s="26"/>
      <c r="E117" s="26"/>
      <c r="F117" s="26"/>
      <c r="G117" s="26"/>
      <c r="H117" s="26"/>
      <c r="I117" s="26"/>
      <c r="J117" s="26"/>
      <c r="K117" s="26"/>
      <c r="L117" s="26"/>
      <c r="M117" s="80"/>
      <c r="N117" s="80"/>
      <c r="O117" s="80"/>
      <c r="P117" s="81"/>
      <c r="Q117" s="81"/>
      <c r="R117" s="81"/>
      <c r="S117" s="81"/>
      <c r="T117" s="81"/>
      <c r="U117" s="3"/>
      <c r="V117" s="88"/>
      <c r="W117" s="88"/>
      <c r="X117" s="88"/>
      <c r="Y117" s="88"/>
      <c r="Z117" s="88"/>
      <c r="AA117" s="88"/>
      <c r="AB117" s="88"/>
      <c r="AC117" s="88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CH117">
        <f t="shared" si="4"/>
        <v>-41</v>
      </c>
      <c r="CI117" s="113">
        <f t="shared" si="5"/>
        <v>26.693672840873621</v>
      </c>
      <c r="CJ117" s="97"/>
      <c r="CK117" s="97"/>
      <c r="CL117" s="97"/>
      <c r="CM117" s="97"/>
      <c r="CN117" s="97"/>
      <c r="CO117" s="97"/>
      <c r="CP117" s="97"/>
      <c r="CQ117" s="97"/>
    </row>
    <row r="118" spans="1:97" s="121" customFormat="1" ht="14">
      <c r="A118" s="121">
        <f t="shared" si="2"/>
        <v>-40</v>
      </c>
      <c r="B118" s="122">
        <v>40</v>
      </c>
      <c r="C118" s="123">
        <f t="shared" si="3"/>
        <v>28.058440542855632</v>
      </c>
      <c r="D118" s="125">
        <f>(($C$39*$C$118*0.72)*D$40)*('Product half-life and C flows'!B19/100)</f>
        <v>2.0202077190856054</v>
      </c>
      <c r="E118" s="123"/>
      <c r="F118" s="125">
        <f>($C$39*$C118*0.72)*F$40</f>
        <v>6.0606231572568161</v>
      </c>
      <c r="G118" s="125">
        <f>($C$39*$C118*0.28)*G$41</f>
        <v>0.7542108817919595</v>
      </c>
      <c r="H118" s="125">
        <f>(($C$39*$C118*0.28)*H$41)*(E145+'Product half-life and C flows'!L19/100)</f>
        <v>2.3569090055998734</v>
      </c>
      <c r="I118" s="125">
        <f>(($C$39*$C$118*0.28)*H$41)*('Product half-life and C flows'!N19/100)</f>
        <v>0</v>
      </c>
      <c r="J118" s="125">
        <f>(($C$39*$C$118*0.28)*H$41)*(+'Product half-life and C flows'!P19/100)</f>
        <v>0</v>
      </c>
      <c r="K118" s="125">
        <f>H118*K42</f>
        <v>1.3434381331919276</v>
      </c>
      <c r="L118" s="123"/>
      <c r="M118" s="124"/>
      <c r="N118" s="124"/>
      <c r="O118" s="124"/>
      <c r="U118" s="124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5"/>
      <c r="AV118" s="135"/>
      <c r="AW118" s="135"/>
      <c r="AX118" s="135"/>
      <c r="CH118" s="121">
        <f t="shared" si="4"/>
        <v>-40</v>
      </c>
      <c r="CI118" s="124">
        <f t="shared" si="5"/>
        <v>28.058440542855632</v>
      </c>
      <c r="CJ118" s="124">
        <f t="shared" ref="CJ118:CJ149" si="6">D118+M118+V118+AE118+AN118+AW118+BF118+BO118+BX118</f>
        <v>2.0202077190856054</v>
      </c>
      <c r="CK118" s="124">
        <f t="shared" ref="CK118:CK149" si="7">E118+N118+W118+AF118+AO118+AX118+BG118+BP118+BY118</f>
        <v>0</v>
      </c>
      <c r="CL118" s="124">
        <f t="shared" ref="CL118:CL149" si="8">F118+O118+X118+AG118+AP118+AY118+BH118+BQ118+BZ118</f>
        <v>6.0606231572568161</v>
      </c>
      <c r="CM118" s="124">
        <f t="shared" ref="CM118:CM149" si="9">G118+P118+Y118+AH118+AQ118+AZ118+BI118+BR118+CA118</f>
        <v>0.7542108817919595</v>
      </c>
      <c r="CN118" s="124">
        <f t="shared" ref="CN118:CN149" si="10">H118+Q118+Z118+AI118+AR118+BA118+BJ118+BS118+CB118</f>
        <v>2.3569090055998734</v>
      </c>
      <c r="CO118" s="124">
        <f t="shared" ref="CO118:CO149" si="11">I118+R118+AA118+AJ118+AS118+BB118+BK118+BT118+CC118</f>
        <v>0</v>
      </c>
      <c r="CP118" s="124">
        <f t="shared" ref="CP118:CP149" si="12">J118+S118+AB118+AK118+AT118+BC118+BL118+BU118+CD118</f>
        <v>0</v>
      </c>
      <c r="CQ118" s="124">
        <f t="shared" ref="CQ118:CQ149" si="13">K118+T118+AC118+AL118+AU118+BD118+BM118+BV118+CE118</f>
        <v>1.3434381331919276</v>
      </c>
      <c r="CR118" s="124">
        <f>SUM(CJ118:CQ118)+CI118</f>
        <v>40.593829439781814</v>
      </c>
      <c r="CS118" s="121" t="s">
        <v>174</v>
      </c>
    </row>
    <row r="119" spans="1:97" ht="14">
      <c r="A119">
        <f t="shared" si="2"/>
        <v>-39</v>
      </c>
      <c r="B119" s="21">
        <v>41</v>
      </c>
      <c r="C119" s="26">
        <f>(B$8*(1-EXP(-B$9*$B119))^3)-(C$39*C$118)</f>
        <v>18.217195770305299</v>
      </c>
      <c r="D119" s="125">
        <f>(($C$39*$C$118*0.72)*D$40)*('Product half-life and C flows'!B20/100)</f>
        <v>1.9513920278391854</v>
      </c>
      <c r="E119" s="26"/>
      <c r="F119" s="54">
        <f>F118</f>
        <v>6.0606231572568161</v>
      </c>
      <c r="G119" s="54">
        <f>G118</f>
        <v>0.7542108817919595</v>
      </c>
      <c r="H119" s="125">
        <f>(H$118)*('Product half-life and C flows'!L20/100)</f>
        <v>2.3208830691382154</v>
      </c>
      <c r="I119" s="125">
        <f>(($C$39*$C$118*0.28)*H$41)*('Product half-life and C flows'!N20/100)</f>
        <v>1.8030981199059895E-2</v>
      </c>
      <c r="J119" s="125">
        <f>(($C$39*$C$118*0.28)*H$41)*(+'Product half-life and C flows'!P20/100)</f>
        <v>9.0064841154145342E-3</v>
      </c>
      <c r="K119" s="54">
        <f>K118</f>
        <v>1.3434381331919276</v>
      </c>
      <c r="L119" s="26"/>
      <c r="M119" s="80"/>
      <c r="N119" s="80"/>
      <c r="O119" s="80"/>
      <c r="P119" s="81"/>
      <c r="Q119" s="81"/>
      <c r="R119" s="81"/>
      <c r="S119" s="81"/>
      <c r="T119" s="81"/>
      <c r="U119" s="3"/>
      <c r="V119" s="88"/>
      <c r="W119" s="88"/>
      <c r="X119" s="88"/>
      <c r="Y119" s="88"/>
      <c r="Z119" s="88"/>
      <c r="AA119" s="88"/>
      <c r="AB119" s="88"/>
      <c r="AC119" s="88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CH119">
        <f t="shared" si="4"/>
        <v>-39</v>
      </c>
      <c r="CI119" s="113">
        <f t="shared" si="5"/>
        <v>18.217195770305299</v>
      </c>
      <c r="CJ119" s="124">
        <f t="shared" si="6"/>
        <v>1.9513920278391854</v>
      </c>
      <c r="CK119" s="124">
        <f t="shared" si="7"/>
        <v>0</v>
      </c>
      <c r="CL119" s="124">
        <f t="shared" si="8"/>
        <v>6.0606231572568161</v>
      </c>
      <c r="CM119" s="124">
        <f t="shared" si="9"/>
        <v>0.7542108817919595</v>
      </c>
      <c r="CN119" s="124">
        <f t="shared" si="10"/>
        <v>2.3208830691382154</v>
      </c>
      <c r="CO119" s="124">
        <f t="shared" si="11"/>
        <v>1.8030981199059895E-2</v>
      </c>
      <c r="CP119" s="124">
        <f t="shared" si="12"/>
        <v>9.0064841154145342E-3</v>
      </c>
      <c r="CQ119" s="124">
        <f t="shared" si="13"/>
        <v>1.3434381331919276</v>
      </c>
      <c r="CR119" s="124">
        <f t="shared" ref="CR119:CR157" si="14">SUM(CJ119:CQ119)+CI119</f>
        <v>30.674780504837877</v>
      </c>
    </row>
    <row r="120" spans="1:97" ht="14">
      <c r="A120">
        <f t="shared" si="2"/>
        <v>-38</v>
      </c>
      <c r="B120" s="21">
        <v>42</v>
      </c>
      <c r="C120" s="127">
        <f>C119+(C$158-C$119)/39</f>
        <v>19.940369192884187</v>
      </c>
      <c r="D120" s="125">
        <f>(($C$39*$C$118*0.72)*D$40)*('Product half-life and C flows'!B21/100)</f>
        <v>1.8849204516641926</v>
      </c>
      <c r="E120" s="26"/>
      <c r="F120" s="54">
        <f t="shared" ref="F120:G135" si="15">F119</f>
        <v>6.0606231572568161</v>
      </c>
      <c r="G120" s="54">
        <f t="shared" si="15"/>
        <v>0.7542108817919595</v>
      </c>
      <c r="H120" s="125">
        <f>(H$118)*('Product half-life and C flows'!L21/100)</f>
        <v>2.2854077980161422</v>
      </c>
      <c r="I120" s="125">
        <f>(($C$39*$C$118*0.28)*H$41)*('Product half-life and C flows'!N21/100)</f>
        <v>3.5786354395657444E-2</v>
      </c>
      <c r="J120" s="125">
        <f>(($C$39*$C$118*0.28)*H$41)*(+'Product half-life and C flows'!P21/100)</f>
        <v>1.7875301895932786E-2</v>
      </c>
      <c r="K120" s="54">
        <f t="shared" ref="K120:K183" si="16">K119</f>
        <v>1.3434381331919276</v>
      </c>
      <c r="L120" s="26"/>
      <c r="M120" s="80"/>
      <c r="N120" s="80"/>
      <c r="O120" s="80"/>
      <c r="P120" s="81"/>
      <c r="Q120" s="81"/>
      <c r="R120" s="81"/>
      <c r="S120" s="81"/>
      <c r="T120" s="81"/>
      <c r="U120" s="3"/>
      <c r="V120" s="88"/>
      <c r="W120" s="88"/>
      <c r="X120" s="88"/>
      <c r="Y120" s="88"/>
      <c r="Z120" s="88"/>
      <c r="AA120" s="88"/>
      <c r="AB120" s="88"/>
      <c r="AC120" s="88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CH120">
        <f t="shared" si="4"/>
        <v>-38</v>
      </c>
      <c r="CI120" s="113">
        <f t="shared" si="5"/>
        <v>19.940369192884187</v>
      </c>
      <c r="CJ120" s="124">
        <f t="shared" si="6"/>
        <v>1.8849204516641926</v>
      </c>
      <c r="CK120" s="124">
        <f t="shared" si="7"/>
        <v>0</v>
      </c>
      <c r="CL120" s="124">
        <f t="shared" si="8"/>
        <v>6.0606231572568161</v>
      </c>
      <c r="CM120" s="124">
        <f t="shared" si="9"/>
        <v>0.7542108817919595</v>
      </c>
      <c r="CN120" s="124">
        <f t="shared" si="10"/>
        <v>2.2854077980161422</v>
      </c>
      <c r="CO120" s="124">
        <f t="shared" si="11"/>
        <v>3.5786354395657444E-2</v>
      </c>
      <c r="CP120" s="124">
        <f t="shared" si="12"/>
        <v>1.7875301895932786E-2</v>
      </c>
      <c r="CQ120" s="124">
        <f t="shared" si="13"/>
        <v>1.3434381331919276</v>
      </c>
      <c r="CR120" s="124">
        <f t="shared" si="14"/>
        <v>32.322631271096817</v>
      </c>
    </row>
    <row r="121" spans="1:97" ht="14">
      <c r="A121">
        <f t="shared" si="2"/>
        <v>-37</v>
      </c>
      <c r="B121" s="21">
        <v>43</v>
      </c>
      <c r="C121" s="127">
        <f t="shared" ref="C121:C157" si="17">C120+(C$158-C$119)/39</f>
        <v>21.663542615463076</v>
      </c>
      <c r="D121" s="125">
        <f>(($C$39*$C$118*0.72)*D$40)*('Product half-life and C flows'!B22/100)</f>
        <v>1.8207131413958719</v>
      </c>
      <c r="E121" s="26"/>
      <c r="F121" s="54">
        <f t="shared" si="15"/>
        <v>6.0606231572568161</v>
      </c>
      <c r="G121" s="54">
        <f t="shared" si="15"/>
        <v>0.7542108817919595</v>
      </c>
      <c r="H121" s="125">
        <f>(H$118)*('Product half-life and C flows'!L22/100)</f>
        <v>2.2504747751778877</v>
      </c>
      <c r="I121" s="125">
        <f>(($C$39*$C$118*0.28)*H$41)*('Product half-life and C flows'!N22/100)</f>
        <v>5.3270332326203665E-2</v>
      </c>
      <c r="J121" s="125">
        <f>(($C$39*$C$118*0.28)*H$41)*(+'Product half-life and C flows'!P22/100)</f>
        <v>2.6608557605496335E-2</v>
      </c>
      <c r="K121" s="54">
        <f t="shared" si="16"/>
        <v>1.3434381331919276</v>
      </c>
      <c r="L121" s="26"/>
      <c r="M121" s="80"/>
      <c r="N121" s="80"/>
      <c r="O121" s="80"/>
      <c r="P121" s="81"/>
      <c r="Q121" s="81"/>
      <c r="R121" s="81"/>
      <c r="S121" s="81"/>
      <c r="T121" s="81"/>
      <c r="U121" s="3"/>
      <c r="V121" s="88"/>
      <c r="W121" s="88"/>
      <c r="X121" s="88"/>
      <c r="Y121" s="88"/>
      <c r="Z121" s="88"/>
      <c r="AA121" s="88"/>
      <c r="AB121" s="88"/>
      <c r="AC121" s="88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CH121">
        <f t="shared" si="4"/>
        <v>-37</v>
      </c>
      <c r="CI121" s="113">
        <f t="shared" si="5"/>
        <v>21.663542615463076</v>
      </c>
      <c r="CJ121" s="124">
        <f t="shared" si="6"/>
        <v>1.8207131413958719</v>
      </c>
      <c r="CK121" s="124">
        <f t="shared" si="7"/>
        <v>0</v>
      </c>
      <c r="CL121" s="124">
        <f t="shared" si="8"/>
        <v>6.0606231572568161</v>
      </c>
      <c r="CM121" s="124">
        <f t="shared" si="9"/>
        <v>0.7542108817919595</v>
      </c>
      <c r="CN121" s="124">
        <f t="shared" si="10"/>
        <v>2.2504747751778877</v>
      </c>
      <c r="CO121" s="124">
        <f t="shared" si="11"/>
        <v>5.3270332326203665E-2</v>
      </c>
      <c r="CP121" s="124">
        <f t="shared" si="12"/>
        <v>2.6608557605496335E-2</v>
      </c>
      <c r="CQ121" s="124">
        <f t="shared" si="13"/>
        <v>1.3434381331919276</v>
      </c>
      <c r="CR121" s="124">
        <f t="shared" si="14"/>
        <v>33.972881594209241</v>
      </c>
    </row>
    <row r="122" spans="1:97" ht="14">
      <c r="A122">
        <f t="shared" si="2"/>
        <v>-36</v>
      </c>
      <c r="B122" s="21">
        <v>44</v>
      </c>
      <c r="C122" s="127">
        <f t="shared" si="17"/>
        <v>23.386716038041964</v>
      </c>
      <c r="D122" s="125">
        <f>(($C$39*$C$118*0.72)*D$40)*('Product half-life and C flows'!B23/100)</f>
        <v>1.7586929678251519</v>
      </c>
      <c r="E122" s="26"/>
      <c r="F122" s="54">
        <f t="shared" si="15"/>
        <v>6.0606231572568161</v>
      </c>
      <c r="G122" s="54">
        <f t="shared" si="15"/>
        <v>0.7542108817919595</v>
      </c>
      <c r="H122" s="125">
        <f>(H$118)*('Product half-life and C flows'!L23/100)</f>
        <v>2.2160757122244639</v>
      </c>
      <c r="I122" s="125">
        <f>(($C$39*$C$118*0.28)*H$41)*('Product half-life and C flows'!N23/100)</f>
        <v>7.0487063334392447E-2</v>
      </c>
      <c r="J122" s="125">
        <f>(($C$39*$C$118*0.28)*H$41)*(+'Product half-life and C flows'!P23/100)</f>
        <v>3.520832334385237E-2</v>
      </c>
      <c r="K122" s="54">
        <f t="shared" si="16"/>
        <v>1.3434381331919276</v>
      </c>
      <c r="L122" s="26"/>
      <c r="M122" s="80"/>
      <c r="N122" s="80"/>
      <c r="O122" s="80"/>
      <c r="P122" s="81"/>
      <c r="Q122" s="81"/>
      <c r="R122" s="81"/>
      <c r="S122" s="81"/>
      <c r="T122" s="81"/>
      <c r="U122" s="3"/>
      <c r="V122" s="88"/>
      <c r="W122" s="88"/>
      <c r="X122" s="88"/>
      <c r="Y122" s="88"/>
      <c r="Z122" s="88"/>
      <c r="AA122" s="88"/>
      <c r="AB122" s="88"/>
      <c r="AC122" s="88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CH122">
        <f t="shared" si="4"/>
        <v>-36</v>
      </c>
      <c r="CI122" s="113">
        <f t="shared" si="5"/>
        <v>23.386716038041964</v>
      </c>
      <c r="CJ122" s="124">
        <f t="shared" si="6"/>
        <v>1.7586929678251519</v>
      </c>
      <c r="CK122" s="124">
        <f t="shared" si="7"/>
        <v>0</v>
      </c>
      <c r="CL122" s="124">
        <f t="shared" si="8"/>
        <v>6.0606231572568161</v>
      </c>
      <c r="CM122" s="124">
        <f t="shared" si="9"/>
        <v>0.7542108817919595</v>
      </c>
      <c r="CN122" s="124">
        <f t="shared" si="10"/>
        <v>2.2160757122244639</v>
      </c>
      <c r="CO122" s="124">
        <f t="shared" si="11"/>
        <v>7.0487063334392447E-2</v>
      </c>
      <c r="CP122" s="124">
        <f t="shared" si="12"/>
        <v>3.520832334385237E-2</v>
      </c>
      <c r="CQ122" s="124">
        <f t="shared" si="13"/>
        <v>1.3434381331919276</v>
      </c>
      <c r="CR122" s="124">
        <f t="shared" si="14"/>
        <v>35.625452277010524</v>
      </c>
    </row>
    <row r="123" spans="1:97" ht="14">
      <c r="A123">
        <f t="shared" si="2"/>
        <v>-35</v>
      </c>
      <c r="B123" s="21">
        <v>45</v>
      </c>
      <c r="C123" s="127">
        <f t="shared" si="17"/>
        <v>25.109889460620852</v>
      </c>
      <c r="D123" s="125">
        <f>(($C$39*$C$118*0.72)*D$40)*('Product half-life and C flows'!B24/100)</f>
        <v>1.6987854290469686</v>
      </c>
      <c r="E123" s="26"/>
      <c r="F123" s="54">
        <f t="shared" si="15"/>
        <v>6.0606231572568161</v>
      </c>
      <c r="G123" s="54">
        <f t="shared" si="15"/>
        <v>0.7542108817919595</v>
      </c>
      <c r="H123" s="125">
        <f>(H$118)*('Product half-life and C flows'!L24/100)</f>
        <v>2.1822024474471067</v>
      </c>
      <c r="I123" s="125">
        <f>(($C$39*$C$118*0.28)*H$41)*('Product half-life and C flows'!N24/100)</f>
        <v>8.7440632355459791E-2</v>
      </c>
      <c r="J123" s="125">
        <f>(($C$39*$C$118*0.28)*H$41)*(+'Product half-life and C flows'!P24/100)</f>
        <v>4.3676639538191703E-2</v>
      </c>
      <c r="K123" s="54">
        <f t="shared" si="16"/>
        <v>1.3434381331919276</v>
      </c>
      <c r="L123" s="26"/>
      <c r="M123" s="80"/>
      <c r="N123" s="80"/>
      <c r="O123" s="80"/>
      <c r="P123" s="81"/>
      <c r="Q123" s="81"/>
      <c r="R123" s="81"/>
      <c r="S123" s="81"/>
      <c r="T123" s="81"/>
      <c r="U123" s="3"/>
      <c r="V123" s="88"/>
      <c r="W123" s="88"/>
      <c r="X123" s="88"/>
      <c r="Y123" s="88"/>
      <c r="Z123" s="88"/>
      <c r="AA123" s="88"/>
      <c r="AB123" s="88"/>
      <c r="AC123" s="88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CH123">
        <f t="shared" si="4"/>
        <v>-35</v>
      </c>
      <c r="CI123" s="113">
        <f t="shared" si="5"/>
        <v>25.109889460620852</v>
      </c>
      <c r="CJ123" s="124">
        <f t="shared" si="6"/>
        <v>1.6987854290469686</v>
      </c>
      <c r="CK123" s="124">
        <f t="shared" si="7"/>
        <v>0</v>
      </c>
      <c r="CL123" s="124">
        <f t="shared" si="8"/>
        <v>6.0606231572568161</v>
      </c>
      <c r="CM123" s="124">
        <f t="shared" si="9"/>
        <v>0.7542108817919595</v>
      </c>
      <c r="CN123" s="124">
        <f t="shared" si="10"/>
        <v>2.1822024474471067</v>
      </c>
      <c r="CO123" s="124">
        <f t="shared" si="11"/>
        <v>8.7440632355459791E-2</v>
      </c>
      <c r="CP123" s="124">
        <f t="shared" si="12"/>
        <v>4.3676639538191703E-2</v>
      </c>
      <c r="CQ123" s="124">
        <f t="shared" si="13"/>
        <v>1.3434381331919276</v>
      </c>
      <c r="CR123" s="124">
        <f t="shared" si="14"/>
        <v>37.280266781249281</v>
      </c>
    </row>
    <row r="124" spans="1:97" ht="14">
      <c r="A124">
        <f t="shared" si="2"/>
        <v>-34</v>
      </c>
      <c r="B124" s="21">
        <v>46</v>
      </c>
      <c r="C124" s="127">
        <f t="shared" si="17"/>
        <v>26.833062883199741</v>
      </c>
      <c r="D124" s="125">
        <f>(($C$39*$C$118*0.72)*D$40)*('Product half-life and C flows'!B25/100)</f>
        <v>1.6409185609646475</v>
      </c>
      <c r="E124" s="26"/>
      <c r="F124" s="54">
        <f t="shared" si="15"/>
        <v>6.0606231572568161</v>
      </c>
      <c r="G124" s="54">
        <f t="shared" si="15"/>
        <v>0.7542108817919595</v>
      </c>
      <c r="H124" s="125">
        <f>(H$118)*('Product half-life and C flows'!L25/100)</f>
        <v>2.1488469438907889</v>
      </c>
      <c r="I124" s="125">
        <f>(($C$39*$C$118*0.28)*H$41)*('Product half-life and C flows'!N25/100)</f>
        <v>0.10413506188539691</v>
      </c>
      <c r="J124" s="125">
        <f>(($C$39*$C$118*0.28)*H$41)*(+'Product half-life and C flows'!P25/100)</f>
        <v>5.2015515427271189E-2</v>
      </c>
      <c r="K124" s="54">
        <f t="shared" si="16"/>
        <v>1.3434381331919276</v>
      </c>
      <c r="L124" s="26"/>
      <c r="M124" s="80"/>
      <c r="N124" s="80"/>
      <c r="O124" s="80"/>
      <c r="P124" s="81"/>
      <c r="Q124" s="81"/>
      <c r="R124" s="81"/>
      <c r="S124" s="81"/>
      <c r="T124" s="81"/>
      <c r="U124" s="3"/>
      <c r="V124" s="88"/>
      <c r="W124" s="88"/>
      <c r="X124" s="88"/>
      <c r="Y124" s="88"/>
      <c r="Z124" s="88"/>
      <c r="AA124" s="88"/>
      <c r="AB124" s="88"/>
      <c r="AC124" s="88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CH124">
        <f t="shared" si="4"/>
        <v>-34</v>
      </c>
      <c r="CI124" s="113">
        <f t="shared" si="5"/>
        <v>26.833062883199741</v>
      </c>
      <c r="CJ124" s="124">
        <f t="shared" si="6"/>
        <v>1.6409185609646475</v>
      </c>
      <c r="CK124" s="124">
        <f t="shared" si="7"/>
        <v>0</v>
      </c>
      <c r="CL124" s="124">
        <f t="shared" si="8"/>
        <v>6.0606231572568161</v>
      </c>
      <c r="CM124" s="124">
        <f t="shared" si="9"/>
        <v>0.7542108817919595</v>
      </c>
      <c r="CN124" s="124">
        <f t="shared" si="10"/>
        <v>2.1488469438907889</v>
      </c>
      <c r="CO124" s="124">
        <f t="shared" si="11"/>
        <v>0.10413506188539691</v>
      </c>
      <c r="CP124" s="124">
        <f t="shared" si="12"/>
        <v>5.2015515427271189E-2</v>
      </c>
      <c r="CQ124" s="124">
        <f t="shared" si="13"/>
        <v>1.3434381331919276</v>
      </c>
      <c r="CR124" s="124">
        <f t="shared" si="14"/>
        <v>38.937251137608548</v>
      </c>
    </row>
    <row r="125" spans="1:97" ht="14">
      <c r="A125">
        <f t="shared" si="2"/>
        <v>-33</v>
      </c>
      <c r="B125" s="21">
        <v>47</v>
      </c>
      <c r="C125" s="127">
        <f t="shared" si="17"/>
        <v>28.556236305778629</v>
      </c>
      <c r="D125" s="125">
        <f>(($C$39*$C$118*0.72)*D$40)*('Product half-life and C flows'!B26/100)</f>
        <v>1.5850228508428321</v>
      </c>
      <c r="E125" s="26"/>
      <c r="F125" s="54">
        <f t="shared" si="15"/>
        <v>6.0606231572568161</v>
      </c>
      <c r="G125" s="54">
        <f t="shared" si="15"/>
        <v>0.7542108817919595</v>
      </c>
      <c r="H125" s="125">
        <f>(H$118)*('Product half-life and C flows'!L26/100)</f>
        <v>2.1160012874473257</v>
      </c>
      <c r="I125" s="125">
        <f>(($C$39*$C$118*0.28)*H$41)*('Product half-life and C flows'!N26/100)</f>
        <v>0.12057431293535013</v>
      </c>
      <c r="J125" s="125">
        <f>(($C$39*$C$118*0.28)*H$41)*(+'Product half-life and C flows'!P26/100)</f>
        <v>6.0226929538136936E-2</v>
      </c>
      <c r="K125" s="54">
        <f t="shared" si="16"/>
        <v>1.3434381331919276</v>
      </c>
      <c r="L125" s="26"/>
      <c r="M125" s="80"/>
      <c r="N125" s="80"/>
      <c r="O125" s="80"/>
      <c r="P125" s="81"/>
      <c r="Q125" s="81"/>
      <c r="R125" s="81"/>
      <c r="S125" s="81"/>
      <c r="T125" s="81"/>
      <c r="U125" s="3"/>
      <c r="V125" s="88"/>
      <c r="W125" s="88"/>
      <c r="X125" s="88"/>
      <c r="Y125" s="88"/>
      <c r="Z125" s="88"/>
      <c r="AA125" s="88"/>
      <c r="AB125" s="88"/>
      <c r="AC125" s="88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CH125">
        <f t="shared" si="4"/>
        <v>-33</v>
      </c>
      <c r="CI125" s="113">
        <f t="shared" si="5"/>
        <v>28.556236305778629</v>
      </c>
      <c r="CJ125" s="124">
        <f t="shared" si="6"/>
        <v>1.5850228508428321</v>
      </c>
      <c r="CK125" s="124">
        <f t="shared" si="7"/>
        <v>0</v>
      </c>
      <c r="CL125" s="124">
        <f t="shared" si="8"/>
        <v>6.0606231572568161</v>
      </c>
      <c r="CM125" s="124">
        <f t="shared" si="9"/>
        <v>0.7542108817919595</v>
      </c>
      <c r="CN125" s="124">
        <f t="shared" si="10"/>
        <v>2.1160012874473257</v>
      </c>
      <c r="CO125" s="124">
        <f t="shared" si="11"/>
        <v>0.12057431293535013</v>
      </c>
      <c r="CP125" s="124">
        <f t="shared" si="12"/>
        <v>6.0226929538136936E-2</v>
      </c>
      <c r="CQ125" s="124">
        <f t="shared" si="13"/>
        <v>1.3434381331919276</v>
      </c>
      <c r="CR125" s="124">
        <f t="shared" si="14"/>
        <v>40.596333858782977</v>
      </c>
    </row>
    <row r="126" spans="1:97" ht="14">
      <c r="A126">
        <f t="shared" si="2"/>
        <v>-32</v>
      </c>
      <c r="B126" s="21">
        <v>48</v>
      </c>
      <c r="C126" s="127">
        <f t="shared" si="17"/>
        <v>30.279409728357518</v>
      </c>
      <c r="D126" s="125">
        <f>(($C$39*$C$118*0.72)*D$40)*('Product half-life and C flows'!B27/100)</f>
        <v>1.5310311538051184</v>
      </c>
      <c r="E126" s="26"/>
      <c r="F126" s="54">
        <f t="shared" si="15"/>
        <v>6.0606231572568161</v>
      </c>
      <c r="G126" s="54">
        <f t="shared" si="15"/>
        <v>0.7542108817919595</v>
      </c>
      <c r="H126" s="125">
        <f>(H$118)*('Product half-life and C flows'!L27/100)</f>
        <v>2.0836576849776316</v>
      </c>
      <c r="I126" s="125">
        <f>(($C$39*$C$118*0.28)*H$41)*('Product half-life and C flows'!N27/100)</f>
        <v>0.13676228597143189</v>
      </c>
      <c r="J126" s="125">
        <f>(($C$39*$C$118*0.28)*H$41)*(+'Product half-life and C flows'!P27/100)</f>
        <v>6.8312830155560389E-2</v>
      </c>
      <c r="K126" s="54">
        <f t="shared" si="16"/>
        <v>1.3434381331919276</v>
      </c>
      <c r="L126" s="26"/>
      <c r="M126" s="80"/>
      <c r="N126" s="80"/>
      <c r="O126" s="80"/>
      <c r="P126" s="81"/>
      <c r="Q126" s="81"/>
      <c r="R126" s="81"/>
      <c r="S126" s="81"/>
      <c r="T126" s="81"/>
      <c r="U126" s="3"/>
      <c r="V126" s="88"/>
      <c r="W126" s="88"/>
      <c r="X126" s="88"/>
      <c r="Y126" s="88"/>
      <c r="Z126" s="88"/>
      <c r="AA126" s="88"/>
      <c r="AB126" s="88"/>
      <c r="AC126" s="88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CH126">
        <f t="shared" si="4"/>
        <v>-32</v>
      </c>
      <c r="CI126" s="113">
        <f t="shared" si="5"/>
        <v>30.279409728357518</v>
      </c>
      <c r="CJ126" s="124">
        <f t="shared" si="6"/>
        <v>1.5310311538051184</v>
      </c>
      <c r="CK126" s="124">
        <f t="shared" si="7"/>
        <v>0</v>
      </c>
      <c r="CL126" s="124">
        <f t="shared" si="8"/>
        <v>6.0606231572568161</v>
      </c>
      <c r="CM126" s="124">
        <f t="shared" si="9"/>
        <v>0.7542108817919595</v>
      </c>
      <c r="CN126" s="124">
        <f t="shared" si="10"/>
        <v>2.0836576849776316</v>
      </c>
      <c r="CO126" s="124">
        <f t="shared" si="11"/>
        <v>0.13676228597143189</v>
      </c>
      <c r="CP126" s="124">
        <f t="shared" si="12"/>
        <v>6.8312830155560389E-2</v>
      </c>
      <c r="CQ126" s="124">
        <f t="shared" si="13"/>
        <v>1.3434381331919276</v>
      </c>
      <c r="CR126" s="124">
        <f t="shared" si="14"/>
        <v>42.257445855507967</v>
      </c>
    </row>
    <row r="127" spans="1:97" ht="14">
      <c r="A127">
        <f t="shared" si="2"/>
        <v>-31</v>
      </c>
      <c r="B127" s="21">
        <v>49</v>
      </c>
      <c r="C127" s="127">
        <f t="shared" si="17"/>
        <v>32.00258315093641</v>
      </c>
      <c r="D127" s="125">
        <f>(($C$39*$C$118*0.72)*D$40)*('Product half-life and C flows'!B28/100)</f>
        <v>1.4788786121760866</v>
      </c>
      <c r="E127" s="26"/>
      <c r="F127" s="54">
        <f t="shared" si="15"/>
        <v>6.0606231572568161</v>
      </c>
      <c r="G127" s="54">
        <f t="shared" si="15"/>
        <v>0.7542108817919595</v>
      </c>
      <c r="H127" s="125">
        <f>(H$118)*('Product half-life and C flows'!L28/100)</f>
        <v>2.0518084624626773</v>
      </c>
      <c r="I127" s="125">
        <f>(($C$39*$C$118*0.28)*H$41)*('Product half-life and C flows'!N28/100)</f>
        <v>0.15270282184016651</v>
      </c>
      <c r="J127" s="125">
        <f>(($C$39*$C$118*0.28)*H$41)*(+'Product half-life and C flows'!P28/100)</f>
        <v>7.6275135784298953E-2</v>
      </c>
      <c r="K127" s="54">
        <f t="shared" si="16"/>
        <v>1.3434381331919276</v>
      </c>
      <c r="L127" s="26"/>
      <c r="M127" s="80"/>
      <c r="N127" s="80"/>
      <c r="O127" s="82"/>
      <c r="P127" s="81"/>
      <c r="Q127" s="81"/>
      <c r="R127" s="81"/>
      <c r="S127" s="81"/>
      <c r="T127" s="81"/>
      <c r="U127" s="3"/>
      <c r="V127" s="88"/>
      <c r="W127" s="88"/>
      <c r="X127" s="88"/>
      <c r="Y127" s="88"/>
      <c r="Z127" s="88"/>
      <c r="AA127" s="88"/>
      <c r="AB127" s="88"/>
      <c r="AC127" s="88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CH127">
        <f t="shared" si="4"/>
        <v>-31</v>
      </c>
      <c r="CI127" s="113">
        <f t="shared" si="5"/>
        <v>32.00258315093641</v>
      </c>
      <c r="CJ127" s="124">
        <f t="shared" si="6"/>
        <v>1.4788786121760866</v>
      </c>
      <c r="CK127" s="124">
        <f t="shared" si="7"/>
        <v>0</v>
      </c>
      <c r="CL127" s="124">
        <f t="shared" si="8"/>
        <v>6.0606231572568161</v>
      </c>
      <c r="CM127" s="124">
        <f t="shared" si="9"/>
        <v>0.7542108817919595</v>
      </c>
      <c r="CN127" s="124">
        <f t="shared" si="10"/>
        <v>2.0518084624626773</v>
      </c>
      <c r="CO127" s="124">
        <f t="shared" si="11"/>
        <v>0.15270282184016651</v>
      </c>
      <c r="CP127" s="124">
        <f t="shared" si="12"/>
        <v>7.6275135784298953E-2</v>
      </c>
      <c r="CQ127" s="124">
        <f t="shared" si="13"/>
        <v>1.3434381331919276</v>
      </c>
      <c r="CR127" s="124">
        <f t="shared" si="14"/>
        <v>43.920520355440345</v>
      </c>
    </row>
    <row r="128" spans="1:97" ht="14">
      <c r="A128">
        <f t="shared" si="2"/>
        <v>-30</v>
      </c>
      <c r="B128" s="21">
        <v>50</v>
      </c>
      <c r="C128" s="127">
        <f t="shared" si="17"/>
        <v>33.725756573515298</v>
      </c>
      <c r="D128" s="125">
        <f>(($C$39*$C$118*0.72)*D$40)*('Product half-life and C flows'!B29/100)</f>
        <v>1.4285025775708395</v>
      </c>
      <c r="E128" s="26"/>
      <c r="F128" s="54">
        <f t="shared" si="15"/>
        <v>6.0606231572568161</v>
      </c>
      <c r="G128" s="54">
        <f t="shared" si="15"/>
        <v>0.7542108817919595</v>
      </c>
      <c r="H128" s="125">
        <f>(H$118)*('Product half-life and C flows'!L29/100)</f>
        <v>2.0204460631827104</v>
      </c>
      <c r="I128" s="125">
        <f>(($C$39*$C$118*0.28)*H$41)*('Product half-life and C flows'!N29/100)</f>
        <v>0.16839970267978996</v>
      </c>
      <c r="J128" s="125">
        <f>(($C$39*$C$118*0.28)*H$41)*(+'Product half-life and C flows'!P29/100)</f>
        <v>8.4115735604290698E-2</v>
      </c>
      <c r="K128" s="54">
        <f t="shared" si="16"/>
        <v>1.3434381331919276</v>
      </c>
      <c r="L128" s="26"/>
      <c r="M128" s="80"/>
      <c r="N128" s="80"/>
      <c r="O128" s="82"/>
      <c r="P128" s="81"/>
      <c r="Q128" s="81"/>
      <c r="R128" s="81"/>
      <c r="S128" s="81"/>
      <c r="T128" s="81"/>
      <c r="U128" s="3"/>
      <c r="V128" s="88"/>
      <c r="W128" s="88"/>
      <c r="X128" s="88"/>
      <c r="Y128" s="88"/>
      <c r="Z128" s="88"/>
      <c r="AA128" s="88"/>
      <c r="AB128" s="88"/>
      <c r="AC128" s="88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CH128">
        <f t="shared" si="4"/>
        <v>-30</v>
      </c>
      <c r="CI128" s="113">
        <f t="shared" si="5"/>
        <v>33.725756573515298</v>
      </c>
      <c r="CJ128" s="124">
        <f t="shared" si="6"/>
        <v>1.4285025775708395</v>
      </c>
      <c r="CK128" s="124">
        <f t="shared" si="7"/>
        <v>0</v>
      </c>
      <c r="CL128" s="124">
        <f t="shared" si="8"/>
        <v>6.0606231572568161</v>
      </c>
      <c r="CM128" s="124">
        <f t="shared" si="9"/>
        <v>0.7542108817919595</v>
      </c>
      <c r="CN128" s="124">
        <f t="shared" si="10"/>
        <v>2.0204460631827104</v>
      </c>
      <c r="CO128" s="124">
        <f t="shared" si="11"/>
        <v>0.16839970267978996</v>
      </c>
      <c r="CP128" s="124">
        <f t="shared" si="12"/>
        <v>8.4115735604290698E-2</v>
      </c>
      <c r="CQ128" s="124">
        <f t="shared" si="13"/>
        <v>1.3434381331919276</v>
      </c>
      <c r="CR128" s="124">
        <f t="shared" si="14"/>
        <v>45.585492824793633</v>
      </c>
    </row>
    <row r="129" spans="1:96" ht="14">
      <c r="A129">
        <f t="shared" si="2"/>
        <v>-29</v>
      </c>
      <c r="B129" s="21">
        <v>51</v>
      </c>
      <c r="C129" s="127">
        <f t="shared" si="17"/>
        <v>35.448929996094186</v>
      </c>
      <c r="D129" s="125">
        <f>(($C$39*$C$118*0.72)*D$40)*('Product half-life and C flows'!B30/100)</f>
        <v>1.379842535638456</v>
      </c>
      <c r="E129" s="26"/>
      <c r="F129" s="54">
        <f t="shared" si="15"/>
        <v>6.0606231572568161</v>
      </c>
      <c r="G129" s="54">
        <f t="shared" si="15"/>
        <v>0.7542108817919595</v>
      </c>
      <c r="H129" s="125">
        <f>(H$118)*('Product half-life and C flows'!L30/100)</f>
        <v>1.9895630459243074</v>
      </c>
      <c r="I129" s="125">
        <f>(($C$39*$C$118*0.28)*H$41)*('Product half-life and C flows'!N30/100)</f>
        <v>0.18385665281762081</v>
      </c>
      <c r="J129" s="125">
        <f>(($C$39*$C$118*0.28)*H$41)*(+'Product half-life and C flows'!P30/100)</f>
        <v>9.1836489918891512E-2</v>
      </c>
      <c r="K129" s="54">
        <f t="shared" si="16"/>
        <v>1.3434381331919276</v>
      </c>
      <c r="L129" s="26"/>
      <c r="M129" s="80"/>
      <c r="N129" s="80"/>
      <c r="O129" s="82"/>
      <c r="P129" s="81"/>
      <c r="Q129" s="81"/>
      <c r="R129" s="81"/>
      <c r="S129" s="81"/>
      <c r="T129" s="81"/>
      <c r="U129" s="3"/>
      <c r="V129" s="88"/>
      <c r="W129" s="88"/>
      <c r="X129" s="88"/>
      <c r="Y129" s="88"/>
      <c r="Z129" s="88"/>
      <c r="AA129" s="88"/>
      <c r="AB129" s="88"/>
      <c r="AC129" s="88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CH129">
        <f t="shared" si="4"/>
        <v>-29</v>
      </c>
      <c r="CI129" s="113">
        <f t="shared" si="5"/>
        <v>35.448929996094186</v>
      </c>
      <c r="CJ129" s="124">
        <f t="shared" si="6"/>
        <v>1.379842535638456</v>
      </c>
      <c r="CK129" s="124">
        <f t="shared" si="7"/>
        <v>0</v>
      </c>
      <c r="CL129" s="124">
        <f t="shared" si="8"/>
        <v>6.0606231572568161</v>
      </c>
      <c r="CM129" s="124">
        <f t="shared" si="9"/>
        <v>0.7542108817919595</v>
      </c>
      <c r="CN129" s="124">
        <f t="shared" si="10"/>
        <v>1.9895630459243074</v>
      </c>
      <c r="CO129" s="124">
        <f t="shared" si="11"/>
        <v>0.18385665281762081</v>
      </c>
      <c r="CP129" s="124">
        <f t="shared" si="12"/>
        <v>9.1836489918891512E-2</v>
      </c>
      <c r="CQ129" s="124">
        <f t="shared" si="13"/>
        <v>1.3434381331919276</v>
      </c>
      <c r="CR129" s="124">
        <f t="shared" si="14"/>
        <v>47.252300892634167</v>
      </c>
    </row>
    <row r="130" spans="1:96" ht="14">
      <c r="A130">
        <f t="shared" si="2"/>
        <v>-28</v>
      </c>
      <c r="B130" s="21">
        <v>52</v>
      </c>
      <c r="C130" s="127">
        <f t="shared" si="17"/>
        <v>37.172103418673075</v>
      </c>
      <c r="D130" s="125">
        <f>(($C$39*$C$118*0.72)*D$40)*('Product half-life and C flows'!B31/100)</f>
        <v>1.3328400333689605</v>
      </c>
      <c r="E130" s="26"/>
      <c r="F130" s="54">
        <f t="shared" si="15"/>
        <v>6.0606231572568161</v>
      </c>
      <c r="G130" s="54">
        <f t="shared" si="15"/>
        <v>0.7542108817919595</v>
      </c>
      <c r="H130" s="125">
        <f>(H$118)*('Product half-life and C flows'!L31/100)</f>
        <v>1.9591520832148288</v>
      </c>
      <c r="I130" s="125">
        <f>(($C$39*$C$118*0.28)*H$41)*('Product half-life and C flows'!N31/100)</f>
        <v>0.19907733965371482</v>
      </c>
      <c r="J130" s="125">
        <f>(($C$39*$C$118*0.28)*H$41)*(+'Product half-life and C flows'!P31/100)</f>
        <v>9.9439230596261155E-2</v>
      </c>
      <c r="K130" s="54">
        <f t="shared" si="16"/>
        <v>1.3434381331919276</v>
      </c>
      <c r="L130" s="26"/>
      <c r="M130" s="80"/>
      <c r="N130" s="80"/>
      <c r="O130" s="82"/>
      <c r="P130" s="81"/>
      <c r="Q130" s="81"/>
      <c r="R130" s="81"/>
      <c r="S130" s="81"/>
      <c r="T130" s="81"/>
      <c r="U130" s="3"/>
      <c r="V130" s="88"/>
      <c r="W130" s="88"/>
      <c r="X130" s="88"/>
      <c r="Y130" s="88"/>
      <c r="Z130" s="88"/>
      <c r="AA130" s="88"/>
      <c r="AB130" s="88"/>
      <c r="AC130" s="88"/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  <c r="AR130" s="40"/>
      <c r="AS130" s="40"/>
      <c r="AT130" s="40"/>
      <c r="AU130" s="40"/>
      <c r="AV130" s="40"/>
      <c r="AW130" s="40"/>
      <c r="AX130" s="40"/>
      <c r="CH130">
        <f t="shared" si="4"/>
        <v>-28</v>
      </c>
      <c r="CI130" s="113">
        <f t="shared" si="5"/>
        <v>37.172103418673075</v>
      </c>
      <c r="CJ130" s="124">
        <f t="shared" si="6"/>
        <v>1.3328400333689605</v>
      </c>
      <c r="CK130" s="124">
        <f t="shared" si="7"/>
        <v>0</v>
      </c>
      <c r="CL130" s="124">
        <f t="shared" si="8"/>
        <v>6.0606231572568161</v>
      </c>
      <c r="CM130" s="124">
        <f t="shared" si="9"/>
        <v>0.7542108817919595</v>
      </c>
      <c r="CN130" s="124">
        <f t="shared" si="10"/>
        <v>1.9591520832148288</v>
      </c>
      <c r="CO130" s="124">
        <f t="shared" si="11"/>
        <v>0.19907733965371482</v>
      </c>
      <c r="CP130" s="124">
        <f t="shared" si="12"/>
        <v>9.9439230596261155E-2</v>
      </c>
      <c r="CQ130" s="124">
        <f t="shared" si="13"/>
        <v>1.3434381331919276</v>
      </c>
      <c r="CR130" s="124">
        <f t="shared" si="14"/>
        <v>48.92088427774754</v>
      </c>
    </row>
    <row r="131" spans="1:96" ht="14">
      <c r="A131">
        <f t="shared" si="2"/>
        <v>-27</v>
      </c>
      <c r="B131" s="21">
        <v>53</v>
      </c>
      <c r="C131" s="127">
        <f t="shared" si="17"/>
        <v>38.895276841251963</v>
      </c>
      <c r="D131" s="125">
        <f>(($C$39*$C$118*0.72)*D$40)*('Product half-life and C flows'!B32/100)</f>
        <v>1.2874386088764824</v>
      </c>
      <c r="E131" s="26"/>
      <c r="F131" s="54">
        <f t="shared" si="15"/>
        <v>6.0606231572568161</v>
      </c>
      <c r="G131" s="54">
        <f t="shared" si="15"/>
        <v>0.7542108817919595</v>
      </c>
      <c r="H131" s="125">
        <f>(H$118)*('Product half-life and C flows'!L32/100)</f>
        <v>1.9292059595838664</v>
      </c>
      <c r="I131" s="125">
        <f>(($C$39*$C$118*0.28)*H$41)*('Product half-life and C flows'!N32/100)</f>
        <v>0.21406537453101146</v>
      </c>
      <c r="J131" s="125">
        <f>(($C$39*$C$118*0.28)*H$41)*(+'Product half-life and C flows'!P32/100)</f>
        <v>0.10692576150400175</v>
      </c>
      <c r="K131" s="54">
        <f t="shared" si="16"/>
        <v>1.3434381331919276</v>
      </c>
      <c r="L131" s="26"/>
      <c r="M131" s="80"/>
      <c r="N131" s="80"/>
      <c r="O131" s="82"/>
      <c r="P131" s="81"/>
      <c r="Q131" s="81"/>
      <c r="R131" s="81"/>
      <c r="S131" s="81"/>
      <c r="T131" s="81"/>
      <c r="U131" s="3"/>
      <c r="V131" s="88"/>
      <c r="W131" s="88"/>
      <c r="X131" s="88"/>
      <c r="Y131" s="88"/>
      <c r="Z131" s="88"/>
      <c r="AA131" s="88"/>
      <c r="AB131" s="88"/>
      <c r="AC131" s="88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CH131">
        <f t="shared" si="4"/>
        <v>-27</v>
      </c>
      <c r="CI131" s="113">
        <f t="shared" si="5"/>
        <v>38.895276841251963</v>
      </c>
      <c r="CJ131" s="124">
        <f t="shared" si="6"/>
        <v>1.2874386088764824</v>
      </c>
      <c r="CK131" s="124">
        <f t="shared" si="7"/>
        <v>0</v>
      </c>
      <c r="CL131" s="124">
        <f t="shared" si="8"/>
        <v>6.0606231572568161</v>
      </c>
      <c r="CM131" s="124">
        <f t="shared" si="9"/>
        <v>0.7542108817919595</v>
      </c>
      <c r="CN131" s="124">
        <f t="shared" si="10"/>
        <v>1.9292059595838664</v>
      </c>
      <c r="CO131" s="124">
        <f t="shared" si="11"/>
        <v>0.21406537453101146</v>
      </c>
      <c r="CP131" s="124">
        <f t="shared" si="12"/>
        <v>0.10692576150400175</v>
      </c>
      <c r="CQ131" s="124">
        <f t="shared" si="13"/>
        <v>1.3434381331919276</v>
      </c>
      <c r="CR131" s="124">
        <f t="shared" si="14"/>
        <v>50.591184717988028</v>
      </c>
    </row>
    <row r="132" spans="1:96" ht="14">
      <c r="A132">
        <f t="shared" si="2"/>
        <v>-26</v>
      </c>
      <c r="B132" s="21">
        <v>54</v>
      </c>
      <c r="C132" s="127">
        <f t="shared" si="17"/>
        <v>40.618450263830852</v>
      </c>
      <c r="D132" s="125">
        <f>(($C$39*$C$118*0.72)*D$40)*('Product half-life and C flows'!B33/100)</f>
        <v>1.2435837235742595</v>
      </c>
      <c r="E132" s="26"/>
      <c r="F132" s="54">
        <f t="shared" si="15"/>
        <v>6.0606231572568161</v>
      </c>
      <c r="G132" s="54">
        <f t="shared" si="15"/>
        <v>0.7542108817919595</v>
      </c>
      <c r="H132" s="125">
        <f>(H$118)*('Product half-life and C flows'!L33/100)</f>
        <v>1.8997175698512594</v>
      </c>
      <c r="I132" s="125">
        <f>(($C$39*$C$118*0.28)*H$41)*('Product half-life and C flows'!N33/100)</f>
        <v>0.22882431359218125</v>
      </c>
      <c r="J132" s="125">
        <f>(($C$39*$C$118*0.28)*H$41)*(+'Product half-life and C flows'!P33/100)</f>
        <v>0.11429785893715347</v>
      </c>
      <c r="K132" s="54">
        <f t="shared" si="16"/>
        <v>1.3434381331919276</v>
      </c>
      <c r="L132" s="26"/>
      <c r="M132" s="80"/>
      <c r="N132" s="80"/>
      <c r="O132" s="82"/>
      <c r="P132" s="81"/>
      <c r="Q132" s="81"/>
      <c r="R132" s="81"/>
      <c r="S132" s="81"/>
      <c r="T132" s="81"/>
      <c r="U132" s="3"/>
      <c r="V132" s="88"/>
      <c r="W132" s="88"/>
      <c r="X132" s="88"/>
      <c r="Y132" s="88"/>
      <c r="Z132" s="88"/>
      <c r="AA132" s="88"/>
      <c r="AB132" s="88"/>
      <c r="AC132" s="88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CH132">
        <f t="shared" si="4"/>
        <v>-26</v>
      </c>
      <c r="CI132" s="113">
        <f t="shared" si="5"/>
        <v>40.618450263830852</v>
      </c>
      <c r="CJ132" s="124">
        <f t="shared" si="6"/>
        <v>1.2435837235742595</v>
      </c>
      <c r="CK132" s="124">
        <f t="shared" si="7"/>
        <v>0</v>
      </c>
      <c r="CL132" s="124">
        <f t="shared" si="8"/>
        <v>6.0606231572568161</v>
      </c>
      <c r="CM132" s="124">
        <f t="shared" si="9"/>
        <v>0.7542108817919595</v>
      </c>
      <c r="CN132" s="124">
        <f t="shared" si="10"/>
        <v>1.8997175698512594</v>
      </c>
      <c r="CO132" s="124">
        <f t="shared" si="11"/>
        <v>0.22882431359218125</v>
      </c>
      <c r="CP132" s="124">
        <f t="shared" si="12"/>
        <v>0.11429785893715347</v>
      </c>
      <c r="CQ132" s="124">
        <f t="shared" si="13"/>
        <v>1.3434381331919276</v>
      </c>
      <c r="CR132" s="124">
        <f t="shared" si="14"/>
        <v>52.263145902026409</v>
      </c>
    </row>
    <row r="133" spans="1:96" ht="14">
      <c r="A133">
        <f t="shared" si="2"/>
        <v>-25</v>
      </c>
      <c r="B133" s="21">
        <v>55</v>
      </c>
      <c r="C133" s="127">
        <f t="shared" si="17"/>
        <v>42.34162368640974</v>
      </c>
      <c r="D133" s="125">
        <f>(($C$39*$C$118*0.72)*D$40)*('Product half-life and C flows'!B34/100)</f>
        <v>1.2012226966600101</v>
      </c>
      <c r="E133" s="26"/>
      <c r="F133" s="54">
        <f t="shared" si="15"/>
        <v>6.0606231572568161</v>
      </c>
      <c r="G133" s="54">
        <f t="shared" si="15"/>
        <v>0.7542108817919595</v>
      </c>
      <c r="H133" s="125">
        <f>(H$118)*('Product half-life and C flows'!L34/100)</f>
        <v>1.8706799174412811</v>
      </c>
      <c r="I133" s="125">
        <f>(($C$39*$C$118*0.28)*H$41)*('Product half-life and C flows'!N34/100)</f>
        <v>0.24335765862337541</v>
      </c>
      <c r="J133" s="125">
        <f>(($C$39*$C$118*0.28)*H$41)*(+'Product half-life and C flows'!P34/100)</f>
        <v>0.12155727203964804</v>
      </c>
      <c r="K133" s="54">
        <f t="shared" si="16"/>
        <v>1.3434381331919276</v>
      </c>
      <c r="L133" s="26"/>
      <c r="M133" s="80"/>
      <c r="N133" s="80"/>
      <c r="O133" s="82"/>
      <c r="P133" s="81"/>
      <c r="Q133" s="81"/>
      <c r="R133" s="81"/>
      <c r="S133" s="81"/>
      <c r="T133" s="81"/>
      <c r="U133" s="3"/>
      <c r="V133" s="88"/>
      <c r="W133" s="88"/>
      <c r="X133" s="88"/>
      <c r="Y133" s="88"/>
      <c r="Z133" s="88"/>
      <c r="AA133" s="88"/>
      <c r="AB133" s="88"/>
      <c r="AC133" s="88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CH133">
        <f t="shared" si="4"/>
        <v>-25</v>
      </c>
      <c r="CI133" s="113">
        <f t="shared" si="5"/>
        <v>42.34162368640974</v>
      </c>
      <c r="CJ133" s="124">
        <f t="shared" si="6"/>
        <v>1.2012226966600101</v>
      </c>
      <c r="CK133" s="124">
        <f t="shared" si="7"/>
        <v>0</v>
      </c>
      <c r="CL133" s="124">
        <f t="shared" si="8"/>
        <v>6.0606231572568161</v>
      </c>
      <c r="CM133" s="124">
        <f t="shared" si="9"/>
        <v>0.7542108817919595</v>
      </c>
      <c r="CN133" s="124">
        <f t="shared" si="10"/>
        <v>1.8706799174412811</v>
      </c>
      <c r="CO133" s="124">
        <f t="shared" si="11"/>
        <v>0.24335765862337541</v>
      </c>
      <c r="CP133" s="124">
        <f t="shared" si="12"/>
        <v>0.12155727203964804</v>
      </c>
      <c r="CQ133" s="124">
        <f t="shared" si="13"/>
        <v>1.3434381331919276</v>
      </c>
      <c r="CR133" s="124">
        <f t="shared" si="14"/>
        <v>53.936713403414757</v>
      </c>
    </row>
    <row r="134" spans="1:96" ht="14">
      <c r="A134">
        <f t="shared" si="2"/>
        <v>-24</v>
      </c>
      <c r="B134" s="21">
        <v>56</v>
      </c>
      <c r="C134" s="127">
        <f t="shared" si="17"/>
        <v>44.064797108988628</v>
      </c>
      <c r="D134" s="125">
        <f>(($C$39*$C$118*0.72)*D$40)*('Product half-life and C flows'!B35/100)</f>
        <v>1.1603046418329737</v>
      </c>
      <c r="E134" s="26"/>
      <c r="F134" s="54">
        <f t="shared" si="15"/>
        <v>6.0606231572568161</v>
      </c>
      <c r="G134" s="54">
        <f t="shared" si="15"/>
        <v>0.7542108817919595</v>
      </c>
      <c r="H134" s="125">
        <f>(H$118)*('Product half-life and C flows'!L35/100)</f>
        <v>1.8420861127225936</v>
      </c>
      <c r="I134" s="125">
        <f>(($C$39*$C$118*0.28)*H$41)*('Product half-life and C flows'!N35/100)</f>
        <v>0.25766885788507859</v>
      </c>
      <c r="J134" s="125">
        <f>(($C$39*$C$118*0.28)*H$41)*(+'Product half-life and C flows'!P35/100)</f>
        <v>0.12870572321931997</v>
      </c>
      <c r="K134" s="54">
        <f t="shared" si="16"/>
        <v>1.3434381331919276</v>
      </c>
      <c r="L134" s="26"/>
      <c r="M134" s="80"/>
      <c r="N134" s="80"/>
      <c r="O134" s="82"/>
      <c r="P134" s="81"/>
      <c r="Q134" s="81"/>
      <c r="R134" s="81"/>
      <c r="S134" s="81"/>
      <c r="T134" s="81"/>
      <c r="U134" s="3"/>
      <c r="V134" s="88"/>
      <c r="W134" s="88"/>
      <c r="X134" s="88"/>
      <c r="Y134" s="88"/>
      <c r="Z134" s="88"/>
      <c r="AA134" s="88"/>
      <c r="AB134" s="88"/>
      <c r="AC134" s="88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CH134">
        <f t="shared" si="4"/>
        <v>-24</v>
      </c>
      <c r="CI134" s="113">
        <f t="shared" si="5"/>
        <v>44.064797108988628</v>
      </c>
      <c r="CJ134" s="124">
        <f t="shared" si="6"/>
        <v>1.1603046418329737</v>
      </c>
      <c r="CK134" s="124">
        <f t="shared" si="7"/>
        <v>0</v>
      </c>
      <c r="CL134" s="124">
        <f t="shared" si="8"/>
        <v>6.0606231572568161</v>
      </c>
      <c r="CM134" s="124">
        <f t="shared" si="9"/>
        <v>0.7542108817919595</v>
      </c>
      <c r="CN134" s="124">
        <f t="shared" si="10"/>
        <v>1.8420861127225936</v>
      </c>
      <c r="CO134" s="124">
        <f t="shared" si="11"/>
        <v>0.25766885788507859</v>
      </c>
      <c r="CP134" s="124">
        <f t="shared" si="12"/>
        <v>0.12870572321931997</v>
      </c>
      <c r="CQ134" s="124">
        <f t="shared" si="13"/>
        <v>1.3434381331919276</v>
      </c>
      <c r="CR134" s="124">
        <f t="shared" si="14"/>
        <v>55.611834616889297</v>
      </c>
    </row>
    <row r="135" spans="1:96" ht="14">
      <c r="A135">
        <f t="shared" si="2"/>
        <v>-23</v>
      </c>
      <c r="B135" s="21">
        <v>57</v>
      </c>
      <c r="C135" s="127">
        <f t="shared" si="17"/>
        <v>45.787970531567517</v>
      </c>
      <c r="D135" s="125">
        <f>(($C$39*$C$118*0.72)*D$40)*('Product half-life and C flows'!B36/100)</f>
        <v>1.1207804061666002</v>
      </c>
      <c r="E135" s="26"/>
      <c r="F135" s="54">
        <f t="shared" si="15"/>
        <v>6.0606231572568161</v>
      </c>
      <c r="G135" s="54">
        <f t="shared" si="15"/>
        <v>0.7542108817919595</v>
      </c>
      <c r="H135" s="125">
        <f>(H$118)*('Product half-life and C flows'!L36/100)</f>
        <v>1.8139293713735753</v>
      </c>
      <c r="I135" s="125">
        <f>(($C$39*$C$118*0.28)*H$41)*('Product half-life and C flows'!N36/100)</f>
        <v>0.27176130693026213</v>
      </c>
      <c r="J135" s="125">
        <f>(($C$39*$C$118*0.28)*H$41)*(+'Product half-life and C flows'!P36/100)</f>
        <v>0.13574490855657448</v>
      </c>
      <c r="K135" s="54">
        <f t="shared" si="16"/>
        <v>1.3434381331919276</v>
      </c>
      <c r="L135" s="26"/>
      <c r="M135" s="80"/>
      <c r="N135" s="80"/>
      <c r="O135" s="82"/>
      <c r="P135" s="81"/>
      <c r="Q135" s="81"/>
      <c r="R135" s="81"/>
      <c r="S135" s="81"/>
      <c r="T135" s="81"/>
      <c r="U135" s="3"/>
      <c r="V135" s="88"/>
      <c r="W135" s="88"/>
      <c r="X135" s="88"/>
      <c r="Y135" s="88"/>
      <c r="Z135" s="88"/>
      <c r="AA135" s="88"/>
      <c r="AB135" s="88"/>
      <c r="AC135" s="88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CH135">
        <f t="shared" si="4"/>
        <v>-23</v>
      </c>
      <c r="CI135" s="113">
        <f t="shared" si="5"/>
        <v>45.787970531567517</v>
      </c>
      <c r="CJ135" s="124">
        <f t="shared" si="6"/>
        <v>1.1207804061666002</v>
      </c>
      <c r="CK135" s="124">
        <f t="shared" si="7"/>
        <v>0</v>
      </c>
      <c r="CL135" s="124">
        <f t="shared" si="8"/>
        <v>6.0606231572568161</v>
      </c>
      <c r="CM135" s="124">
        <f t="shared" si="9"/>
        <v>0.7542108817919595</v>
      </c>
      <c r="CN135" s="124">
        <f t="shared" si="10"/>
        <v>1.8139293713735753</v>
      </c>
      <c r="CO135" s="124">
        <f t="shared" si="11"/>
        <v>0.27176130693026213</v>
      </c>
      <c r="CP135" s="124">
        <f t="shared" si="12"/>
        <v>0.13574490855657448</v>
      </c>
      <c r="CQ135" s="124">
        <f t="shared" si="13"/>
        <v>1.3434381331919276</v>
      </c>
      <c r="CR135" s="124">
        <f t="shared" si="14"/>
        <v>57.288458696835235</v>
      </c>
    </row>
    <row r="136" spans="1:96" ht="14">
      <c r="A136">
        <f t="shared" si="2"/>
        <v>-22</v>
      </c>
      <c r="B136" s="21">
        <v>58</v>
      </c>
      <c r="C136" s="127">
        <f t="shared" si="17"/>
        <v>47.511143954146405</v>
      </c>
      <c r="D136" s="125">
        <f>(($C$39*$C$118*0.72)*D$40)*('Product half-life and C flows'!B37/100)</f>
        <v>1.0826025110634632</v>
      </c>
      <c r="E136" s="26"/>
      <c r="F136" s="54">
        <f t="shared" ref="F136:G151" si="18">F135</f>
        <v>6.0606231572568161</v>
      </c>
      <c r="G136" s="54">
        <f t="shared" si="18"/>
        <v>0.7542108817919595</v>
      </c>
      <c r="H136" s="125">
        <f>(H$118)*('Product half-life and C flows'!L37/100)</f>
        <v>1.7862030127726385</v>
      </c>
      <c r="I136" s="125">
        <f>(($C$39*$C$118*0.28)*H$41)*('Product half-life and C flows'!N37/100)</f>
        <v>0.28563834941003102</v>
      </c>
      <c r="J136" s="125">
        <f>(($C$39*$C$118*0.28)*H$41)*(+'Product half-life and C flows'!P37/100)</f>
        <v>0.14267649820680869</v>
      </c>
      <c r="K136" s="54">
        <f t="shared" si="16"/>
        <v>1.3434381331919276</v>
      </c>
      <c r="L136" s="26"/>
      <c r="M136" s="80"/>
      <c r="N136" s="80"/>
      <c r="O136" s="82"/>
      <c r="P136" s="81"/>
      <c r="Q136" s="81"/>
      <c r="R136" s="81"/>
      <c r="S136" s="81"/>
      <c r="T136" s="81"/>
      <c r="U136" s="3"/>
      <c r="V136" s="88"/>
      <c r="W136" s="88"/>
      <c r="X136" s="88"/>
      <c r="Y136" s="88"/>
      <c r="Z136" s="88"/>
      <c r="AA136" s="88"/>
      <c r="AB136" s="88"/>
      <c r="AC136" s="88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CH136">
        <f t="shared" si="4"/>
        <v>-22</v>
      </c>
      <c r="CI136" s="113">
        <f t="shared" si="5"/>
        <v>47.511143954146405</v>
      </c>
      <c r="CJ136" s="124">
        <f t="shared" si="6"/>
        <v>1.0826025110634632</v>
      </c>
      <c r="CK136" s="124">
        <f t="shared" si="7"/>
        <v>0</v>
      </c>
      <c r="CL136" s="124">
        <f t="shared" si="8"/>
        <v>6.0606231572568161</v>
      </c>
      <c r="CM136" s="124">
        <f t="shared" si="9"/>
        <v>0.7542108817919595</v>
      </c>
      <c r="CN136" s="124">
        <f t="shared" si="10"/>
        <v>1.7862030127726385</v>
      </c>
      <c r="CO136" s="124">
        <f t="shared" si="11"/>
        <v>0.28563834941003102</v>
      </c>
      <c r="CP136" s="124">
        <f t="shared" si="12"/>
        <v>0.14267649820680869</v>
      </c>
      <c r="CQ136" s="124">
        <f t="shared" si="13"/>
        <v>1.3434381331919276</v>
      </c>
      <c r="CR136" s="124">
        <f t="shared" si="14"/>
        <v>58.966536497840053</v>
      </c>
    </row>
    <row r="137" spans="1:96" ht="14">
      <c r="A137">
        <f t="shared" si="2"/>
        <v>-21</v>
      </c>
      <c r="B137" s="21">
        <v>59</v>
      </c>
      <c r="C137" s="127">
        <f t="shared" si="17"/>
        <v>49.234317376725294</v>
      </c>
      <c r="D137" s="125">
        <f>(($C$39*$C$118*0.72)*D$40)*('Product half-life and C flows'!B38/100)</f>
        <v>1.0457250952214612</v>
      </c>
      <c r="E137" s="26"/>
      <c r="F137" s="54">
        <f t="shared" si="18"/>
        <v>6.0606231572568161</v>
      </c>
      <c r="G137" s="54">
        <f t="shared" si="18"/>
        <v>0.7542108817919595</v>
      </c>
      <c r="H137" s="125">
        <f>(H$118)*('Product half-life and C flows'!L38/100)</f>
        <v>1.7589004584131454</v>
      </c>
      <c r="I137" s="125">
        <f>(($C$39*$C$118*0.28)*H$41)*('Product half-life and C flows'!N38/100)</f>
        <v>0.29930327786695743</v>
      </c>
      <c r="J137" s="125">
        <f>(($C$39*$C$118*0.28)*H$41)*(+'Product half-life and C flows'!P38/100)</f>
        <v>0.14950213679668203</v>
      </c>
      <c r="K137" s="54">
        <f t="shared" si="16"/>
        <v>1.3434381331919276</v>
      </c>
      <c r="L137" s="26"/>
      <c r="M137" s="80"/>
      <c r="N137" s="80"/>
      <c r="O137" s="82"/>
      <c r="P137" s="81"/>
      <c r="Q137" s="81"/>
      <c r="R137" s="81"/>
      <c r="S137" s="81"/>
      <c r="T137" s="81"/>
      <c r="U137" s="3"/>
      <c r="V137" s="88"/>
      <c r="W137" s="88"/>
      <c r="X137" s="88"/>
      <c r="Y137" s="88"/>
      <c r="Z137" s="88"/>
      <c r="AA137" s="88"/>
      <c r="AB137" s="88"/>
      <c r="AC137" s="88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CH137">
        <f t="shared" si="4"/>
        <v>-21</v>
      </c>
      <c r="CI137" s="113">
        <f t="shared" si="5"/>
        <v>49.234317376725294</v>
      </c>
      <c r="CJ137" s="124">
        <f t="shared" si="6"/>
        <v>1.0457250952214612</v>
      </c>
      <c r="CK137" s="124">
        <f t="shared" si="7"/>
        <v>0</v>
      </c>
      <c r="CL137" s="124">
        <f t="shared" si="8"/>
        <v>6.0606231572568161</v>
      </c>
      <c r="CM137" s="124">
        <f t="shared" si="9"/>
        <v>0.7542108817919595</v>
      </c>
      <c r="CN137" s="124">
        <f t="shared" si="10"/>
        <v>1.7589004584131454</v>
      </c>
      <c r="CO137" s="124">
        <f t="shared" si="11"/>
        <v>0.29930327786695743</v>
      </c>
      <c r="CP137" s="124">
        <f t="shared" si="12"/>
        <v>0.14950213679668203</v>
      </c>
      <c r="CQ137" s="124">
        <f t="shared" si="13"/>
        <v>1.3434381331919276</v>
      </c>
      <c r="CR137" s="124">
        <f t="shared" si="14"/>
        <v>60.64602051726424</v>
      </c>
    </row>
    <row r="138" spans="1:96" ht="14">
      <c r="A138">
        <f t="shared" si="2"/>
        <v>-20</v>
      </c>
      <c r="B138" s="21">
        <v>60</v>
      </c>
      <c r="C138" s="127">
        <f t="shared" si="17"/>
        <v>50.957490799304182</v>
      </c>
      <c r="D138" s="125">
        <f>(($C$39*$C$118*0.72)*D$40)*('Product half-life and C flows'!B39/100)</f>
        <v>1.0101038595428027</v>
      </c>
      <c r="E138" s="26"/>
      <c r="F138" s="54">
        <f t="shared" si="18"/>
        <v>6.0606231572568161</v>
      </c>
      <c r="G138" s="54">
        <f t="shared" si="18"/>
        <v>0.7542108817919595</v>
      </c>
      <c r="H138" s="125">
        <f>(H$118)*('Product half-life and C flows'!L39/100)</f>
        <v>1.7320152303425582</v>
      </c>
      <c r="I138" s="125">
        <f>(($C$39*$C$118*0.28)*H$41)*('Product half-life and C flows'!N39/100)</f>
        <v>0.31275933451628624</v>
      </c>
      <c r="J138" s="125">
        <f>(($C$39*$C$118*0.28)*H$41)*(+'Product half-life and C flows'!P39/100)</f>
        <v>0.15622344381432879</v>
      </c>
      <c r="K138" s="54">
        <f t="shared" si="16"/>
        <v>1.3434381331919276</v>
      </c>
      <c r="L138" s="26"/>
      <c r="M138" s="80"/>
      <c r="N138" s="80"/>
      <c r="O138" s="82"/>
      <c r="P138" s="81"/>
      <c r="Q138" s="81"/>
      <c r="R138" s="81"/>
      <c r="S138" s="81"/>
      <c r="T138" s="81"/>
      <c r="U138" s="3"/>
      <c r="V138" s="88"/>
      <c r="W138" s="88"/>
      <c r="X138" s="88"/>
      <c r="Y138" s="88"/>
      <c r="Z138" s="88"/>
      <c r="AA138" s="88"/>
      <c r="AB138" s="88"/>
      <c r="AC138" s="88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CH138">
        <f t="shared" si="4"/>
        <v>-20</v>
      </c>
      <c r="CI138" s="113">
        <f t="shared" si="5"/>
        <v>50.957490799304182</v>
      </c>
      <c r="CJ138" s="124">
        <f t="shared" si="6"/>
        <v>1.0101038595428027</v>
      </c>
      <c r="CK138" s="124">
        <f t="shared" si="7"/>
        <v>0</v>
      </c>
      <c r="CL138" s="124">
        <f t="shared" si="8"/>
        <v>6.0606231572568161</v>
      </c>
      <c r="CM138" s="124">
        <f t="shared" si="9"/>
        <v>0.7542108817919595</v>
      </c>
      <c r="CN138" s="124">
        <f t="shared" si="10"/>
        <v>1.7320152303425582</v>
      </c>
      <c r="CO138" s="124">
        <f t="shared" si="11"/>
        <v>0.31275933451628624</v>
      </c>
      <c r="CP138" s="124">
        <f t="shared" si="12"/>
        <v>0.15622344381432879</v>
      </c>
      <c r="CQ138" s="124">
        <f t="shared" si="13"/>
        <v>1.3434381331919276</v>
      </c>
      <c r="CR138" s="124">
        <f t="shared" si="14"/>
        <v>62.326864839760859</v>
      </c>
    </row>
    <row r="139" spans="1:96" ht="14">
      <c r="A139">
        <f t="shared" si="2"/>
        <v>-19</v>
      </c>
      <c r="B139" s="21">
        <v>61</v>
      </c>
      <c r="C139" s="127">
        <f t="shared" si="17"/>
        <v>52.68066422188307</v>
      </c>
      <c r="D139" s="125">
        <f>(($C$39*$C$118*0.72)*D$40)*('Product half-life and C flows'!B40/100)</f>
        <v>0.97569601391959271</v>
      </c>
      <c r="E139" s="26"/>
      <c r="F139" s="54">
        <f t="shared" si="18"/>
        <v>6.0606231572568161</v>
      </c>
      <c r="G139" s="54">
        <f t="shared" si="18"/>
        <v>0.7542108817919595</v>
      </c>
      <c r="H139" s="125">
        <f>(H$118)*('Product half-life and C flows'!L40/100)</f>
        <v>1.7055409496254441</v>
      </c>
      <c r="I139" s="125">
        <f>(($C$39*$C$118*0.28)*H$41)*('Product half-life and C flows'!N40/100)</f>
        <v>0.32600971201520185</v>
      </c>
      <c r="J139" s="125">
        <f>(($C$39*$C$118*0.28)*H$41)*(+'Product half-life and C flows'!P40/100)</f>
        <v>0.16284201399360729</v>
      </c>
      <c r="K139" s="54">
        <f t="shared" si="16"/>
        <v>1.3434381331919276</v>
      </c>
      <c r="L139" s="26"/>
      <c r="M139" s="80"/>
      <c r="N139" s="80"/>
      <c r="O139" s="82"/>
      <c r="P139" s="81"/>
      <c r="Q139" s="81"/>
      <c r="R139" s="81"/>
      <c r="S139" s="81"/>
      <c r="T139" s="81"/>
      <c r="U139" s="3"/>
      <c r="V139" s="88"/>
      <c r="W139" s="88"/>
      <c r="X139" s="88"/>
      <c r="Y139" s="88"/>
      <c r="Z139" s="88"/>
      <c r="AA139" s="88"/>
      <c r="AB139" s="88"/>
      <c r="AC139" s="88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CH139">
        <f t="shared" si="4"/>
        <v>-19</v>
      </c>
      <c r="CI139" s="113">
        <f t="shared" si="5"/>
        <v>52.68066422188307</v>
      </c>
      <c r="CJ139" s="124">
        <f t="shared" si="6"/>
        <v>0.97569601391959271</v>
      </c>
      <c r="CK139" s="124">
        <f t="shared" si="7"/>
        <v>0</v>
      </c>
      <c r="CL139" s="124">
        <f t="shared" si="8"/>
        <v>6.0606231572568161</v>
      </c>
      <c r="CM139" s="124">
        <f t="shared" si="9"/>
        <v>0.7542108817919595</v>
      </c>
      <c r="CN139" s="124">
        <f t="shared" si="10"/>
        <v>1.7055409496254441</v>
      </c>
      <c r="CO139" s="124">
        <f t="shared" si="11"/>
        <v>0.32600971201520185</v>
      </c>
      <c r="CP139" s="124">
        <f t="shared" si="12"/>
        <v>0.16284201399360729</v>
      </c>
      <c r="CQ139" s="124">
        <f t="shared" si="13"/>
        <v>1.3434381331919276</v>
      </c>
      <c r="CR139" s="124">
        <f t="shared" si="14"/>
        <v>64.009025083677614</v>
      </c>
    </row>
    <row r="140" spans="1:96" ht="14">
      <c r="A140">
        <f t="shared" si="2"/>
        <v>-18</v>
      </c>
      <c r="B140" s="21">
        <v>62</v>
      </c>
      <c r="C140" s="127">
        <f t="shared" si="17"/>
        <v>54.403837644461959</v>
      </c>
      <c r="D140" s="125">
        <f>(($C$39*$C$118*0.72)*D$40)*('Product half-life and C flows'!B41/100)</f>
        <v>0.94246022583209632</v>
      </c>
      <c r="E140" s="26"/>
      <c r="F140" s="54">
        <f t="shared" si="18"/>
        <v>6.0606231572568161</v>
      </c>
      <c r="G140" s="54">
        <f t="shared" si="18"/>
        <v>0.7542108817919595</v>
      </c>
      <c r="H140" s="125">
        <f>(H$118)*('Product half-life and C flows'!L41/100)</f>
        <v>1.6794713348299748</v>
      </c>
      <c r="I140" s="125">
        <f>(($C$39*$C$118*0.28)*H$41)*('Product half-life and C flows'!N41/100)</f>
        <v>0.33905755422033429</v>
      </c>
      <c r="J140" s="125">
        <f>(($C$39*$C$118*0.28)*H$41)*(+'Product half-life and C flows'!P41/100)</f>
        <v>0.16935941769247465</v>
      </c>
      <c r="K140" s="54">
        <f t="shared" si="16"/>
        <v>1.3434381331919276</v>
      </c>
      <c r="L140" s="26"/>
      <c r="M140" s="80"/>
      <c r="N140" s="80"/>
      <c r="O140" s="82"/>
      <c r="P140" s="81"/>
      <c r="Q140" s="81"/>
      <c r="R140" s="81"/>
      <c r="S140" s="81"/>
      <c r="T140" s="81"/>
      <c r="U140" s="3"/>
      <c r="V140" s="88"/>
      <c r="W140" s="88"/>
      <c r="X140" s="88"/>
      <c r="Y140" s="88"/>
      <c r="Z140" s="88"/>
      <c r="AA140" s="88"/>
      <c r="AB140" s="88"/>
      <c r="AC140" s="88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CH140">
        <f t="shared" si="4"/>
        <v>-18</v>
      </c>
      <c r="CI140" s="113">
        <f t="shared" si="5"/>
        <v>54.403837644461959</v>
      </c>
      <c r="CJ140" s="124">
        <f t="shared" si="6"/>
        <v>0.94246022583209632</v>
      </c>
      <c r="CK140" s="124">
        <f t="shared" si="7"/>
        <v>0</v>
      </c>
      <c r="CL140" s="124">
        <f t="shared" si="8"/>
        <v>6.0606231572568161</v>
      </c>
      <c r="CM140" s="124">
        <f t="shared" si="9"/>
        <v>0.7542108817919595</v>
      </c>
      <c r="CN140" s="124">
        <f t="shared" si="10"/>
        <v>1.6794713348299748</v>
      </c>
      <c r="CO140" s="124">
        <f t="shared" si="11"/>
        <v>0.33905755422033429</v>
      </c>
      <c r="CP140" s="124">
        <f t="shared" si="12"/>
        <v>0.16935941769247465</v>
      </c>
      <c r="CQ140" s="124">
        <f t="shared" si="13"/>
        <v>1.3434381331919276</v>
      </c>
      <c r="CR140" s="124">
        <f t="shared" si="14"/>
        <v>65.692458349277544</v>
      </c>
    </row>
    <row r="141" spans="1:96" ht="14">
      <c r="A141">
        <f t="shared" si="2"/>
        <v>-17</v>
      </c>
      <c r="B141" s="21">
        <v>63</v>
      </c>
      <c r="C141" s="127">
        <f t="shared" si="17"/>
        <v>56.127011067040847</v>
      </c>
      <c r="D141" s="125">
        <f>(($C$39*$C$118*0.72)*D$40)*('Product half-life and C flows'!B42/100)</f>
        <v>0.91035657069793607</v>
      </c>
      <c r="E141" s="26"/>
      <c r="F141" s="54">
        <f t="shared" si="18"/>
        <v>6.0606231572568161</v>
      </c>
      <c r="G141" s="54">
        <f t="shared" si="18"/>
        <v>0.7542108817919595</v>
      </c>
      <c r="H141" s="125">
        <f>(H$118)*('Product half-life and C flows'!L42/100)</f>
        <v>1.6538002005375578</v>
      </c>
      <c r="I141" s="125">
        <f>(($C$39*$C$118*0.28)*H$41)*('Product half-life and C flows'!N42/100)</f>
        <v>0.35190595693368892</v>
      </c>
      <c r="J141" s="125">
        <f>(($C$39*$C$118*0.28)*H$41)*(+'Product half-life and C flows'!P42/100)</f>
        <v>0.17577720126557886</v>
      </c>
      <c r="K141" s="54">
        <f t="shared" si="16"/>
        <v>1.3434381331919276</v>
      </c>
      <c r="L141" s="26"/>
      <c r="M141" s="80"/>
      <c r="N141" s="80"/>
      <c r="O141" s="82"/>
      <c r="P141" s="81"/>
      <c r="Q141" s="81"/>
      <c r="R141" s="81"/>
      <c r="S141" s="81"/>
      <c r="T141" s="81"/>
      <c r="U141" s="3"/>
      <c r="V141" s="88"/>
      <c r="W141" s="88"/>
      <c r="X141" s="88"/>
      <c r="Y141" s="88"/>
      <c r="Z141" s="88"/>
      <c r="AA141" s="88"/>
      <c r="AB141" s="88"/>
      <c r="AC141" s="88"/>
      <c r="AD141" s="40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CH141">
        <f t="shared" si="4"/>
        <v>-17</v>
      </c>
      <c r="CI141" s="113">
        <f t="shared" si="5"/>
        <v>56.127011067040847</v>
      </c>
      <c r="CJ141" s="124">
        <f t="shared" si="6"/>
        <v>0.91035657069793607</v>
      </c>
      <c r="CK141" s="124">
        <f t="shared" si="7"/>
        <v>0</v>
      </c>
      <c r="CL141" s="124">
        <f t="shared" si="8"/>
        <v>6.0606231572568161</v>
      </c>
      <c r="CM141" s="124">
        <f t="shared" si="9"/>
        <v>0.7542108817919595</v>
      </c>
      <c r="CN141" s="124">
        <f t="shared" si="10"/>
        <v>1.6538002005375578</v>
      </c>
      <c r="CO141" s="124">
        <f t="shared" si="11"/>
        <v>0.35190595693368892</v>
      </c>
      <c r="CP141" s="124">
        <f t="shared" si="12"/>
        <v>0.17577720126557886</v>
      </c>
      <c r="CQ141" s="124">
        <f t="shared" si="13"/>
        <v>1.3434381331919276</v>
      </c>
      <c r="CR141" s="124">
        <f t="shared" si="14"/>
        <v>67.377123168716309</v>
      </c>
    </row>
    <row r="142" spans="1:96" ht="14">
      <c r="A142">
        <f t="shared" ref="A142:A156" si="19">A143-1</f>
        <v>-16</v>
      </c>
      <c r="B142" s="21">
        <v>64</v>
      </c>
      <c r="C142" s="127">
        <f t="shared" si="17"/>
        <v>57.850184489619735</v>
      </c>
      <c r="D142" s="125">
        <f>(($C$39*$C$118*0.72)*D$40)*('Product half-life and C flows'!B43/100)</f>
        <v>0.87934648391257597</v>
      </c>
      <c r="E142" s="26"/>
      <c r="F142" s="54">
        <f t="shared" si="18"/>
        <v>6.0606231572568161</v>
      </c>
      <c r="G142" s="54">
        <f t="shared" si="18"/>
        <v>0.7542108817919595</v>
      </c>
      <c r="H142" s="125">
        <f>(H$118)*('Product half-life and C flows'!L43/100)</f>
        <v>1.6285214558752539</v>
      </c>
      <c r="I142" s="125">
        <f>(($C$39*$C$118*0.28)*H$41)*('Product half-life and C flows'!N43/100)</f>
        <v>0.3645579686371721</v>
      </c>
      <c r="J142" s="125">
        <f>(($C$39*$C$118*0.28)*H$41)*(+'Product half-life and C flows'!P43/100)</f>
        <v>0.18209688743115485</v>
      </c>
      <c r="K142" s="54">
        <f t="shared" si="16"/>
        <v>1.3434381331919276</v>
      </c>
      <c r="L142" s="26"/>
      <c r="M142" s="80"/>
      <c r="N142" s="80"/>
      <c r="O142" s="82"/>
      <c r="P142" s="81"/>
      <c r="Q142" s="81"/>
      <c r="R142" s="81"/>
      <c r="S142" s="81"/>
      <c r="T142" s="81"/>
      <c r="U142" s="3"/>
      <c r="V142" s="88"/>
      <c r="W142" s="88"/>
      <c r="X142" s="88"/>
      <c r="Y142" s="88"/>
      <c r="Z142" s="88"/>
      <c r="AA142" s="88"/>
      <c r="AB142" s="88"/>
      <c r="AC142" s="88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CH142">
        <f t="shared" ref="CH142:CH205" si="20">A142</f>
        <v>-16</v>
      </c>
      <c r="CI142" s="113">
        <f t="shared" ref="CI142:CI205" si="21">C142</f>
        <v>57.850184489619735</v>
      </c>
      <c r="CJ142" s="124">
        <f t="shared" si="6"/>
        <v>0.87934648391257597</v>
      </c>
      <c r="CK142" s="124">
        <f t="shared" si="7"/>
        <v>0</v>
      </c>
      <c r="CL142" s="124">
        <f t="shared" si="8"/>
        <v>6.0606231572568161</v>
      </c>
      <c r="CM142" s="124">
        <f t="shared" si="9"/>
        <v>0.7542108817919595</v>
      </c>
      <c r="CN142" s="124">
        <f t="shared" si="10"/>
        <v>1.6285214558752539</v>
      </c>
      <c r="CO142" s="124">
        <f t="shared" si="11"/>
        <v>0.3645579686371721</v>
      </c>
      <c r="CP142" s="124">
        <f t="shared" si="12"/>
        <v>0.18209688743115485</v>
      </c>
      <c r="CQ142" s="124">
        <f t="shared" si="13"/>
        <v>1.3434381331919276</v>
      </c>
      <c r="CR142" s="124">
        <f t="shared" si="14"/>
        <v>69.062979457716594</v>
      </c>
    </row>
    <row r="143" spans="1:96" ht="14">
      <c r="A143">
        <f t="shared" si="19"/>
        <v>-15</v>
      </c>
      <c r="B143" s="21">
        <v>65</v>
      </c>
      <c r="C143" s="127">
        <f t="shared" si="17"/>
        <v>59.573357912198624</v>
      </c>
      <c r="D143" s="125">
        <f>(($C$39*$C$118*0.72)*D$40)*('Product half-life and C flows'!B44/100)</f>
        <v>0.8493927145234843</v>
      </c>
      <c r="E143" s="26"/>
      <c r="F143" s="54">
        <f t="shared" si="18"/>
        <v>6.0606231572568161</v>
      </c>
      <c r="G143" s="54">
        <f t="shared" si="18"/>
        <v>0.7542108817919595</v>
      </c>
      <c r="H143" s="125">
        <f>(H$118)*('Product half-life and C flows'!L44/100)</f>
        <v>1.6036291030706211</v>
      </c>
      <c r="I143" s="125">
        <f>(($C$39*$C$118*0.28)*H$41)*('Product half-life and C flows'!N44/100)</f>
        <v>0.37701659121589082</v>
      </c>
      <c r="J143" s="125">
        <f>(($C$39*$C$118*0.28)*H$41)*(+'Product half-life and C flows'!P44/100)</f>
        <v>0.18831997563231306</v>
      </c>
      <c r="K143" s="54">
        <f t="shared" si="16"/>
        <v>1.3434381331919276</v>
      </c>
      <c r="L143" s="26"/>
      <c r="M143" s="80"/>
      <c r="N143" s="80"/>
      <c r="O143" s="82"/>
      <c r="P143" s="81"/>
      <c r="Q143" s="81"/>
      <c r="R143" s="81"/>
      <c r="S143" s="81"/>
      <c r="T143" s="81"/>
      <c r="U143" s="3"/>
      <c r="V143" s="88"/>
      <c r="W143" s="88"/>
      <c r="X143" s="88"/>
      <c r="Y143" s="88"/>
      <c r="Z143" s="88"/>
      <c r="AA143" s="88"/>
      <c r="AB143" s="88"/>
      <c r="AC143" s="88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CH143">
        <f t="shared" si="20"/>
        <v>-15</v>
      </c>
      <c r="CI143" s="113">
        <f t="shared" si="21"/>
        <v>59.573357912198624</v>
      </c>
      <c r="CJ143" s="124">
        <f t="shared" si="6"/>
        <v>0.8493927145234843</v>
      </c>
      <c r="CK143" s="124">
        <f t="shared" si="7"/>
        <v>0</v>
      </c>
      <c r="CL143" s="124">
        <f t="shared" si="8"/>
        <v>6.0606231572568161</v>
      </c>
      <c r="CM143" s="124">
        <f t="shared" si="9"/>
        <v>0.7542108817919595</v>
      </c>
      <c r="CN143" s="124">
        <f t="shared" si="10"/>
        <v>1.6036291030706211</v>
      </c>
      <c r="CO143" s="124">
        <f t="shared" si="11"/>
        <v>0.37701659121589082</v>
      </c>
      <c r="CP143" s="124">
        <f t="shared" si="12"/>
        <v>0.18831997563231306</v>
      </c>
      <c r="CQ143" s="124">
        <f t="shared" si="13"/>
        <v>1.3434381331919276</v>
      </c>
      <c r="CR143" s="124">
        <f t="shared" si="14"/>
        <v>70.749988468881639</v>
      </c>
    </row>
    <row r="144" spans="1:96" ht="14">
      <c r="A144">
        <f t="shared" si="19"/>
        <v>-14</v>
      </c>
      <c r="B144" s="21">
        <v>66</v>
      </c>
      <c r="C144" s="127">
        <f t="shared" si="17"/>
        <v>61.296531334777512</v>
      </c>
      <c r="D144" s="125">
        <f>(($C$39*$C$118*0.72)*D$40)*('Product half-life and C flows'!B45/100)</f>
        <v>0.82045928048232375</v>
      </c>
      <c r="E144" s="26"/>
      <c r="F144" s="54">
        <f t="shared" si="18"/>
        <v>6.0606231572568161</v>
      </c>
      <c r="G144" s="54">
        <f t="shared" si="18"/>
        <v>0.7542108817919595</v>
      </c>
      <c r="H144" s="125">
        <f>(H$118)*('Product half-life and C flows'!L45/100)</f>
        <v>1.5791172360286507</v>
      </c>
      <c r="I144" s="125">
        <f>(($C$39*$C$118*0.28)*H$41)*('Product half-life and C flows'!N45/100)</f>
        <v>0.38928478067039707</v>
      </c>
      <c r="J144" s="125">
        <f>(($C$39*$C$118*0.28)*H$41)*(+'Product half-life and C flows'!P45/100)</f>
        <v>0.19444794239280572</v>
      </c>
      <c r="K144" s="54">
        <f t="shared" si="16"/>
        <v>1.3434381331919276</v>
      </c>
      <c r="L144" s="26"/>
      <c r="M144" s="80"/>
      <c r="N144" s="80"/>
      <c r="O144" s="82"/>
      <c r="P144" s="81"/>
      <c r="Q144" s="81"/>
      <c r="R144" s="81"/>
      <c r="S144" s="81"/>
      <c r="T144" s="81"/>
      <c r="U144" s="3"/>
      <c r="V144" s="88"/>
      <c r="W144" s="88"/>
      <c r="X144" s="88"/>
      <c r="Y144" s="88"/>
      <c r="Z144" s="88"/>
      <c r="AA144" s="88"/>
      <c r="AB144" s="88"/>
      <c r="AC144" s="88"/>
      <c r="AD144" s="40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40"/>
      <c r="AP144" s="40"/>
      <c r="AQ144" s="40"/>
      <c r="AR144" s="40"/>
      <c r="AS144" s="40"/>
      <c r="AT144" s="40"/>
      <c r="AU144" s="40"/>
      <c r="AV144" s="40"/>
      <c r="AW144" s="40"/>
      <c r="AX144" s="40"/>
      <c r="CH144">
        <f t="shared" si="20"/>
        <v>-14</v>
      </c>
      <c r="CI144" s="113">
        <f t="shared" si="21"/>
        <v>61.296531334777512</v>
      </c>
      <c r="CJ144" s="124">
        <f t="shared" si="6"/>
        <v>0.82045928048232375</v>
      </c>
      <c r="CK144" s="124">
        <f t="shared" si="7"/>
        <v>0</v>
      </c>
      <c r="CL144" s="124">
        <f t="shared" si="8"/>
        <v>6.0606231572568161</v>
      </c>
      <c r="CM144" s="124">
        <f t="shared" si="9"/>
        <v>0.7542108817919595</v>
      </c>
      <c r="CN144" s="124">
        <f t="shared" si="10"/>
        <v>1.5791172360286507</v>
      </c>
      <c r="CO144" s="124">
        <f t="shared" si="11"/>
        <v>0.38928478067039707</v>
      </c>
      <c r="CP144" s="124">
        <f t="shared" si="12"/>
        <v>0.19444794239280572</v>
      </c>
      <c r="CQ144" s="124">
        <f t="shared" si="13"/>
        <v>1.3434381331919276</v>
      </c>
      <c r="CR144" s="124">
        <f t="shared" si="14"/>
        <v>72.438112746592395</v>
      </c>
    </row>
    <row r="145" spans="1:96" ht="14">
      <c r="A145">
        <f t="shared" si="19"/>
        <v>-13</v>
      </c>
      <c r="B145" s="21">
        <v>67</v>
      </c>
      <c r="C145" s="127">
        <f t="shared" si="17"/>
        <v>63.019704757356401</v>
      </c>
      <c r="D145" s="125">
        <f>(($C$39*$C$118*0.72)*D$40)*('Product half-life and C flows'!B46/100)</f>
        <v>0.79251142542141606</v>
      </c>
      <c r="E145" s="26"/>
      <c r="F145" s="54">
        <f t="shared" si="18"/>
        <v>6.0606231572568161</v>
      </c>
      <c r="G145" s="54">
        <f t="shared" si="18"/>
        <v>0.7542108817919595</v>
      </c>
      <c r="H145" s="125">
        <f>(H$118)*('Product half-life and C flows'!L46/100)</f>
        <v>1.5549800389304542</v>
      </c>
      <c r="I145" s="125">
        <f>(($C$39*$C$118*0.28)*H$41)*('Product half-life and C flows'!N46/100)</f>
        <v>0.40136544781804434</v>
      </c>
      <c r="J145" s="125">
        <f>(($C$39*$C$118*0.28)*H$41)*(+'Product half-life and C flows'!P46/100)</f>
        <v>0.20048224166735482</v>
      </c>
      <c r="K145" s="54">
        <f t="shared" si="16"/>
        <v>1.3434381331919276</v>
      </c>
      <c r="L145" s="26"/>
      <c r="M145" s="80"/>
      <c r="N145" s="80"/>
      <c r="O145" s="82"/>
      <c r="P145" s="81"/>
      <c r="Q145" s="81"/>
      <c r="R145" s="81"/>
      <c r="S145" s="81"/>
      <c r="T145" s="81"/>
      <c r="U145" s="3"/>
      <c r="V145" s="88"/>
      <c r="W145" s="88"/>
      <c r="X145" s="88"/>
      <c r="Y145" s="88"/>
      <c r="Z145" s="88"/>
      <c r="AA145" s="88"/>
      <c r="AB145" s="88"/>
      <c r="AC145" s="88"/>
      <c r="AD145" s="40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  <c r="AP145" s="40"/>
      <c r="AQ145" s="40"/>
      <c r="AR145" s="40"/>
      <c r="AS145" s="40"/>
      <c r="AT145" s="40"/>
      <c r="AU145" s="40"/>
      <c r="AV145" s="40"/>
      <c r="AW145" s="40"/>
      <c r="AX145" s="40"/>
      <c r="CH145">
        <f t="shared" si="20"/>
        <v>-13</v>
      </c>
      <c r="CI145" s="113">
        <f t="shared" si="21"/>
        <v>63.019704757356401</v>
      </c>
      <c r="CJ145" s="124">
        <f t="shared" si="6"/>
        <v>0.79251142542141606</v>
      </c>
      <c r="CK145" s="124">
        <f t="shared" si="7"/>
        <v>0</v>
      </c>
      <c r="CL145" s="124">
        <f t="shared" si="8"/>
        <v>6.0606231572568161</v>
      </c>
      <c r="CM145" s="124">
        <f t="shared" si="9"/>
        <v>0.7542108817919595</v>
      </c>
      <c r="CN145" s="124">
        <f t="shared" si="10"/>
        <v>1.5549800389304542</v>
      </c>
      <c r="CO145" s="124">
        <f t="shared" si="11"/>
        <v>0.40136544781804434</v>
      </c>
      <c r="CP145" s="124">
        <f t="shared" si="12"/>
        <v>0.20048224166735482</v>
      </c>
      <c r="CQ145" s="124">
        <f t="shared" si="13"/>
        <v>1.3434381331919276</v>
      </c>
      <c r="CR145" s="124">
        <f t="shared" si="14"/>
        <v>74.12731608343438</v>
      </c>
    </row>
    <row r="146" spans="1:96" ht="14">
      <c r="A146">
        <f t="shared" si="19"/>
        <v>-12</v>
      </c>
      <c r="B146" s="21">
        <v>68</v>
      </c>
      <c r="C146" s="127">
        <f t="shared" si="17"/>
        <v>64.742878179935289</v>
      </c>
      <c r="D146" s="125">
        <f>(($C$39*$C$118*0.72)*D$40)*('Product half-life and C flows'!B47/100)</f>
        <v>0.76551557690255922</v>
      </c>
      <c r="E146" s="26"/>
      <c r="F146" s="54">
        <f t="shared" si="18"/>
        <v>6.0606231572568161</v>
      </c>
      <c r="G146" s="54">
        <f t="shared" si="18"/>
        <v>0.7542108817919595</v>
      </c>
      <c r="H146" s="125">
        <f>(H$118)*('Product half-life and C flows'!L47/100)</f>
        <v>1.5312117848533746</v>
      </c>
      <c r="I146" s="125">
        <f>(($C$39*$C$118*0.28)*H$41)*('Product half-life and C flows'!N47/100)</f>
        <v>0.41326145898362254</v>
      </c>
      <c r="J146" s="125">
        <f>(($C$39*$C$118*0.28)*H$41)*(+'Product half-life and C flows'!P47/100)</f>
        <v>0.20642430518662463</v>
      </c>
      <c r="K146" s="54">
        <f t="shared" si="16"/>
        <v>1.3434381331919276</v>
      </c>
      <c r="L146" s="26"/>
      <c r="M146" s="80"/>
      <c r="N146" s="80"/>
      <c r="O146" s="82"/>
      <c r="P146" s="81"/>
      <c r="Q146" s="81"/>
      <c r="R146" s="81"/>
      <c r="S146" s="81"/>
      <c r="T146" s="81"/>
      <c r="U146" s="3"/>
      <c r="V146" s="88"/>
      <c r="W146" s="88"/>
      <c r="X146" s="88"/>
      <c r="Y146" s="88"/>
      <c r="Z146" s="88"/>
      <c r="AA146" s="88"/>
      <c r="AB146" s="88"/>
      <c r="AC146" s="88"/>
      <c r="AD146" s="40"/>
      <c r="AE146" s="40"/>
      <c r="AF146" s="40"/>
      <c r="AG146" s="40"/>
      <c r="AH146" s="40"/>
      <c r="AI146" s="40"/>
      <c r="AJ146" s="40"/>
      <c r="AK146" s="40"/>
      <c r="AL146" s="40"/>
      <c r="AM146" s="40"/>
      <c r="AN146" s="40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CH146">
        <f t="shared" si="20"/>
        <v>-12</v>
      </c>
      <c r="CI146" s="113">
        <f t="shared" si="21"/>
        <v>64.742878179935289</v>
      </c>
      <c r="CJ146" s="124">
        <f t="shared" si="6"/>
        <v>0.76551557690255922</v>
      </c>
      <c r="CK146" s="124">
        <f t="shared" si="7"/>
        <v>0</v>
      </c>
      <c r="CL146" s="124">
        <f t="shared" si="8"/>
        <v>6.0606231572568161</v>
      </c>
      <c r="CM146" s="124">
        <f t="shared" si="9"/>
        <v>0.7542108817919595</v>
      </c>
      <c r="CN146" s="124">
        <f t="shared" si="10"/>
        <v>1.5312117848533746</v>
      </c>
      <c r="CO146" s="124">
        <f t="shared" si="11"/>
        <v>0.41326145898362254</v>
      </c>
      <c r="CP146" s="124">
        <f t="shared" si="12"/>
        <v>0.20642430518662463</v>
      </c>
      <c r="CQ146" s="124">
        <f t="shared" si="13"/>
        <v>1.3434381331919276</v>
      </c>
      <c r="CR146" s="124">
        <f t="shared" si="14"/>
        <v>75.817563478102173</v>
      </c>
    </row>
    <row r="147" spans="1:96" ht="14">
      <c r="A147">
        <f t="shared" si="19"/>
        <v>-11</v>
      </c>
      <c r="B147" s="21">
        <v>69</v>
      </c>
      <c r="C147" s="127">
        <f t="shared" si="17"/>
        <v>66.466051602514185</v>
      </c>
      <c r="D147" s="125">
        <f>(($C$39*$C$118*0.72)*D$40)*('Product half-life and C flows'!B48/100)</f>
        <v>0.73943930608804354</v>
      </c>
      <c r="E147" s="26"/>
      <c r="F147" s="54">
        <f t="shared" si="18"/>
        <v>6.0606231572568161</v>
      </c>
      <c r="G147" s="54">
        <f t="shared" si="18"/>
        <v>0.7542108817919595</v>
      </c>
      <c r="H147" s="125">
        <f>(H$118)*('Product half-life and C flows'!L48/100)</f>
        <v>1.5078068344121802</v>
      </c>
      <c r="I147" s="125">
        <f>(($C$39*$C$118*0.28)*H$41)*('Product half-life and C flows'!N48/100)</f>
        <v>0.42497563667944049</v>
      </c>
      <c r="J147" s="125">
        <f>(($C$39*$C$118*0.28)*H$41)*(+'Product half-life and C flows'!P48/100)</f>
        <v>0.21227554279692329</v>
      </c>
      <c r="K147" s="54">
        <f t="shared" si="16"/>
        <v>1.3434381331919276</v>
      </c>
      <c r="L147" s="26"/>
      <c r="M147" s="80"/>
      <c r="N147" s="80"/>
      <c r="O147" s="82"/>
      <c r="P147" s="81"/>
      <c r="Q147" s="81"/>
      <c r="R147" s="81"/>
      <c r="S147" s="81"/>
      <c r="T147" s="81"/>
      <c r="U147" s="3"/>
      <c r="V147" s="88"/>
      <c r="W147" s="88"/>
      <c r="X147" s="88"/>
      <c r="Y147" s="88"/>
      <c r="Z147" s="88"/>
      <c r="AA147" s="88"/>
      <c r="AB147" s="88"/>
      <c r="AC147" s="88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CH147">
        <f t="shared" si="20"/>
        <v>-11</v>
      </c>
      <c r="CI147" s="113">
        <f t="shared" si="21"/>
        <v>66.466051602514185</v>
      </c>
      <c r="CJ147" s="124">
        <f t="shared" si="6"/>
        <v>0.73943930608804354</v>
      </c>
      <c r="CK147" s="124">
        <f t="shared" si="7"/>
        <v>0</v>
      </c>
      <c r="CL147" s="124">
        <f t="shared" si="8"/>
        <v>6.0606231572568161</v>
      </c>
      <c r="CM147" s="124">
        <f t="shared" si="9"/>
        <v>0.7542108817919595</v>
      </c>
      <c r="CN147" s="124">
        <f t="shared" si="10"/>
        <v>1.5078068344121802</v>
      </c>
      <c r="CO147" s="124">
        <f t="shared" si="11"/>
        <v>0.42497563667944049</v>
      </c>
      <c r="CP147" s="124">
        <f t="shared" si="12"/>
        <v>0.21227554279692329</v>
      </c>
      <c r="CQ147" s="124">
        <f t="shared" si="13"/>
        <v>1.3434381331919276</v>
      </c>
      <c r="CR147" s="124">
        <f t="shared" si="14"/>
        <v>77.508821094731474</v>
      </c>
    </row>
    <row r="148" spans="1:96" ht="14">
      <c r="A148">
        <f t="shared" si="19"/>
        <v>-10</v>
      </c>
      <c r="B148" s="21">
        <v>70</v>
      </c>
      <c r="C148" s="127">
        <f t="shared" si="17"/>
        <v>68.18922502509308</v>
      </c>
      <c r="D148" s="125">
        <f>(($C$39*$C$118*0.72)*D$40)*('Product half-life and C flows'!B49/100)</f>
        <v>0.71425128878541977</v>
      </c>
      <c r="E148" s="26"/>
      <c r="F148" s="54">
        <f t="shared" si="18"/>
        <v>6.0606231572568161</v>
      </c>
      <c r="G148" s="54">
        <f t="shared" si="18"/>
        <v>0.7542108817919595</v>
      </c>
      <c r="H148" s="125">
        <f>(H$118)*('Product half-life and C flows'!L49/100)</f>
        <v>1.484759634421037</v>
      </c>
      <c r="I148" s="125">
        <f>(($C$39*$C$118*0.28)*H$41)*('Product half-life and C flows'!N49/100)</f>
        <v>0.43651076027500768</v>
      </c>
      <c r="J148" s="125">
        <f>(($C$39*$C$118*0.28)*H$41)*(+'Product half-life and C flows'!P49/100)</f>
        <v>0.2180373427947091</v>
      </c>
      <c r="K148" s="54">
        <f t="shared" si="16"/>
        <v>1.3434381331919276</v>
      </c>
      <c r="L148" s="26"/>
      <c r="M148" s="80"/>
      <c r="N148" s="80"/>
      <c r="O148" s="82"/>
      <c r="P148" s="81"/>
      <c r="Q148" s="81"/>
      <c r="R148" s="81"/>
      <c r="S148" s="81"/>
      <c r="T148" s="81"/>
      <c r="U148" s="3"/>
      <c r="V148" s="88"/>
      <c r="W148" s="88"/>
      <c r="X148" s="88"/>
      <c r="Y148" s="88"/>
      <c r="Z148" s="88"/>
      <c r="AA148" s="88"/>
      <c r="AB148" s="88"/>
      <c r="AC148" s="88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CH148">
        <f t="shared" si="20"/>
        <v>-10</v>
      </c>
      <c r="CI148" s="113">
        <f t="shared" si="21"/>
        <v>68.18922502509308</v>
      </c>
      <c r="CJ148" s="124">
        <f t="shared" si="6"/>
        <v>0.71425128878541977</v>
      </c>
      <c r="CK148" s="124">
        <f t="shared" si="7"/>
        <v>0</v>
      </c>
      <c r="CL148" s="124">
        <f t="shared" si="8"/>
        <v>6.0606231572568161</v>
      </c>
      <c r="CM148" s="124">
        <f t="shared" si="9"/>
        <v>0.7542108817919595</v>
      </c>
      <c r="CN148" s="124">
        <f t="shared" si="10"/>
        <v>1.484759634421037</v>
      </c>
      <c r="CO148" s="124">
        <f t="shared" si="11"/>
        <v>0.43651076027500768</v>
      </c>
      <c r="CP148" s="124">
        <f t="shared" si="12"/>
        <v>0.2180373427947091</v>
      </c>
      <c r="CQ148" s="124">
        <f t="shared" si="13"/>
        <v>1.3434381331919276</v>
      </c>
      <c r="CR148" s="124">
        <f t="shared" si="14"/>
        <v>79.201056223609953</v>
      </c>
    </row>
    <row r="149" spans="1:96" ht="14">
      <c r="A149">
        <f t="shared" si="19"/>
        <v>-9</v>
      </c>
      <c r="B149" s="21">
        <v>71</v>
      </c>
      <c r="C149" s="127">
        <f t="shared" si="17"/>
        <v>69.912398447671976</v>
      </c>
      <c r="D149" s="125">
        <f>(($C$39*$C$118*0.72)*D$40)*('Product half-life and C flows'!B50/100)</f>
        <v>0.68992126781922813</v>
      </c>
      <c r="E149" s="26"/>
      <c r="F149" s="54">
        <f t="shared" si="18"/>
        <v>6.0606231572568161</v>
      </c>
      <c r="G149" s="54">
        <f t="shared" si="18"/>
        <v>0.7542108817919595</v>
      </c>
      <c r="H149" s="125">
        <f>(H$118)*('Product half-life and C flows'!L50/100)</f>
        <v>1.462064716575928</v>
      </c>
      <c r="I149" s="125">
        <f>(($C$39*$C$118*0.28)*H$41)*('Product half-life and C flows'!N50/100)</f>
        <v>0.44786956665648481</v>
      </c>
      <c r="J149" s="125">
        <f>(($C$39*$C$118*0.28)*H$41)*(+'Product half-life and C flows'!P50/100)</f>
        <v>0.22371107225598635</v>
      </c>
      <c r="K149" s="54">
        <f t="shared" si="16"/>
        <v>1.3434381331919276</v>
      </c>
      <c r="L149" s="26"/>
      <c r="M149" s="80"/>
      <c r="N149" s="80"/>
      <c r="O149" s="82"/>
      <c r="P149" s="81"/>
      <c r="Q149" s="81"/>
      <c r="R149" s="81"/>
      <c r="S149" s="81"/>
      <c r="T149" s="81"/>
      <c r="U149" s="3"/>
      <c r="V149" s="88"/>
      <c r="W149" s="88"/>
      <c r="X149" s="88"/>
      <c r="Y149" s="88"/>
      <c r="Z149" s="88"/>
      <c r="AA149" s="88"/>
      <c r="AB149" s="88"/>
      <c r="AC149" s="88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CH149">
        <f t="shared" si="20"/>
        <v>-9</v>
      </c>
      <c r="CI149" s="113">
        <f t="shared" si="21"/>
        <v>69.912398447671976</v>
      </c>
      <c r="CJ149" s="124">
        <f t="shared" si="6"/>
        <v>0.68992126781922813</v>
      </c>
      <c r="CK149" s="124">
        <f t="shared" si="7"/>
        <v>0</v>
      </c>
      <c r="CL149" s="124">
        <f t="shared" si="8"/>
        <v>6.0606231572568161</v>
      </c>
      <c r="CM149" s="124">
        <f t="shared" si="9"/>
        <v>0.7542108817919595</v>
      </c>
      <c r="CN149" s="124">
        <f t="shared" si="10"/>
        <v>1.462064716575928</v>
      </c>
      <c r="CO149" s="124">
        <f t="shared" si="11"/>
        <v>0.44786956665648481</v>
      </c>
      <c r="CP149" s="124">
        <f t="shared" si="12"/>
        <v>0.22371107225598635</v>
      </c>
      <c r="CQ149" s="124">
        <f t="shared" si="13"/>
        <v>1.3434381331919276</v>
      </c>
      <c r="CR149" s="124">
        <f t="shared" si="14"/>
        <v>80.894237243220303</v>
      </c>
    </row>
    <row r="150" spans="1:96" ht="14">
      <c r="A150">
        <f t="shared" si="19"/>
        <v>-8</v>
      </c>
      <c r="B150" s="21">
        <v>72</v>
      </c>
      <c r="C150" s="127">
        <f t="shared" si="17"/>
        <v>71.635571870250871</v>
      </c>
      <c r="D150" s="125">
        <f>(($C$39*$C$118*0.72)*D$40)*('Product half-life and C flows'!B51/100)</f>
        <v>0.66642001668448037</v>
      </c>
      <c r="E150" s="26"/>
      <c r="F150" s="54">
        <f t="shared" si="18"/>
        <v>6.0606231572568161</v>
      </c>
      <c r="G150" s="54">
        <f t="shared" si="18"/>
        <v>0.7542108817919595</v>
      </c>
      <c r="H150" s="125">
        <f>(H$118)*('Product half-life and C flows'!L51/100)</f>
        <v>1.4397166961572141</v>
      </c>
      <c r="I150" s="125">
        <f>(($C$39*$C$118*0.28)*H$41)*('Product half-life and C flows'!N51/100)</f>
        <v>0.45905475087605102</v>
      </c>
      <c r="J150" s="125">
        <f>(($C$39*$C$118*0.28)*H$41)*(+'Product half-life and C flows'!P51/100)</f>
        <v>0.22929807736066479</v>
      </c>
      <c r="K150" s="54">
        <f t="shared" si="16"/>
        <v>1.3434381331919276</v>
      </c>
      <c r="L150" s="26"/>
      <c r="M150" s="80"/>
      <c r="N150" s="80"/>
      <c r="O150" s="82"/>
      <c r="P150" s="81"/>
      <c r="Q150" s="81"/>
      <c r="R150" s="81"/>
      <c r="S150" s="81"/>
      <c r="T150" s="81"/>
      <c r="U150" s="3"/>
      <c r="V150" s="88"/>
      <c r="W150" s="88"/>
      <c r="X150" s="88"/>
      <c r="Y150" s="88"/>
      <c r="Z150" s="88"/>
      <c r="AA150" s="88"/>
      <c r="AB150" s="88"/>
      <c r="AC150" s="88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CH150">
        <f t="shared" si="20"/>
        <v>-8</v>
      </c>
      <c r="CI150" s="113">
        <f t="shared" si="21"/>
        <v>71.635571870250871</v>
      </c>
      <c r="CJ150" s="124">
        <f t="shared" ref="CJ150:CJ181" si="22">D150+M150+V150+AE150+AN150+AW150+BF150+BO150+BX150</f>
        <v>0.66642001668448037</v>
      </c>
      <c r="CK150" s="124">
        <f t="shared" ref="CK150:CK181" si="23">E150+N150+W150+AF150+AO150+AX150+BG150+BP150+BY150</f>
        <v>0</v>
      </c>
      <c r="CL150" s="124">
        <f t="shared" ref="CL150:CL181" si="24">F150+O150+X150+AG150+AP150+AY150+BH150+BQ150+BZ150</f>
        <v>6.0606231572568161</v>
      </c>
      <c r="CM150" s="124">
        <f t="shared" ref="CM150:CM181" si="25">G150+P150+Y150+AH150+AQ150+AZ150+BI150+BR150+CA150</f>
        <v>0.7542108817919595</v>
      </c>
      <c r="CN150" s="124">
        <f t="shared" ref="CN150:CN181" si="26">H150+Q150+Z150+AI150+AR150+BA150+BJ150+BS150+CB150</f>
        <v>1.4397166961572141</v>
      </c>
      <c r="CO150" s="124">
        <f t="shared" ref="CO150:CO181" si="27">I150+R150+AA150+AJ150+AS150+BB150+BK150+BT150+CC150</f>
        <v>0.45905475087605102</v>
      </c>
      <c r="CP150" s="124">
        <f t="shared" ref="CP150:CP181" si="28">J150+S150+AB150+AK150+AT150+BC150+BL150+BU150+CD150</f>
        <v>0.22929807736066479</v>
      </c>
      <c r="CQ150" s="124">
        <f t="shared" ref="CQ150:CQ181" si="29">K150+T150+AC150+AL150+AU150+BD150+BM150+BV150+CE150</f>
        <v>1.3434381331919276</v>
      </c>
      <c r="CR150" s="124">
        <f t="shared" si="14"/>
        <v>82.588333583569991</v>
      </c>
    </row>
    <row r="151" spans="1:96" ht="14">
      <c r="A151">
        <f t="shared" si="19"/>
        <v>-7</v>
      </c>
      <c r="B151" s="21">
        <v>73</v>
      </c>
      <c r="C151" s="127">
        <f t="shared" si="17"/>
        <v>73.358745292829767</v>
      </c>
      <c r="D151" s="125">
        <f>(($C$39*$C$118*0.72)*D$40)*('Product half-life and C flows'!B52/100)</f>
        <v>0.64371930443824121</v>
      </c>
      <c r="E151" s="26"/>
      <c r="F151" s="54">
        <f t="shared" si="18"/>
        <v>6.0606231572568161</v>
      </c>
      <c r="G151" s="54">
        <f t="shared" si="18"/>
        <v>0.7542108817919595</v>
      </c>
      <c r="H151" s="125">
        <f>(H$118)*('Product half-life and C flows'!L52/100)</f>
        <v>1.4177102707520266</v>
      </c>
      <c r="I151" s="125">
        <f>(($C$39*$C$118*0.28)*H$41)*('Product half-life and C flows'!N52/100)</f>
        <v>0.4700689667913473</v>
      </c>
      <c r="J151" s="125">
        <f>(($C$39*$C$118*0.28)*H$41)*(+'Product half-life and C flows'!P52/100)</f>
        <v>0.23479968371196169</v>
      </c>
      <c r="K151" s="54">
        <f t="shared" si="16"/>
        <v>1.3434381331919276</v>
      </c>
      <c r="L151" s="26"/>
      <c r="M151" s="80"/>
      <c r="N151" s="80"/>
      <c r="O151" s="82"/>
      <c r="P151" s="81"/>
      <c r="Q151" s="81"/>
      <c r="R151" s="81"/>
      <c r="S151" s="81"/>
      <c r="T151" s="81"/>
      <c r="U151" s="3"/>
      <c r="V151" s="88"/>
      <c r="W151" s="88"/>
      <c r="X151" s="88"/>
      <c r="Y151" s="88"/>
      <c r="Z151" s="88"/>
      <c r="AA151" s="88"/>
      <c r="AB151" s="88"/>
      <c r="AC151" s="88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CH151">
        <f t="shared" si="20"/>
        <v>-7</v>
      </c>
      <c r="CI151" s="113">
        <f t="shared" si="21"/>
        <v>73.358745292829767</v>
      </c>
      <c r="CJ151" s="124">
        <f t="shared" si="22"/>
        <v>0.64371930443824121</v>
      </c>
      <c r="CK151" s="124">
        <f t="shared" si="23"/>
        <v>0</v>
      </c>
      <c r="CL151" s="124">
        <f t="shared" si="24"/>
        <v>6.0606231572568161</v>
      </c>
      <c r="CM151" s="124">
        <f t="shared" si="25"/>
        <v>0.7542108817919595</v>
      </c>
      <c r="CN151" s="124">
        <f t="shared" si="26"/>
        <v>1.4177102707520266</v>
      </c>
      <c r="CO151" s="124">
        <f t="shared" si="27"/>
        <v>0.4700689667913473</v>
      </c>
      <c r="CP151" s="124">
        <f t="shared" si="28"/>
        <v>0.23479968371196169</v>
      </c>
      <c r="CQ151" s="124">
        <f t="shared" si="29"/>
        <v>1.3434381331919276</v>
      </c>
      <c r="CR151" s="124">
        <f t="shared" si="14"/>
        <v>84.283315690764042</v>
      </c>
    </row>
    <row r="152" spans="1:96" ht="14">
      <c r="A152">
        <f t="shared" si="19"/>
        <v>-6</v>
      </c>
      <c r="B152" s="21">
        <v>74</v>
      </c>
      <c r="C152" s="127">
        <f t="shared" si="17"/>
        <v>75.081918715408662</v>
      </c>
      <c r="D152" s="125">
        <f>(($C$39*$C$118*0.72)*D$40)*('Product half-life and C flows'!B53/100)</f>
        <v>0.62179186178712975</v>
      </c>
      <c r="E152" s="26"/>
      <c r="F152" s="54">
        <f t="shared" ref="F152:G167" si="30">F151</f>
        <v>6.0606231572568161</v>
      </c>
      <c r="G152" s="54">
        <f t="shared" si="30"/>
        <v>0.7542108817919595</v>
      </c>
      <c r="H152" s="125">
        <f>(H$118)*('Product half-life and C flows'!L53/100)</f>
        <v>1.3960402189961876</v>
      </c>
      <c r="I152" s="125">
        <f>(($C$39*$C$118*0.28)*H$41)*('Product half-life and C flows'!N53/100)</f>
        <v>0.48091482769514482</v>
      </c>
      <c r="J152" s="125">
        <f>(($C$39*$C$118*0.28)*H$41)*(+'Product half-life and C flows'!P53/100)</f>
        <v>0.24021719665092145</v>
      </c>
      <c r="K152" s="54">
        <f t="shared" si="16"/>
        <v>1.3434381331919276</v>
      </c>
      <c r="L152" s="26"/>
      <c r="M152" s="80"/>
      <c r="N152" s="80"/>
      <c r="O152" s="82"/>
      <c r="P152" s="81"/>
      <c r="Q152" s="81"/>
      <c r="R152" s="81"/>
      <c r="S152" s="81"/>
      <c r="T152" s="81"/>
      <c r="U152" s="3"/>
      <c r="V152" s="88"/>
      <c r="W152" s="88"/>
      <c r="X152" s="88"/>
      <c r="Y152" s="88"/>
      <c r="Z152" s="88"/>
      <c r="AA152" s="88"/>
      <c r="AB152" s="88"/>
      <c r="AC152" s="88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CH152">
        <f t="shared" si="20"/>
        <v>-6</v>
      </c>
      <c r="CI152" s="113">
        <f t="shared" si="21"/>
        <v>75.081918715408662</v>
      </c>
      <c r="CJ152" s="124">
        <f t="shared" si="22"/>
        <v>0.62179186178712975</v>
      </c>
      <c r="CK152" s="124">
        <f t="shared" si="23"/>
        <v>0</v>
      </c>
      <c r="CL152" s="124">
        <f t="shared" si="24"/>
        <v>6.0606231572568161</v>
      </c>
      <c r="CM152" s="124">
        <f t="shared" si="25"/>
        <v>0.7542108817919595</v>
      </c>
      <c r="CN152" s="124">
        <f t="shared" si="26"/>
        <v>1.3960402189961876</v>
      </c>
      <c r="CO152" s="124">
        <f t="shared" si="27"/>
        <v>0.48091482769514482</v>
      </c>
      <c r="CP152" s="124">
        <f t="shared" si="28"/>
        <v>0.24021719665092145</v>
      </c>
      <c r="CQ152" s="124">
        <f t="shared" si="29"/>
        <v>1.3434381331919276</v>
      </c>
      <c r="CR152" s="124">
        <f t="shared" si="14"/>
        <v>85.979154992778746</v>
      </c>
    </row>
    <row r="153" spans="1:96" ht="14">
      <c r="A153">
        <f t="shared" si="19"/>
        <v>-5</v>
      </c>
      <c r="B153" s="21">
        <v>75</v>
      </c>
      <c r="C153" s="127">
        <f t="shared" si="17"/>
        <v>76.805092137987558</v>
      </c>
      <c r="D153" s="125">
        <f>(($C$39*$C$118*0.72)*D$40)*('Product half-life and C flows'!B54/100)</f>
        <v>0.60061134833000518</v>
      </c>
      <c r="E153" s="26"/>
      <c r="F153" s="54">
        <f t="shared" si="30"/>
        <v>6.0606231572568161</v>
      </c>
      <c r="G153" s="54">
        <f t="shared" si="30"/>
        <v>0.7542108817919595</v>
      </c>
      <c r="H153" s="125">
        <f>(H$118)*('Product half-life and C flows'!L54/100)</f>
        <v>1.3747013993353601</v>
      </c>
      <c r="I153" s="125">
        <f>(($C$39*$C$118*0.28)*H$41)*('Product half-life and C flows'!N54/100)</f>
        <v>0.49159490693538893</v>
      </c>
      <c r="J153" s="125">
        <f>(($C$39*$C$118*0.28)*H$41)*(+'Product half-life and C flows'!P54/100)</f>
        <v>0.24555190156612833</v>
      </c>
      <c r="K153" s="54">
        <f t="shared" si="16"/>
        <v>1.3434381331919276</v>
      </c>
      <c r="L153" s="26"/>
      <c r="M153" s="80"/>
      <c r="N153" s="80"/>
      <c r="O153" s="82"/>
      <c r="P153" s="81"/>
      <c r="Q153" s="81"/>
      <c r="R153" s="81"/>
      <c r="S153" s="81"/>
      <c r="T153" s="81"/>
      <c r="U153" s="3"/>
      <c r="V153" s="88"/>
      <c r="W153" s="88"/>
      <c r="X153" s="88"/>
      <c r="Y153" s="88"/>
      <c r="Z153" s="88"/>
      <c r="AA153" s="88"/>
      <c r="AB153" s="88"/>
      <c r="AC153" s="88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CH153">
        <f t="shared" si="20"/>
        <v>-5</v>
      </c>
      <c r="CI153" s="113">
        <f t="shared" si="21"/>
        <v>76.805092137987558</v>
      </c>
      <c r="CJ153" s="124">
        <f t="shared" si="22"/>
        <v>0.60061134833000518</v>
      </c>
      <c r="CK153" s="124">
        <f t="shared" si="23"/>
        <v>0</v>
      </c>
      <c r="CL153" s="124">
        <f t="shared" si="24"/>
        <v>6.0606231572568161</v>
      </c>
      <c r="CM153" s="124">
        <f t="shared" si="25"/>
        <v>0.7542108817919595</v>
      </c>
      <c r="CN153" s="124">
        <f t="shared" si="26"/>
        <v>1.3747013993353601</v>
      </c>
      <c r="CO153" s="124">
        <f t="shared" si="27"/>
        <v>0.49159490693538893</v>
      </c>
      <c r="CP153" s="124">
        <f t="shared" si="28"/>
        <v>0.24555190156612833</v>
      </c>
      <c r="CQ153" s="124">
        <f t="shared" si="29"/>
        <v>1.3434381331919276</v>
      </c>
      <c r="CR153" s="124">
        <f t="shared" si="14"/>
        <v>87.675823866395149</v>
      </c>
    </row>
    <row r="154" spans="1:96" ht="14">
      <c r="A154">
        <f t="shared" si="19"/>
        <v>-4</v>
      </c>
      <c r="B154" s="21">
        <v>76</v>
      </c>
      <c r="C154" s="127">
        <f t="shared" si="17"/>
        <v>78.528265560566453</v>
      </c>
      <c r="D154" s="125">
        <f>(($C$39*$C$118*0.72)*D$40)*('Product half-life and C flows'!B55/100)</f>
        <v>0.58015232091648683</v>
      </c>
      <c r="E154" s="26"/>
      <c r="F154" s="54">
        <f t="shared" si="30"/>
        <v>6.0606231572568161</v>
      </c>
      <c r="G154" s="54">
        <f t="shared" si="30"/>
        <v>0.7542108817919595</v>
      </c>
      <c r="H154" s="125">
        <f>(H$118)*('Product half-life and C flows'!L55/100)</f>
        <v>1.3536887488051361</v>
      </c>
      <c r="I154" s="125">
        <f>(($C$39*$C$118*0.28)*H$41)*('Product half-life and C flows'!N55/100)</f>
        <v>0.50211173852576607</v>
      </c>
      <c r="J154" s="125">
        <f>(($C$39*$C$118*0.28)*H$41)*(+'Product half-life and C flows'!P55/100)</f>
        <v>0.25080506419868431</v>
      </c>
      <c r="K154" s="54">
        <f t="shared" si="16"/>
        <v>1.3434381331919276</v>
      </c>
      <c r="L154" s="26"/>
      <c r="M154" s="80"/>
      <c r="N154" s="80"/>
      <c r="O154" s="82"/>
      <c r="P154" s="81"/>
      <c r="Q154" s="81"/>
      <c r="R154" s="81"/>
      <c r="S154" s="81"/>
      <c r="T154" s="81"/>
      <c r="U154" s="3"/>
      <c r="V154" s="88"/>
      <c r="W154" s="88"/>
      <c r="X154" s="88"/>
      <c r="Y154" s="88"/>
      <c r="Z154" s="88"/>
      <c r="AA154" s="88"/>
      <c r="AB154" s="88"/>
      <c r="AC154" s="88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CH154">
        <f t="shared" si="20"/>
        <v>-4</v>
      </c>
      <c r="CI154" s="113">
        <f t="shared" si="21"/>
        <v>78.528265560566453</v>
      </c>
      <c r="CJ154" s="124">
        <f t="shared" si="22"/>
        <v>0.58015232091648683</v>
      </c>
      <c r="CK154" s="124">
        <f t="shared" si="23"/>
        <v>0</v>
      </c>
      <c r="CL154" s="124">
        <f t="shared" si="24"/>
        <v>6.0606231572568161</v>
      </c>
      <c r="CM154" s="124">
        <f t="shared" si="25"/>
        <v>0.7542108817919595</v>
      </c>
      <c r="CN154" s="124">
        <f t="shared" si="26"/>
        <v>1.3536887488051361</v>
      </c>
      <c r="CO154" s="124">
        <f t="shared" si="27"/>
        <v>0.50211173852576607</v>
      </c>
      <c r="CP154" s="124">
        <f t="shared" si="28"/>
        <v>0.25080506419868431</v>
      </c>
      <c r="CQ154" s="124">
        <f t="shared" si="29"/>
        <v>1.3434381331919276</v>
      </c>
      <c r="CR154" s="124">
        <f t="shared" si="14"/>
        <v>89.373295605253233</v>
      </c>
    </row>
    <row r="155" spans="1:96" ht="14">
      <c r="A155">
        <f t="shared" si="19"/>
        <v>-3</v>
      </c>
      <c r="B155" s="21">
        <v>77</v>
      </c>
      <c r="C155" s="127">
        <f t="shared" si="17"/>
        <v>80.251438983145349</v>
      </c>
      <c r="D155" s="125">
        <f>(($C$39*$C$118*0.72)*D$40)*('Product half-life and C flows'!B56/100)</f>
        <v>0.56039020308330012</v>
      </c>
      <c r="E155" s="26"/>
      <c r="F155" s="54">
        <f t="shared" si="30"/>
        <v>6.0606231572568161</v>
      </c>
      <c r="G155" s="54">
        <f t="shared" si="30"/>
        <v>0.7542108817919595</v>
      </c>
      <c r="H155" s="125">
        <f>(H$118)*('Product half-life and C flows'!L56/100)</f>
        <v>1.3329972818297691</v>
      </c>
      <c r="I155" s="125">
        <f>(($C$39*$C$118*0.28)*H$41)*('Product half-life and C flows'!N56/100)</f>
        <v>0.51246781774693739</v>
      </c>
      <c r="J155" s="125">
        <f>(($C$39*$C$118*0.28)*H$41)*(+'Product half-life and C flows'!P56/100)</f>
        <v>0.25597793094252608</v>
      </c>
      <c r="K155" s="54">
        <f t="shared" si="16"/>
        <v>1.3434381331919276</v>
      </c>
      <c r="L155" s="26"/>
      <c r="M155" s="80"/>
      <c r="N155" s="80"/>
      <c r="O155" s="82"/>
      <c r="P155" s="81"/>
      <c r="Q155" s="81"/>
      <c r="R155" s="81"/>
      <c r="S155" s="81"/>
      <c r="T155" s="81"/>
      <c r="U155" s="3"/>
      <c r="V155" s="88"/>
      <c r="W155" s="88"/>
      <c r="X155" s="88"/>
      <c r="Y155" s="88"/>
      <c r="Z155" s="88"/>
      <c r="AA155" s="88"/>
      <c r="AB155" s="88"/>
      <c r="AC155" s="88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CH155">
        <f t="shared" si="20"/>
        <v>-3</v>
      </c>
      <c r="CI155" s="113">
        <f t="shared" si="21"/>
        <v>80.251438983145349</v>
      </c>
      <c r="CJ155" s="124">
        <f t="shared" si="22"/>
        <v>0.56039020308330012</v>
      </c>
      <c r="CK155" s="124">
        <f t="shared" si="23"/>
        <v>0</v>
      </c>
      <c r="CL155" s="124">
        <f t="shared" si="24"/>
        <v>6.0606231572568161</v>
      </c>
      <c r="CM155" s="124">
        <f t="shared" si="25"/>
        <v>0.7542108817919595</v>
      </c>
      <c r="CN155" s="124">
        <f t="shared" si="26"/>
        <v>1.3329972818297691</v>
      </c>
      <c r="CO155" s="124">
        <f t="shared" si="27"/>
        <v>0.51246781774693739</v>
      </c>
      <c r="CP155" s="124">
        <f t="shared" si="28"/>
        <v>0.25597793094252608</v>
      </c>
      <c r="CQ155" s="124">
        <f t="shared" si="29"/>
        <v>1.3434381331919276</v>
      </c>
      <c r="CR155" s="124">
        <f t="shared" si="14"/>
        <v>91.071544388988585</v>
      </c>
    </row>
    <row r="156" spans="1:96" ht="14">
      <c r="A156">
        <f t="shared" si="19"/>
        <v>-2</v>
      </c>
      <c r="B156" s="21">
        <v>78</v>
      </c>
      <c r="C156" s="127">
        <f t="shared" si="17"/>
        <v>81.974612405724244</v>
      </c>
      <c r="D156" s="125">
        <f>(($C$39*$C$118*0.72)*D$40)*('Product half-life and C flows'!B57/100)</f>
        <v>0.54130125553173158</v>
      </c>
      <c r="E156" s="26"/>
      <c r="F156" s="54">
        <f t="shared" si="30"/>
        <v>6.0606231572568161</v>
      </c>
      <c r="G156" s="54">
        <f t="shared" si="30"/>
        <v>0.7542108817919595</v>
      </c>
      <c r="H156" s="125">
        <f>(H$118)*('Product half-life and C flows'!L57/100)</f>
        <v>1.3126220890392692</v>
      </c>
      <c r="I156" s="125">
        <f>(($C$39*$C$118*0.28)*H$41)*('Product half-life and C flows'!N57/100)</f>
        <v>0.52266560173858245</v>
      </c>
      <c r="J156" s="125">
        <f>(($C$39*$C$118*0.28)*H$41)*(+'Product half-life and C flows'!P57/100)</f>
        <v>0.26107172914015103</v>
      </c>
      <c r="K156" s="54">
        <f t="shared" si="16"/>
        <v>1.3434381331919276</v>
      </c>
      <c r="L156" s="26"/>
      <c r="M156" s="80"/>
      <c r="N156" s="80"/>
      <c r="O156" s="82"/>
      <c r="P156" s="81"/>
      <c r="Q156" s="81"/>
      <c r="R156" s="81"/>
      <c r="S156" s="81"/>
      <c r="T156" s="81"/>
      <c r="U156" s="3"/>
      <c r="V156" s="88"/>
      <c r="W156" s="88"/>
      <c r="X156" s="88"/>
      <c r="Y156" s="88"/>
      <c r="Z156" s="88"/>
      <c r="AA156" s="88"/>
      <c r="AB156" s="88"/>
      <c r="AC156" s="88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CH156">
        <f t="shared" si="20"/>
        <v>-2</v>
      </c>
      <c r="CI156" s="113">
        <f t="shared" si="21"/>
        <v>81.974612405724244</v>
      </c>
      <c r="CJ156" s="124">
        <f t="shared" si="22"/>
        <v>0.54130125553173158</v>
      </c>
      <c r="CK156" s="124">
        <f t="shared" si="23"/>
        <v>0</v>
      </c>
      <c r="CL156" s="124">
        <f t="shared" si="24"/>
        <v>6.0606231572568161</v>
      </c>
      <c r="CM156" s="124">
        <f t="shared" si="25"/>
        <v>0.7542108817919595</v>
      </c>
      <c r="CN156" s="124">
        <f t="shared" si="26"/>
        <v>1.3126220890392692</v>
      </c>
      <c r="CO156" s="124">
        <f t="shared" si="27"/>
        <v>0.52266560173858245</v>
      </c>
      <c r="CP156" s="124">
        <f t="shared" si="28"/>
        <v>0.26107172914015103</v>
      </c>
      <c r="CQ156" s="124">
        <f t="shared" si="29"/>
        <v>1.3434381331919276</v>
      </c>
      <c r="CR156" s="124">
        <f t="shared" si="14"/>
        <v>92.770545253414681</v>
      </c>
    </row>
    <row r="157" spans="1:96" ht="14">
      <c r="A157">
        <f>A158-1</f>
        <v>-1</v>
      </c>
      <c r="B157" s="21">
        <v>79</v>
      </c>
      <c r="C157" s="127">
        <f t="shared" si="17"/>
        <v>83.69778582830314</v>
      </c>
      <c r="D157" s="125">
        <f>(($C$39*$C$118*0.72)*D$40)*('Product half-life and C flows'!B58/100)</f>
        <v>0.52286254761073059</v>
      </c>
      <c r="E157" s="26"/>
      <c r="F157" s="54">
        <f t="shared" si="30"/>
        <v>6.0606231572568161</v>
      </c>
      <c r="G157" s="54">
        <f t="shared" si="30"/>
        <v>0.7542108817919595</v>
      </c>
      <c r="H157" s="125">
        <f>(H$118)*('Product half-life and C flows'!L58/100)</f>
        <v>1.2925583361045809</v>
      </c>
      <c r="I157" s="125">
        <f>(($C$39*$C$118*0.28)*H$41)*('Product half-life and C flows'!N58/100)</f>
        <v>0.53270751008239392</v>
      </c>
      <c r="J157" s="125">
        <f>(($C$39*$C$118*0.28)*H$41)*(+'Product half-life and C flows'!P58/100)</f>
        <v>0.26608766737382311</v>
      </c>
      <c r="K157" s="54">
        <f t="shared" si="16"/>
        <v>1.3434381331919276</v>
      </c>
      <c r="L157" s="26"/>
      <c r="M157" s="80"/>
      <c r="N157" s="80"/>
      <c r="O157" s="82"/>
      <c r="P157" s="81"/>
      <c r="Q157" s="81"/>
      <c r="R157" s="81"/>
      <c r="S157" s="81"/>
      <c r="T157" s="81"/>
      <c r="U157" s="3"/>
      <c r="V157" s="88"/>
      <c r="W157" s="88"/>
      <c r="X157" s="88"/>
      <c r="Y157" s="88"/>
      <c r="Z157" s="88"/>
      <c r="AA157" s="88"/>
      <c r="AB157" s="88"/>
      <c r="AC157" s="88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CH157">
        <f t="shared" si="20"/>
        <v>-1</v>
      </c>
      <c r="CI157" s="113">
        <f t="shared" si="21"/>
        <v>83.69778582830314</v>
      </c>
      <c r="CJ157" s="124">
        <f t="shared" si="22"/>
        <v>0.52286254761073059</v>
      </c>
      <c r="CK157" s="124">
        <f t="shared" si="23"/>
        <v>0</v>
      </c>
      <c r="CL157" s="124">
        <f t="shared" si="24"/>
        <v>6.0606231572568161</v>
      </c>
      <c r="CM157" s="124">
        <f t="shared" si="25"/>
        <v>0.7542108817919595</v>
      </c>
      <c r="CN157" s="124">
        <f t="shared" si="26"/>
        <v>1.2925583361045809</v>
      </c>
      <c r="CO157" s="124">
        <f t="shared" si="27"/>
        <v>0.53270751008239392</v>
      </c>
      <c r="CP157" s="124">
        <f t="shared" si="28"/>
        <v>0.26608766737382311</v>
      </c>
      <c r="CQ157" s="124">
        <f t="shared" si="29"/>
        <v>1.3434381331919276</v>
      </c>
      <c r="CR157" s="124">
        <f t="shared" si="14"/>
        <v>94.470274061715372</v>
      </c>
    </row>
    <row r="158" spans="1:96" s="137" customFormat="1" ht="14">
      <c r="A158" s="137">
        <v>0</v>
      </c>
      <c r="B158" s="138">
        <v>80</v>
      </c>
      <c r="C158" s="139">
        <f t="shared" ref="C158:C221" si="31">B$8*(1-EXP(-B$9*$B158))^3</f>
        <v>85.420959250881964</v>
      </c>
      <c r="D158" s="140">
        <f>(($C$39*$C$118*0.72)*D$40)*('Product half-life and C flows'!B59/100)</f>
        <v>0.50505192977140134</v>
      </c>
      <c r="E158" s="139"/>
      <c r="F158" s="141">
        <f t="shared" si="30"/>
        <v>6.0606231572568161</v>
      </c>
      <c r="G158" s="141">
        <f t="shared" si="30"/>
        <v>0.7542108817919595</v>
      </c>
      <c r="H158" s="140">
        <f>(H$118)*('Product half-life and C flows'!L59/100)</f>
        <v>1.272801262590562</v>
      </c>
      <c r="I158" s="140">
        <f>(($C$39*$C$118*0.28)*H$41)*('Product half-life and C flows'!N59/100)</f>
        <v>0.54259592537616042</v>
      </c>
      <c r="J158" s="140">
        <f>(($C$39*$C$118*0.28)*H$41)*(+'Product half-life and C flows'!P59/100)</f>
        <v>0.27102693575232778</v>
      </c>
      <c r="K158" s="141">
        <f t="shared" si="16"/>
        <v>1.3434381331919276</v>
      </c>
      <c r="L158" s="139"/>
      <c r="M158" s="142">
        <f>($C$158-$C$138)*(0.4*$D$14)*('Product half-life and C flows'!$B19/100)</f>
        <v>3.4463468451577786</v>
      </c>
      <c r="N158" s="142">
        <f>C138</f>
        <v>50.957490799304182</v>
      </c>
      <c r="O158" s="143">
        <f>($C$158-$C$138)*((0.4*$B$14))-(C$158*0.03)</f>
        <v>7.7764117579468763</v>
      </c>
      <c r="P158" s="142">
        <f>($C$158-$C$138)*((0.6*$B$15))</f>
        <v>4.9627394570272001</v>
      </c>
      <c r="Q158" s="142">
        <f>($C$158-$C$138)*(0.6*$C$15)*('Product half-life and C flows'!L19/100)</f>
        <v>15.508560803210001</v>
      </c>
      <c r="R158" s="142">
        <f>($C$158-$C$138)*0.6*('Product half-life and C flows'!N19/100)</f>
        <v>0</v>
      </c>
      <c r="S158" s="142">
        <f>($C$158-$C$138)*0.6*('Product half-life and C flows'!P19/100)</f>
        <v>0</v>
      </c>
      <c r="T158" s="142">
        <f>(Q158*T$42)</f>
        <v>8.8398796578296999</v>
      </c>
      <c r="U158" s="144"/>
      <c r="CH158" s="137">
        <f t="shared" si="20"/>
        <v>0</v>
      </c>
      <c r="CI158" s="144">
        <f t="shared" si="21"/>
        <v>85.420959250881964</v>
      </c>
      <c r="CJ158" s="124">
        <f t="shared" si="22"/>
        <v>3.9513987749291797</v>
      </c>
      <c r="CK158" s="124">
        <f t="shared" si="23"/>
        <v>50.957490799304182</v>
      </c>
      <c r="CL158" s="124">
        <f t="shared" si="24"/>
        <v>13.837034915203692</v>
      </c>
      <c r="CM158" s="124">
        <f t="shared" si="25"/>
        <v>5.71695033881916</v>
      </c>
      <c r="CN158" s="124">
        <f t="shared" si="26"/>
        <v>16.781362065800565</v>
      </c>
      <c r="CO158" s="124">
        <f t="shared" si="27"/>
        <v>0.54259592537616042</v>
      </c>
      <c r="CP158" s="124">
        <f t="shared" si="28"/>
        <v>0.27102693575232778</v>
      </c>
      <c r="CQ158" s="124">
        <f t="shared" si="29"/>
        <v>10.183317791021627</v>
      </c>
      <c r="CR158" s="144">
        <f>SUM(CJ158:CQ158)</f>
        <v>102.2411775462069</v>
      </c>
    </row>
    <row r="159" spans="1:96" ht="14">
      <c r="A159">
        <f>A158+1</f>
        <v>1</v>
      </c>
      <c r="B159" s="21">
        <v>81</v>
      </c>
      <c r="C159" s="26">
        <f t="shared" si="31"/>
        <v>86.711058851161368</v>
      </c>
      <c r="D159" s="125">
        <f>(($C$39*$C$118*0.72)*D$40)*('Product half-life and C flows'!B60/100)</f>
        <v>0.48784800695979647</v>
      </c>
      <c r="E159" s="26"/>
      <c r="F159" s="54">
        <f t="shared" si="30"/>
        <v>6.0606231572568161</v>
      </c>
      <c r="G159" s="54">
        <f t="shared" si="30"/>
        <v>0.7542108817919595</v>
      </c>
      <c r="H159" s="125">
        <f>(H$118)*('Product half-life and C flows'!L60/100)</f>
        <v>1.2533461808264976</v>
      </c>
      <c r="I159" s="125">
        <f>(($C$39*$C$118*0.28)*H$41)*('Product half-life and C flows'!N60/100)</f>
        <v>0.55233319379907475</v>
      </c>
      <c r="J159" s="125">
        <f>(($C$39*$C$118*0.28)*H$41)*(+'Product half-life and C flows'!P60/100)</f>
        <v>0.27589070619334394</v>
      </c>
      <c r="K159" s="54">
        <f t="shared" si="16"/>
        <v>1.3434381331919276</v>
      </c>
      <c r="L159" s="26"/>
      <c r="M159" s="142">
        <f>($C$158-$C$138)*(0.4*$D$14)*('Product half-life and C flows'!$B20/100)</f>
        <v>3.3289516198134281</v>
      </c>
      <c r="N159" s="142">
        <f t="shared" ref="N159:N177" si="32">C139</f>
        <v>52.68066422188307</v>
      </c>
      <c r="O159" s="143">
        <f t="shared" ref="O159:O177" si="33">($C$158-$C$138)*((0.4*B$14))-(C$158*0.03)</f>
        <v>7.7764117579468763</v>
      </c>
      <c r="P159" s="142">
        <f t="shared" ref="P159:P177" si="34">($C$158-$C$138)*((0.6*B$15))</f>
        <v>4.9627394570272001</v>
      </c>
      <c r="Q159" s="142">
        <f>($C$158-$C$138)*(0.6*C$15)*('Product half-life and C flows'!L20/100)</f>
        <v>15.271508619701541</v>
      </c>
      <c r="R159" s="142">
        <f>($C$158-$C$138)*0.6*('Product half-life and C flows'!N20/100)</f>
        <v>0.15819282379464625</v>
      </c>
      <c r="S159" s="142">
        <f>($C$158-$C$138)*0.6*('Product half-life and C flows'!P20/100)</f>
        <v>7.9017394502820304E-2</v>
      </c>
      <c r="T159" s="142">
        <f t="shared" ref="T159:T177" si="35">(Q159*T$42)</f>
        <v>8.7047599132298767</v>
      </c>
      <c r="U159" s="3"/>
      <c r="V159" s="88"/>
      <c r="W159" s="88"/>
      <c r="X159" s="88"/>
      <c r="Y159" s="88"/>
      <c r="Z159" s="88"/>
      <c r="AA159" s="88"/>
      <c r="AB159" s="88"/>
      <c r="AC159" s="88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CH159">
        <f t="shared" si="20"/>
        <v>1</v>
      </c>
      <c r="CI159" s="113">
        <f t="shared" si="21"/>
        <v>86.711058851161368</v>
      </c>
      <c r="CJ159" s="124">
        <f t="shared" si="22"/>
        <v>3.8167996267732245</v>
      </c>
      <c r="CK159" s="124">
        <f t="shared" si="23"/>
        <v>52.68066422188307</v>
      </c>
      <c r="CL159" s="124">
        <f t="shared" si="24"/>
        <v>13.837034915203692</v>
      </c>
      <c r="CM159" s="124">
        <f t="shared" si="25"/>
        <v>5.71695033881916</v>
      </c>
      <c r="CN159" s="124">
        <f t="shared" si="26"/>
        <v>16.52485480052804</v>
      </c>
      <c r="CO159" s="124">
        <f t="shared" si="27"/>
        <v>0.71052601759372103</v>
      </c>
      <c r="CP159" s="124">
        <f t="shared" si="28"/>
        <v>0.35490810069616424</v>
      </c>
      <c r="CQ159" s="124">
        <f t="shared" si="29"/>
        <v>10.048198046421804</v>
      </c>
      <c r="CR159" s="144">
        <f t="shared" ref="CR159:CR222" si="36">SUM(CJ159:CQ159)</f>
        <v>103.68993606791888</v>
      </c>
    </row>
    <row r="160" spans="1:96" ht="14">
      <c r="A160">
        <f t="shared" ref="A160:A175" si="37">A159+1</f>
        <v>2</v>
      </c>
      <c r="B160" s="21">
        <v>82</v>
      </c>
      <c r="C160" s="26">
        <f t="shared" si="31"/>
        <v>87.98815549932786</v>
      </c>
      <c r="D160" s="125">
        <f>(($C$39*$C$118*0.72)*D$40)*('Product half-life and C flows'!B61/100)</f>
        <v>0.47123011291604816</v>
      </c>
      <c r="E160" s="26"/>
      <c r="F160" s="54">
        <f t="shared" si="30"/>
        <v>6.0606231572568161</v>
      </c>
      <c r="G160" s="54">
        <f t="shared" si="30"/>
        <v>0.7542108817919595</v>
      </c>
      <c r="H160" s="125">
        <f>(H$118)*('Product half-life and C flows'!L61/100)</f>
        <v>1.2341884747938774</v>
      </c>
      <c r="I160" s="125">
        <f>(($C$39*$C$118*0.28)*H$41)*('Product half-life and C flows'!N61/100)</f>
        <v>0.5619216256684012</v>
      </c>
      <c r="J160" s="125">
        <f>(($C$39*$C$118*0.28)*H$41)*(+'Product half-life and C flows'!P61/100)</f>
        <v>0.280680132701499</v>
      </c>
      <c r="K160" s="54">
        <f t="shared" si="16"/>
        <v>1.3434381331919276</v>
      </c>
      <c r="L160" s="26"/>
      <c r="M160" s="142">
        <f>($C$158-$C$138)*(0.4*$D$14)*('Product half-life and C flows'!$B21/100)</f>
        <v>3.2155553068110003</v>
      </c>
      <c r="N160" s="142">
        <f t="shared" si="32"/>
        <v>54.403837644461959</v>
      </c>
      <c r="O160" s="143">
        <f t="shared" si="33"/>
        <v>7.7764117579468763</v>
      </c>
      <c r="P160" s="142">
        <f t="shared" si="34"/>
        <v>4.9627394570272001</v>
      </c>
      <c r="Q160" s="142">
        <f>($C$158-$C$138)*(0.6*C$15)*('Product half-life and C flows'!L21/100)</f>
        <v>15.038079837385441</v>
      </c>
      <c r="R160" s="142">
        <f>($C$158-$C$138)*0.6*('Product half-life and C flows'!N21/100)</f>
        <v>0.3139676311935905</v>
      </c>
      <c r="S160" s="142">
        <f>($C$158-$C$138)*0.6*('Product half-life and C flows'!P21/100)</f>
        <v>0.15682698860818706</v>
      </c>
      <c r="T160" s="142">
        <f t="shared" si="35"/>
        <v>8.5717055073096997</v>
      </c>
      <c r="U160" s="3"/>
      <c r="V160" s="88"/>
      <c r="W160" s="88"/>
      <c r="X160" s="88"/>
      <c r="Y160" s="88"/>
      <c r="Z160" s="88"/>
      <c r="AA160" s="88"/>
      <c r="AB160" s="88"/>
      <c r="AC160" s="88"/>
      <c r="AD160" s="40"/>
      <c r="AE160" s="40"/>
      <c r="AF160" s="40"/>
      <c r="AG160" s="40"/>
      <c r="AH160" s="40"/>
      <c r="AI160" s="40"/>
      <c r="AJ160" s="40"/>
      <c r="AK160" s="40"/>
      <c r="AL160" s="40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CH160">
        <f t="shared" si="20"/>
        <v>2</v>
      </c>
      <c r="CI160" s="113">
        <f t="shared" si="21"/>
        <v>87.98815549932786</v>
      </c>
      <c r="CJ160" s="124">
        <f t="shared" si="22"/>
        <v>3.6867854197270487</v>
      </c>
      <c r="CK160" s="124">
        <f t="shared" si="23"/>
        <v>54.403837644461959</v>
      </c>
      <c r="CL160" s="124">
        <f t="shared" si="24"/>
        <v>13.837034915203692</v>
      </c>
      <c r="CM160" s="124">
        <f t="shared" si="25"/>
        <v>5.71695033881916</v>
      </c>
      <c r="CN160" s="124">
        <f t="shared" si="26"/>
        <v>16.272268312179317</v>
      </c>
      <c r="CO160" s="124">
        <f t="shared" si="27"/>
        <v>0.87588925686199171</v>
      </c>
      <c r="CP160" s="124">
        <f t="shared" si="28"/>
        <v>0.43750712130968605</v>
      </c>
      <c r="CQ160" s="124">
        <f t="shared" si="29"/>
        <v>9.9151436405016273</v>
      </c>
      <c r="CR160" s="144">
        <f t="shared" si="36"/>
        <v>105.1454166490645</v>
      </c>
    </row>
    <row r="161" spans="1:96" ht="14">
      <c r="A161">
        <f t="shared" si="37"/>
        <v>3</v>
      </c>
      <c r="B161" s="21">
        <v>83</v>
      </c>
      <c r="C161" s="26">
        <f t="shared" si="31"/>
        <v>89.25207374798569</v>
      </c>
      <c r="D161" s="125">
        <f>(($C$39*$C$118*0.72)*D$40)*('Product half-life and C flows'!B62/100)</f>
        <v>0.45517828534896804</v>
      </c>
      <c r="E161" s="26"/>
      <c r="F161" s="54">
        <f t="shared" si="30"/>
        <v>6.0606231572568161</v>
      </c>
      <c r="G161" s="54">
        <f t="shared" si="30"/>
        <v>0.7542108817919595</v>
      </c>
      <c r="H161" s="125">
        <f>(H$118)*('Product half-life and C flows'!L62/100)</f>
        <v>1.2153235990311755</v>
      </c>
      <c r="I161" s="125">
        <f>(($C$39*$C$118*0.28)*H$41)*('Product half-life and C flows'!N62/100)</f>
        <v>0.57136349598763347</v>
      </c>
      <c r="J161" s="125">
        <f>(($C$39*$C$118*0.28)*H$41)*(+'Product half-life and C flows'!P62/100)</f>
        <v>0.28539635164217447</v>
      </c>
      <c r="K161" s="54">
        <f t="shared" si="16"/>
        <v>1.3434381331919276</v>
      </c>
      <c r="L161" s="26"/>
      <c r="M161" s="142">
        <f>($C$158-$C$138)*(0.4*$D$14)*('Product half-life and C flows'!$B22/100)</f>
        <v>3.1060216885158232</v>
      </c>
      <c r="N161" s="142">
        <f t="shared" si="32"/>
        <v>56.127011067040847</v>
      </c>
      <c r="O161" s="143">
        <f t="shared" si="33"/>
        <v>7.7764117579468763</v>
      </c>
      <c r="P161" s="142">
        <f t="shared" si="34"/>
        <v>4.9627394570272001</v>
      </c>
      <c r="Q161" s="142">
        <f>($C$158-$C$138)*(0.6*C$15)*('Product half-life and C flows'!L22/100)</f>
        <v>14.808219071679254</v>
      </c>
      <c r="R161" s="142">
        <f>($C$158-$C$138)*0.6*('Product half-life and C flows'!N22/100)</f>
        <v>0.46736138217485096</v>
      </c>
      <c r="S161" s="142">
        <f>($C$158-$C$138)*0.6*('Product half-life and C flows'!P22/100)</f>
        <v>0.23344724384358187</v>
      </c>
      <c r="T161" s="142">
        <f t="shared" si="35"/>
        <v>8.440684870857174</v>
      </c>
      <c r="U161" s="3"/>
      <c r="V161" s="88"/>
      <c r="W161" s="88"/>
      <c r="X161" s="88"/>
      <c r="Y161" s="88"/>
      <c r="Z161" s="88"/>
      <c r="AA161" s="88"/>
      <c r="AB161" s="88"/>
      <c r="AC161" s="88"/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CH161">
        <f t="shared" si="20"/>
        <v>3</v>
      </c>
      <c r="CI161" s="113">
        <f t="shared" si="21"/>
        <v>89.25207374798569</v>
      </c>
      <c r="CJ161" s="124">
        <f t="shared" si="22"/>
        <v>3.5611999738647913</v>
      </c>
      <c r="CK161" s="124">
        <f t="shared" si="23"/>
        <v>56.127011067040847</v>
      </c>
      <c r="CL161" s="124">
        <f t="shared" si="24"/>
        <v>13.837034915203692</v>
      </c>
      <c r="CM161" s="124">
        <f t="shared" si="25"/>
        <v>5.71695033881916</v>
      </c>
      <c r="CN161" s="124">
        <f t="shared" si="26"/>
        <v>16.02354267071043</v>
      </c>
      <c r="CO161" s="124">
        <f t="shared" si="27"/>
        <v>1.0387248781624845</v>
      </c>
      <c r="CP161" s="124">
        <f t="shared" si="28"/>
        <v>0.51884359548575631</v>
      </c>
      <c r="CQ161" s="124">
        <f t="shared" si="29"/>
        <v>9.7841230040491016</v>
      </c>
      <c r="CR161" s="144">
        <f t="shared" si="36"/>
        <v>106.60743044333627</v>
      </c>
    </row>
    <row r="162" spans="1:96" ht="14">
      <c r="A162">
        <f t="shared" si="37"/>
        <v>4</v>
      </c>
      <c r="B162" s="21">
        <v>84</v>
      </c>
      <c r="C162" s="26">
        <f t="shared" si="31"/>
        <v>90.502655169824934</v>
      </c>
      <c r="D162" s="125">
        <f>(($C$39*$C$118*0.72)*D$40)*('Product half-life and C flows'!B63/100)</f>
        <v>0.43967324195628799</v>
      </c>
      <c r="E162" s="26"/>
      <c r="F162" s="54">
        <f t="shared" si="30"/>
        <v>6.0606231572568161</v>
      </c>
      <c r="G162" s="54">
        <f t="shared" si="30"/>
        <v>0.7542108817919595</v>
      </c>
      <c r="H162" s="125">
        <f>(H$118)*('Product half-life and C flows'!L63/100)</f>
        <v>1.1967470775553679</v>
      </c>
      <c r="I162" s="125">
        <f>(($C$39*$C$118*0.28)*H$41)*('Product half-life and C flows'!N63/100)</f>
        <v>0.58066104498627524</v>
      </c>
      <c r="J162" s="125">
        <f>(($C$39*$C$118*0.28)*H$41)*(+'Product half-life and C flows'!P63/100)</f>
        <v>0.29004048201112637</v>
      </c>
      <c r="K162" s="54">
        <f t="shared" si="16"/>
        <v>1.3434381331919276</v>
      </c>
      <c r="L162" s="26"/>
      <c r="M162" s="142">
        <f>($C$158-$C$138)*(0.4*$D$14)*('Product half-life and C flows'!$B23/100)</f>
        <v>3.0002191873659245</v>
      </c>
      <c r="N162" s="142">
        <f t="shared" si="32"/>
        <v>57.850184489619735</v>
      </c>
      <c r="O162" s="143">
        <f t="shared" si="33"/>
        <v>7.7764117579468763</v>
      </c>
      <c r="P162" s="142">
        <f t="shared" si="34"/>
        <v>4.9627394570272001</v>
      </c>
      <c r="Q162" s="142">
        <f>($C$158-$C$138)*(0.6*C$15)*('Product half-life and C flows'!L23/100)</f>
        <v>14.581871784567571</v>
      </c>
      <c r="R162" s="142">
        <f>($C$158-$C$138)*0.6*('Product half-life and C flows'!N23/100)</f>
        <v>0.61841047177404773</v>
      </c>
      <c r="S162" s="142">
        <f>($C$158-$C$138)*0.6*('Product half-life and C flows'!P23/100)</f>
        <v>0.30889633954747636</v>
      </c>
      <c r="T162" s="142">
        <f t="shared" si="35"/>
        <v>8.3116669172035156</v>
      </c>
      <c r="U162" s="3"/>
      <c r="V162" s="88"/>
      <c r="W162" s="88"/>
      <c r="X162" s="88"/>
      <c r="Y162" s="88"/>
      <c r="Z162" s="88"/>
      <c r="AA162" s="88"/>
      <c r="AB162" s="88"/>
      <c r="AC162" s="88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CH162">
        <f t="shared" si="20"/>
        <v>4</v>
      </c>
      <c r="CI162" s="113">
        <f t="shared" si="21"/>
        <v>90.502655169824934</v>
      </c>
      <c r="CJ162" s="124">
        <f t="shared" si="22"/>
        <v>3.4398924293222124</v>
      </c>
      <c r="CK162" s="124">
        <f t="shared" si="23"/>
        <v>57.850184489619735</v>
      </c>
      <c r="CL162" s="124">
        <f t="shared" si="24"/>
        <v>13.837034915203692</v>
      </c>
      <c r="CM162" s="124">
        <f t="shared" si="25"/>
        <v>5.71695033881916</v>
      </c>
      <c r="CN162" s="124">
        <f t="shared" si="26"/>
        <v>15.77861886212294</v>
      </c>
      <c r="CO162" s="124">
        <f t="shared" si="27"/>
        <v>1.199071516760323</v>
      </c>
      <c r="CP162" s="124">
        <f t="shared" si="28"/>
        <v>0.59893682155860273</v>
      </c>
      <c r="CQ162" s="124">
        <f t="shared" si="29"/>
        <v>9.6551050503954432</v>
      </c>
      <c r="CR162" s="144">
        <f t="shared" si="36"/>
        <v>108.07579442380212</v>
      </c>
    </row>
    <row r="163" spans="1:96" ht="14">
      <c r="A163">
        <f t="shared" si="37"/>
        <v>5</v>
      </c>
      <c r="B163" s="21">
        <v>85</v>
      </c>
      <c r="C163" s="26">
        <f t="shared" si="31"/>
        <v>91.73975768915416</v>
      </c>
      <c r="D163" s="125">
        <f>(($C$39*$C$118*0.72)*D$40)*('Product half-life and C flows'!B64/100)</f>
        <v>0.42469635726174221</v>
      </c>
      <c r="E163" s="26"/>
      <c r="F163" s="54">
        <f t="shared" si="30"/>
        <v>6.0606231572568161</v>
      </c>
      <c r="G163" s="54">
        <f t="shared" si="30"/>
        <v>0.7542108817919595</v>
      </c>
      <c r="H163" s="125">
        <f>(H$118)*('Product half-life and C flows'!L64/100)</f>
        <v>1.1784545027999367</v>
      </c>
      <c r="I163" s="125">
        <f>(($C$39*$C$118*0.28)*H$41)*('Product half-life and C flows'!N64/100)</f>
        <v>0.58981647865136866</v>
      </c>
      <c r="J163" s="125">
        <f>(($C$39*$C$118*0.28)*H$41)*(+'Product half-life and C flows'!P64/100)</f>
        <v>0.29461362569998417</v>
      </c>
      <c r="K163" s="54">
        <f t="shared" si="16"/>
        <v>1.3434381331919276</v>
      </c>
      <c r="L163" s="26"/>
      <c r="M163" s="142">
        <f>($C$158-$C$138)*(0.4*$D$14)*('Product half-life and C flows'!$B24/100)</f>
        <v>2.8980207078141245</v>
      </c>
      <c r="N163" s="142">
        <f t="shared" si="32"/>
        <v>59.573357912198624</v>
      </c>
      <c r="O163" s="143">
        <f t="shared" si="33"/>
        <v>7.7764117579468763</v>
      </c>
      <c r="P163" s="142">
        <f t="shared" si="34"/>
        <v>4.9627394570272001</v>
      </c>
      <c r="Q163" s="142">
        <f>($C$158-$C$138)*(0.6*C$15)*('Product half-life and C flows'!L24/100)</f>
        <v>14.35898427166201</v>
      </c>
      <c r="R163" s="142">
        <f>($C$158-$C$138)*0.6*('Product half-life and C flows'!N24/100)</f>
        <v>0.76715073871969297</v>
      </c>
      <c r="S163" s="142">
        <f>($C$158-$C$138)*0.6*('Product half-life and C flows'!P24/100)</f>
        <v>0.38319217718266385</v>
      </c>
      <c r="T163" s="142">
        <f t="shared" si="35"/>
        <v>8.1846210348473445</v>
      </c>
      <c r="U163" s="3"/>
      <c r="V163" s="88"/>
      <c r="W163" s="88"/>
      <c r="X163" s="88"/>
      <c r="Y163" s="88"/>
      <c r="Z163" s="88"/>
      <c r="AA163" s="88"/>
      <c r="AB163" s="88"/>
      <c r="AC163" s="88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0"/>
      <c r="AQ163" s="40"/>
      <c r="AR163" s="40"/>
      <c r="AS163" s="40"/>
      <c r="AT163" s="40"/>
      <c r="AU163" s="40"/>
      <c r="AV163" s="40"/>
      <c r="AW163" s="40"/>
      <c r="AX163" s="40"/>
      <c r="CH163">
        <f t="shared" si="20"/>
        <v>5</v>
      </c>
      <c r="CI163" s="113">
        <f t="shared" si="21"/>
        <v>91.73975768915416</v>
      </c>
      <c r="CJ163" s="124">
        <f t="shared" si="22"/>
        <v>3.3227170650758668</v>
      </c>
      <c r="CK163" s="124">
        <f t="shared" si="23"/>
        <v>59.573357912198624</v>
      </c>
      <c r="CL163" s="124">
        <f t="shared" si="24"/>
        <v>13.837034915203692</v>
      </c>
      <c r="CM163" s="124">
        <f t="shared" si="25"/>
        <v>5.71695033881916</v>
      </c>
      <c r="CN163" s="124">
        <f t="shared" si="26"/>
        <v>15.537438774461947</v>
      </c>
      <c r="CO163" s="124">
        <f t="shared" si="27"/>
        <v>1.3569672173710616</v>
      </c>
      <c r="CP163" s="124">
        <f t="shared" si="28"/>
        <v>0.67780580288264802</v>
      </c>
      <c r="CQ163" s="124">
        <f t="shared" si="29"/>
        <v>9.5280591680392721</v>
      </c>
      <c r="CR163" s="144">
        <f t="shared" si="36"/>
        <v>109.55033119405228</v>
      </c>
    </row>
    <row r="164" spans="1:96" ht="14">
      <c r="A164">
        <f t="shared" si="37"/>
        <v>6</v>
      </c>
      <c r="B164" s="21">
        <v>86</v>
      </c>
      <c r="C164" s="26">
        <f t="shared" si="31"/>
        <v>92.96325492803625</v>
      </c>
      <c r="D164" s="125">
        <f>(($C$39*$C$118*0.72)*D$40)*('Product half-life and C flows'!B65/100)</f>
        <v>0.41022964024116199</v>
      </c>
      <c r="E164" s="26"/>
      <c r="F164" s="54">
        <f t="shared" si="30"/>
        <v>6.0606231572568161</v>
      </c>
      <c r="G164" s="54">
        <f t="shared" si="30"/>
        <v>0.7542108817919595</v>
      </c>
      <c r="H164" s="125">
        <f>(H$118)*('Product half-life and C flows'!L65/100)</f>
        <v>1.1604415345691077</v>
      </c>
      <c r="I164" s="125">
        <f>(($C$39*$C$118*0.28)*H$41)*('Product half-life and C flows'!N65/100)</f>
        <v>0.59883196925089854</v>
      </c>
      <c r="J164" s="125">
        <f>(($C$39*$C$118*0.28)*H$41)*(+'Product half-life and C flows'!P65/100)</f>
        <v>0.29911686775769142</v>
      </c>
      <c r="K164" s="54">
        <f t="shared" si="16"/>
        <v>1.3434381331919276</v>
      </c>
      <c r="L164" s="26"/>
      <c r="M164" s="142">
        <f>($C$158-$C$138)*(0.4*$D$14)*('Product half-life and C flows'!$B25/100)</f>
        <v>2.7993034836541577</v>
      </c>
      <c r="N164" s="142">
        <f t="shared" si="32"/>
        <v>61.296531334777512</v>
      </c>
      <c r="O164" s="143">
        <f t="shared" si="33"/>
        <v>7.7764117579468763</v>
      </c>
      <c r="P164" s="142">
        <f t="shared" si="34"/>
        <v>4.9627394570272001</v>
      </c>
      <c r="Q164" s="142">
        <f>($C$158-$C$138)*(0.6*C$15)*('Product half-life and C flows'!L25/100)</f>
        <v>14.139503649459039</v>
      </c>
      <c r="R164" s="142">
        <f>($C$158-$C$138)*0.6*('Product half-life and C flows'!N25/100)</f>
        <v>0.91361747393647497</v>
      </c>
      <c r="S164" s="142">
        <f>($C$158-$C$138)*0.6*('Product half-life and C flows'!P25/100)</f>
        <v>0.4563523845836539</v>
      </c>
      <c r="T164" s="142">
        <f t="shared" si="35"/>
        <v>8.059517080191652</v>
      </c>
      <c r="U164" s="3"/>
      <c r="V164" s="88"/>
      <c r="W164" s="88"/>
      <c r="X164" s="88"/>
      <c r="Y164" s="88"/>
      <c r="Z164" s="88"/>
      <c r="AA164" s="88"/>
      <c r="AB164" s="88"/>
      <c r="AC164" s="88"/>
      <c r="AD164" s="40"/>
      <c r="AE164" s="40"/>
      <c r="AF164" s="40"/>
      <c r="AG164" s="40"/>
      <c r="AH164" s="40"/>
      <c r="AI164" s="40"/>
      <c r="AJ164" s="40"/>
      <c r="AK164" s="40"/>
      <c r="AL164" s="40"/>
      <c r="AM164" s="40"/>
      <c r="AN164" s="40"/>
      <c r="AO164" s="40"/>
      <c r="AP164" s="40"/>
      <c r="AQ164" s="40"/>
      <c r="AR164" s="40"/>
      <c r="AS164" s="40"/>
      <c r="AT164" s="40"/>
      <c r="AU164" s="40"/>
      <c r="AV164" s="40"/>
      <c r="AW164" s="40"/>
      <c r="AX164" s="40"/>
      <c r="CH164">
        <f t="shared" si="20"/>
        <v>6</v>
      </c>
      <c r="CI164" s="113">
        <f t="shared" si="21"/>
        <v>92.96325492803625</v>
      </c>
      <c r="CJ164" s="124">
        <f t="shared" si="22"/>
        <v>3.2095331238953198</v>
      </c>
      <c r="CK164" s="124">
        <f t="shared" si="23"/>
        <v>61.296531334777512</v>
      </c>
      <c r="CL164" s="124">
        <f t="shared" si="24"/>
        <v>13.837034915203692</v>
      </c>
      <c r="CM164" s="124">
        <f t="shared" si="25"/>
        <v>5.71695033881916</v>
      </c>
      <c r="CN164" s="124">
        <f t="shared" si="26"/>
        <v>15.299945184028147</v>
      </c>
      <c r="CO164" s="124">
        <f t="shared" si="27"/>
        <v>1.5124494431873736</v>
      </c>
      <c r="CP164" s="124">
        <f t="shared" si="28"/>
        <v>0.75546925234134532</v>
      </c>
      <c r="CQ164" s="124">
        <f t="shared" si="29"/>
        <v>9.4029552133835796</v>
      </c>
      <c r="CR164" s="144">
        <f t="shared" si="36"/>
        <v>111.03086880563613</v>
      </c>
    </row>
    <row r="165" spans="1:96" ht="14">
      <c r="A165">
        <f t="shared" si="37"/>
        <v>7</v>
      </c>
      <c r="B165" s="21">
        <v>87</v>
      </c>
      <c r="C165" s="26">
        <f t="shared" si="31"/>
        <v>94.17303556736168</v>
      </c>
      <c r="D165" s="125">
        <f>(($C$39*$C$118*0.72)*D$40)*('Product half-life and C flows'!B66/100)</f>
        <v>0.39625571271070803</v>
      </c>
      <c r="E165" s="26"/>
      <c r="F165" s="54">
        <f t="shared" si="30"/>
        <v>6.0606231572568161</v>
      </c>
      <c r="G165" s="54">
        <f t="shared" si="30"/>
        <v>0.7542108817919595</v>
      </c>
      <c r="H165" s="125">
        <f>(H$118)*('Product half-life and C flows'!L66/100)</f>
        <v>1.1427038990080711</v>
      </c>
      <c r="I165" s="125">
        <f>(($C$39*$C$118*0.28)*H$41)*('Product half-life and C flows'!N66/100)</f>
        <v>0.60770965584919734</v>
      </c>
      <c r="J165" s="125">
        <f>(($C$39*$C$118*0.28)*H$41)*(+'Product half-life and C flows'!P66/100)</f>
        <v>0.30355127664795062</v>
      </c>
      <c r="K165" s="54">
        <f t="shared" si="16"/>
        <v>1.3434381331919276</v>
      </c>
      <c r="L165" s="26"/>
      <c r="M165" s="142">
        <f>($C$158-$C$138)*(0.4*$D$14)*('Product half-life and C flows'!$B26/100)</f>
        <v>2.7039489305474285</v>
      </c>
      <c r="N165" s="142">
        <f t="shared" si="32"/>
        <v>63.019704757356401</v>
      </c>
      <c r="O165" s="143">
        <f t="shared" si="33"/>
        <v>7.7764117579468763</v>
      </c>
      <c r="P165" s="142">
        <f t="shared" si="34"/>
        <v>4.9627394570272001</v>
      </c>
      <c r="Q165" s="142">
        <f>($C$158-$C$138)*(0.6*C$15)*('Product half-life and C flows'!L26/100)</f>
        <v>13.923377842792547</v>
      </c>
      <c r="R165" s="142">
        <f>($C$158-$C$138)*0.6*('Product half-life and C flows'!N26/100)</f>
        <v>1.0578454289185806</v>
      </c>
      <c r="S165" s="142">
        <f>($C$158-$C$138)*0.6*('Product half-life and C flows'!P26/100)</f>
        <v>0.52839432013915122</v>
      </c>
      <c r="T165" s="142">
        <f t="shared" si="35"/>
        <v>7.9363253703917511</v>
      </c>
      <c r="U165" s="3"/>
      <c r="V165" s="88"/>
      <c r="W165" s="88"/>
      <c r="X165" s="88"/>
      <c r="Y165" s="88"/>
      <c r="Z165" s="88"/>
      <c r="AA165" s="88"/>
      <c r="AB165" s="88"/>
      <c r="AC165" s="88"/>
      <c r="AD165" s="40"/>
      <c r="AE165" s="40"/>
      <c r="AF165" s="40"/>
      <c r="AG165" s="40"/>
      <c r="AH165" s="40"/>
      <c r="AI165" s="40"/>
      <c r="AJ165" s="40"/>
      <c r="AK165" s="40"/>
      <c r="AL165" s="40"/>
      <c r="AM165" s="40"/>
      <c r="AN165" s="40"/>
      <c r="AO165" s="40"/>
      <c r="AP165" s="40"/>
      <c r="AQ165" s="40"/>
      <c r="AR165" s="40"/>
      <c r="AS165" s="40"/>
      <c r="AT165" s="40"/>
      <c r="AU165" s="40"/>
      <c r="AV165" s="40"/>
      <c r="AW165" s="40"/>
      <c r="AX165" s="40"/>
      <c r="CH165">
        <f t="shared" si="20"/>
        <v>7</v>
      </c>
      <c r="CI165" s="113">
        <f t="shared" si="21"/>
        <v>94.17303556736168</v>
      </c>
      <c r="CJ165" s="124">
        <f t="shared" si="22"/>
        <v>3.1002046432581363</v>
      </c>
      <c r="CK165" s="124">
        <f t="shared" si="23"/>
        <v>63.019704757356401</v>
      </c>
      <c r="CL165" s="124">
        <f t="shared" si="24"/>
        <v>13.837034915203692</v>
      </c>
      <c r="CM165" s="124">
        <f t="shared" si="25"/>
        <v>5.71695033881916</v>
      </c>
      <c r="CN165" s="124">
        <f t="shared" si="26"/>
        <v>15.066081741800618</v>
      </c>
      <c r="CO165" s="124">
        <f t="shared" si="27"/>
        <v>1.665555084767778</v>
      </c>
      <c r="CP165" s="124">
        <f t="shared" si="28"/>
        <v>0.83194559678710189</v>
      </c>
      <c r="CQ165" s="124">
        <f t="shared" si="29"/>
        <v>9.2797635035836787</v>
      </c>
      <c r="CR165" s="144">
        <f t="shared" si="36"/>
        <v>112.51724058157656</v>
      </c>
    </row>
    <row r="166" spans="1:96" ht="14">
      <c r="A166">
        <f t="shared" si="37"/>
        <v>8</v>
      </c>
      <c r="B166" s="21">
        <v>88</v>
      </c>
      <c r="C166" s="26">
        <f t="shared" si="31"/>
        <v>95.369002723123899</v>
      </c>
      <c r="D166" s="125">
        <f>(($C$39*$C$118*0.72)*D$40)*('Product half-life and C flows'!B67/100)</f>
        <v>0.38275778845127956</v>
      </c>
      <c r="E166" s="26"/>
      <c r="F166" s="54">
        <f t="shared" si="30"/>
        <v>6.0606231572568161</v>
      </c>
      <c r="G166" s="54">
        <f t="shared" si="30"/>
        <v>0.7542108817919595</v>
      </c>
      <c r="H166" s="125">
        <f>(H$118)*('Product half-life and C flows'!L67/100)</f>
        <v>1.1252373875889439</v>
      </c>
      <c r="I166" s="125">
        <f>(($C$39*$C$118*0.28)*H$41)*('Product half-life and C flows'!N67/100)</f>
        <v>0.61645164481447046</v>
      </c>
      <c r="J166" s="125">
        <f>(($C$39*$C$118*0.28)*H$41)*(+'Product half-life and C flows'!P67/100)</f>
        <v>0.30791790450273232</v>
      </c>
      <c r="K166" s="54">
        <f t="shared" si="16"/>
        <v>1.3434381331919276</v>
      </c>
      <c r="L166" s="26"/>
      <c r="M166" s="142">
        <f>($C$158-$C$138)*(0.4*$D$14)*('Product half-life and C flows'!$B27/100)</f>
        <v>2.6118425035732455</v>
      </c>
      <c r="N166" s="142">
        <f t="shared" si="32"/>
        <v>64.742878179935289</v>
      </c>
      <c r="O166" s="143">
        <f t="shared" si="33"/>
        <v>7.7764117579468763</v>
      </c>
      <c r="P166" s="142">
        <f t="shared" si="34"/>
        <v>4.9627394570272001</v>
      </c>
      <c r="Q166" s="142">
        <f>($C$158-$C$138)*(0.6*C$15)*('Product half-life and C flows'!L27/100)</f>
        <v>13.710555572478198</v>
      </c>
      <c r="R166" s="142">
        <f>($C$158-$C$138)*0.6*('Product half-life and C flows'!N27/100)</f>
        <v>1.1998688239750228</v>
      </c>
      <c r="S166" s="142">
        <f>($C$158-$C$138)*0.6*('Product half-life and C flows'!P27/100)</f>
        <v>0.59933507691060084</v>
      </c>
      <c r="T166" s="142">
        <f t="shared" si="35"/>
        <v>7.8150166763125721</v>
      </c>
      <c r="U166" s="3"/>
      <c r="V166" s="88"/>
      <c r="W166" s="88"/>
      <c r="X166" s="88"/>
      <c r="Y166" s="88"/>
      <c r="Z166" s="88"/>
      <c r="AA166" s="88"/>
      <c r="AB166" s="88"/>
      <c r="AC166" s="88"/>
      <c r="AD166" s="40"/>
      <c r="AE166" s="40"/>
      <c r="AF166" s="40"/>
      <c r="AG166" s="40"/>
      <c r="AH166" s="40"/>
      <c r="AI166" s="40"/>
      <c r="AJ166" s="40"/>
      <c r="AK166" s="40"/>
      <c r="AL166" s="40"/>
      <c r="AM166" s="40"/>
      <c r="AN166" s="40"/>
      <c r="AO166" s="40"/>
      <c r="AP166" s="40"/>
      <c r="AQ166" s="40"/>
      <c r="AR166" s="40"/>
      <c r="AS166" s="40"/>
      <c r="AT166" s="40"/>
      <c r="AU166" s="40"/>
      <c r="AV166" s="40"/>
      <c r="AW166" s="40"/>
      <c r="AX166" s="40"/>
      <c r="CH166">
        <f t="shared" si="20"/>
        <v>8</v>
      </c>
      <c r="CI166" s="113">
        <f t="shared" si="21"/>
        <v>95.369002723123899</v>
      </c>
      <c r="CJ166" s="124">
        <f t="shared" si="22"/>
        <v>2.9946002920245252</v>
      </c>
      <c r="CK166" s="124">
        <f t="shared" si="23"/>
        <v>64.742878179935289</v>
      </c>
      <c r="CL166" s="124">
        <f t="shared" si="24"/>
        <v>13.837034915203692</v>
      </c>
      <c r="CM166" s="124">
        <f t="shared" si="25"/>
        <v>5.71695033881916</v>
      </c>
      <c r="CN166" s="124">
        <f t="shared" si="26"/>
        <v>14.835792960067142</v>
      </c>
      <c r="CO166" s="124">
        <f t="shared" si="27"/>
        <v>1.8163204687894932</v>
      </c>
      <c r="CP166" s="124">
        <f t="shared" si="28"/>
        <v>0.90725298141333321</v>
      </c>
      <c r="CQ166" s="124">
        <f t="shared" si="29"/>
        <v>9.1584548095044997</v>
      </c>
      <c r="CR166" s="144">
        <f t="shared" si="36"/>
        <v>114.00928494575714</v>
      </c>
    </row>
    <row r="167" spans="1:96" ht="14">
      <c r="A167">
        <f t="shared" si="37"/>
        <v>9</v>
      </c>
      <c r="B167" s="21">
        <v>89</v>
      </c>
      <c r="C167" s="26">
        <f t="shared" si="31"/>
        <v>96.551073338095861</v>
      </c>
      <c r="D167" s="125">
        <f>(($C$39*$C$118*0.72)*D$40)*('Product half-life and C flows'!B68/100)</f>
        <v>0.36971965304402166</v>
      </c>
      <c r="E167" s="26"/>
      <c r="F167" s="54">
        <f t="shared" si="30"/>
        <v>6.0606231572568161</v>
      </c>
      <c r="G167" s="54">
        <f t="shared" si="30"/>
        <v>0.7542108817919595</v>
      </c>
      <c r="H167" s="125">
        <f>(H$118)*('Product half-life and C flows'!L68/100)</f>
        <v>1.1080378561122319</v>
      </c>
      <c r="I167" s="125">
        <f>(($C$39*$C$118*0.28)*H$41)*('Product half-life and C flows'!N68/100)</f>
        <v>0.62506001031856484</v>
      </c>
      <c r="J167" s="125">
        <f>(($C$39*$C$118*0.28)*H$41)*(+'Product half-life and C flows'!P68/100)</f>
        <v>0.3122177873719103</v>
      </c>
      <c r="K167" s="54">
        <f t="shared" si="16"/>
        <v>1.3434381331919276</v>
      </c>
      <c r="L167" s="26"/>
      <c r="M167" s="142">
        <f>($C$158-$C$138)*(0.4*$D$14)*('Product half-life and C flows'!$B28/100)</f>
        <v>2.5228735596314182</v>
      </c>
      <c r="N167" s="142">
        <f t="shared" si="32"/>
        <v>66.466051602514185</v>
      </c>
      <c r="O167" s="143">
        <f t="shared" si="33"/>
        <v>7.7764117579468763</v>
      </c>
      <c r="P167" s="142">
        <f t="shared" si="34"/>
        <v>4.9627394570272001</v>
      </c>
      <c r="Q167" s="142">
        <f>($C$158-$C$138)*(0.6*C$15)*('Product half-life and C flows'!L28/100)</f>
        <v>13.500986343146657</v>
      </c>
      <c r="R167" s="142">
        <f>($C$158-$C$138)*0.6*('Product half-life and C flows'!N28/100)</f>
        <v>1.3397213563489379</v>
      </c>
      <c r="S167" s="142">
        <f>($C$158-$C$138)*0.6*('Product half-life and C flows'!P28/100)</f>
        <v>0.66919148668778117</v>
      </c>
      <c r="T167" s="142">
        <f t="shared" si="35"/>
        <v>7.6955622155935934</v>
      </c>
      <c r="U167" s="3"/>
      <c r="V167" s="88"/>
      <c r="W167" s="88"/>
      <c r="X167" s="88"/>
      <c r="Y167" s="88"/>
      <c r="Z167" s="88"/>
      <c r="AA167" s="88"/>
      <c r="AB167" s="88"/>
      <c r="AC167" s="88"/>
      <c r="AD167" s="40"/>
      <c r="AE167" s="40"/>
      <c r="AF167" s="40"/>
      <c r="AG167" s="40"/>
      <c r="AH167" s="40"/>
      <c r="AI167" s="40"/>
      <c r="AJ167" s="40"/>
      <c r="AK167" s="40"/>
      <c r="AL167" s="40"/>
      <c r="AM167" s="40"/>
      <c r="AN167" s="40"/>
      <c r="AO167" s="40"/>
      <c r="AP167" s="40"/>
      <c r="AQ167" s="40"/>
      <c r="AR167" s="40"/>
      <c r="AS167" s="40"/>
      <c r="AT167" s="40"/>
      <c r="AU167" s="40"/>
      <c r="AV167" s="40"/>
      <c r="AW167" s="40"/>
      <c r="AX167" s="40"/>
      <c r="CH167">
        <f t="shared" si="20"/>
        <v>9</v>
      </c>
      <c r="CI167" s="113">
        <f t="shared" si="21"/>
        <v>96.551073338095861</v>
      </c>
      <c r="CJ167" s="124">
        <f t="shared" si="22"/>
        <v>2.8925932126754397</v>
      </c>
      <c r="CK167" s="124">
        <f t="shared" si="23"/>
        <v>66.466051602514185</v>
      </c>
      <c r="CL167" s="124">
        <f t="shared" si="24"/>
        <v>13.837034915203692</v>
      </c>
      <c r="CM167" s="124">
        <f t="shared" si="25"/>
        <v>5.71695033881916</v>
      </c>
      <c r="CN167" s="124">
        <f t="shared" si="26"/>
        <v>14.609024199258888</v>
      </c>
      <c r="CO167" s="124">
        <f t="shared" si="27"/>
        <v>1.9647813666675027</v>
      </c>
      <c r="CP167" s="124">
        <f t="shared" si="28"/>
        <v>0.98140927405969147</v>
      </c>
      <c r="CQ167" s="124">
        <f t="shared" si="29"/>
        <v>9.0390003487855211</v>
      </c>
      <c r="CR167" s="144">
        <f t="shared" si="36"/>
        <v>115.50684525798407</v>
      </c>
    </row>
    <row r="168" spans="1:96" ht="14">
      <c r="A168">
        <f t="shared" si="37"/>
        <v>10</v>
      </c>
      <c r="B168" s="21">
        <v>90</v>
      </c>
      <c r="C168" s="26">
        <f t="shared" si="31"/>
        <v>97.71917758904894</v>
      </c>
      <c r="D168" s="125">
        <f>(($C$39*$C$118*0.72)*D$40)*('Product half-life and C flows'!B69/100)</f>
        <v>0.35712564439270988</v>
      </c>
      <c r="E168" s="26"/>
      <c r="F168" s="54">
        <f t="shared" ref="F168:G183" si="38">F167</f>
        <v>6.0606231572568161</v>
      </c>
      <c r="G168" s="54">
        <f t="shared" si="38"/>
        <v>0.7542108817919595</v>
      </c>
      <c r="H168" s="125">
        <f>(H$118)*('Product half-life and C flows'!L69/100)</f>
        <v>1.0911012237235533</v>
      </c>
      <c r="I168" s="125">
        <f>(($C$39*$C$118*0.28)*H$41)*('Product half-life and C flows'!N69/100)</f>
        <v>0.63353679482909853</v>
      </c>
      <c r="J168" s="125">
        <f>(($C$39*$C$118*0.28)*H$41)*(+'Product half-life and C flows'!P69/100)</f>
        <v>0.31645194546908006</v>
      </c>
      <c r="K168" s="54">
        <f t="shared" si="16"/>
        <v>1.3434381331919276</v>
      </c>
      <c r="L168" s="26"/>
      <c r="M168" s="142">
        <f>($C$158-$C$138)*(0.4*$D$14)*('Product half-life and C flows'!$B29/100)</f>
        <v>2.43693522453193</v>
      </c>
      <c r="N168" s="142">
        <f t="shared" si="32"/>
        <v>68.18922502509308</v>
      </c>
      <c r="O168" s="143">
        <f t="shared" si="33"/>
        <v>7.7764117579468763</v>
      </c>
      <c r="P168" s="142">
        <f t="shared" si="34"/>
        <v>4.9627394570272001</v>
      </c>
      <c r="Q168" s="142">
        <f>($C$158-$C$138)*(0.6*C$15)*('Product half-life and C flows'!L29/100)</f>
        <v>13.294620431262789</v>
      </c>
      <c r="R168" s="142">
        <f>($C$158-$C$138)*0.6*('Product half-life and C flows'!N29/100)</f>
        <v>1.4774362082127719</v>
      </c>
      <c r="S168" s="142">
        <f>($C$158-$C$138)*0.6*('Product half-life and C flows'!P29/100)</f>
        <v>0.73798012398240365</v>
      </c>
      <c r="T168" s="142">
        <f t="shared" si="35"/>
        <v>7.5779336458197895</v>
      </c>
      <c r="U168" s="3"/>
      <c r="V168" s="88"/>
      <c r="W168" s="88"/>
      <c r="X168" s="88"/>
      <c r="Y168" s="88"/>
      <c r="Z168" s="88"/>
      <c r="AA168" s="88"/>
      <c r="AB168" s="88"/>
      <c r="AC168" s="88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CH168">
        <f t="shared" si="20"/>
        <v>10</v>
      </c>
      <c r="CI168" s="113">
        <f t="shared" si="21"/>
        <v>97.71917758904894</v>
      </c>
      <c r="CJ168" s="124">
        <f t="shared" si="22"/>
        <v>2.7940608689246398</v>
      </c>
      <c r="CK168" s="124">
        <f t="shared" si="23"/>
        <v>68.18922502509308</v>
      </c>
      <c r="CL168" s="124">
        <f t="shared" si="24"/>
        <v>13.837034915203692</v>
      </c>
      <c r="CM168" s="124">
        <f t="shared" si="25"/>
        <v>5.71695033881916</v>
      </c>
      <c r="CN168" s="124">
        <f t="shared" si="26"/>
        <v>14.385721654986343</v>
      </c>
      <c r="CO168" s="124">
        <f t="shared" si="27"/>
        <v>2.1109730030418703</v>
      </c>
      <c r="CP168" s="124">
        <f t="shared" si="28"/>
        <v>1.0544320694514837</v>
      </c>
      <c r="CQ168" s="124">
        <f t="shared" si="29"/>
        <v>8.921371779011718</v>
      </c>
      <c r="CR168" s="144">
        <f t="shared" si="36"/>
        <v>117.00976965453198</v>
      </c>
    </row>
    <row r="169" spans="1:96" ht="14">
      <c r="A169">
        <f t="shared" si="37"/>
        <v>11</v>
      </c>
      <c r="B169" s="21">
        <v>91</v>
      </c>
      <c r="C169" s="26">
        <f t="shared" si="31"/>
        <v>98.87325830960242</v>
      </c>
      <c r="D169" s="125">
        <f>(($C$39*$C$118*0.72)*D$40)*('Product half-life and C flows'!B70/100)</f>
        <v>0.34496063390961418</v>
      </c>
      <c r="E169" s="26"/>
      <c r="F169" s="54">
        <f t="shared" si="38"/>
        <v>6.0606231572568161</v>
      </c>
      <c r="G169" s="54">
        <f t="shared" si="38"/>
        <v>0.7542108817919595</v>
      </c>
      <c r="H169" s="125">
        <f>(H$118)*('Product half-life and C flows'!L70/100)</f>
        <v>1.0744234719453944</v>
      </c>
      <c r="I169" s="125">
        <f>(($C$39*$C$118*0.28)*H$41)*('Product half-life and C flows'!N70/100)</f>
        <v>0.641884009594067</v>
      </c>
      <c r="J169" s="125">
        <f>(($C$39*$C$118*0.28)*H$41)*(+'Product half-life and C flows'!P70/100)</f>
        <v>0.32062138341361973</v>
      </c>
      <c r="K169" s="54">
        <f t="shared" si="16"/>
        <v>1.3434381331919276</v>
      </c>
      <c r="L169" s="26"/>
      <c r="M169" s="142">
        <f>($C$158-$C$138)*(0.4*$D$14)*('Product half-life and C flows'!$B30/100)</f>
        <v>2.3539242646120164</v>
      </c>
      <c r="N169" s="142">
        <f t="shared" si="32"/>
        <v>69.912398447671976</v>
      </c>
      <c r="O169" s="143">
        <f t="shared" si="33"/>
        <v>7.7764117579468763</v>
      </c>
      <c r="P169" s="142">
        <f t="shared" si="34"/>
        <v>4.9627394570272001</v>
      </c>
      <c r="Q169" s="142">
        <f>($C$158-$C$138)*(0.6*C$15)*('Product half-life and C flows'!L30/100)</f>
        <v>13.091408873327982</v>
      </c>
      <c r="R169" s="142">
        <f>($C$158-$C$138)*0.6*('Product half-life and C flows'!N30/100)</f>
        <v>1.6130460545412677</v>
      </c>
      <c r="S169" s="142">
        <f>($C$158-$C$138)*0.6*('Product half-life and C flows'!P30/100)</f>
        <v>0.80571730996067314</v>
      </c>
      <c r="T169" s="142">
        <f t="shared" si="35"/>
        <v>7.4621030577969494</v>
      </c>
      <c r="U169" s="3"/>
      <c r="V169" s="88"/>
      <c r="W169" s="88"/>
      <c r="X169" s="88"/>
      <c r="Y169" s="88"/>
      <c r="Z169" s="88"/>
      <c r="AA169" s="88"/>
      <c r="AB169" s="88"/>
      <c r="AC169" s="88"/>
      <c r="AD169" s="40"/>
      <c r="AE169" s="40"/>
      <c r="AF169" s="40"/>
      <c r="AG169" s="40"/>
      <c r="AH169" s="40"/>
      <c r="AI169" s="40"/>
      <c r="AJ169" s="40"/>
      <c r="AK169" s="40"/>
      <c r="AL169" s="40"/>
      <c r="AM169" s="40"/>
      <c r="AN169" s="40"/>
      <c r="AO169" s="40"/>
      <c r="AP169" s="40"/>
      <c r="AQ169" s="40"/>
      <c r="AR169" s="40"/>
      <c r="AS169" s="40"/>
      <c r="AT169" s="40"/>
      <c r="AU169" s="40"/>
      <c r="AV169" s="40"/>
      <c r="AW169" s="40"/>
      <c r="AX169" s="40"/>
      <c r="CH169">
        <f t="shared" si="20"/>
        <v>11</v>
      </c>
      <c r="CI169" s="113">
        <f t="shared" si="21"/>
        <v>98.87325830960242</v>
      </c>
      <c r="CJ169" s="124">
        <f t="shared" si="22"/>
        <v>2.6988848985216305</v>
      </c>
      <c r="CK169" s="124">
        <f t="shared" si="23"/>
        <v>69.912398447671976</v>
      </c>
      <c r="CL169" s="124">
        <f t="shared" si="24"/>
        <v>13.837034915203692</v>
      </c>
      <c r="CM169" s="124">
        <f t="shared" si="25"/>
        <v>5.71695033881916</v>
      </c>
      <c r="CN169" s="124">
        <f t="shared" si="26"/>
        <v>14.165832345273376</v>
      </c>
      <c r="CO169" s="124">
        <f t="shared" si="27"/>
        <v>2.2549300641353347</v>
      </c>
      <c r="CP169" s="124">
        <f t="shared" si="28"/>
        <v>1.1263386933742929</v>
      </c>
      <c r="CQ169" s="124">
        <f t="shared" si="29"/>
        <v>8.8055411909888761</v>
      </c>
      <c r="CR169" s="144">
        <f t="shared" si="36"/>
        <v>118.51791089398833</v>
      </c>
    </row>
    <row r="170" spans="1:96" ht="14">
      <c r="A170">
        <f t="shared" si="37"/>
        <v>12</v>
      </c>
      <c r="B170" s="21">
        <v>92</v>
      </c>
      <c r="C170" s="26">
        <f t="shared" si="31"/>
        <v>100.0132704287426</v>
      </c>
      <c r="D170" s="125">
        <f>(($C$39*$C$118*0.72)*D$40)*('Product half-life and C flows'!B71/100)</f>
        <v>0.33321000834224013</v>
      </c>
      <c r="E170" s="26"/>
      <c r="F170" s="54">
        <f t="shared" si="38"/>
        <v>6.0606231572568161</v>
      </c>
      <c r="G170" s="54">
        <f t="shared" si="38"/>
        <v>0.7542108817919595</v>
      </c>
      <c r="H170" s="125">
        <f>(H$118)*('Product half-life and C flows'!L71/100)</f>
        <v>1.0580006437236629</v>
      </c>
      <c r="I170" s="125">
        <f>(($C$39*$C$118*0.28)*H$41)*('Product half-life and C flows'!N71/100)</f>
        <v>0.65010363511904368</v>
      </c>
      <c r="J170" s="125">
        <f>(($C$39*$C$118*0.28)*H$41)*(+'Product half-life and C flows'!P71/100)</f>
        <v>0.32472709046905263</v>
      </c>
      <c r="K170" s="54">
        <f t="shared" si="16"/>
        <v>1.3434381331919276</v>
      </c>
      <c r="L170" s="26"/>
      <c r="M170" s="142">
        <f>($C$158-$C$138)*(0.4*$D$14)*('Product half-life and C flows'!$B31/100)</f>
        <v>2.2737409627264475</v>
      </c>
      <c r="N170" s="142">
        <f t="shared" si="32"/>
        <v>71.635571870250871</v>
      </c>
      <c r="O170" s="143">
        <f t="shared" si="33"/>
        <v>7.7764117579468763</v>
      </c>
      <c r="P170" s="142">
        <f t="shared" si="34"/>
        <v>4.9627394570272001</v>
      </c>
      <c r="Q170" s="142">
        <f>($C$158-$C$138)*(0.6*C$15)*('Product half-life and C flows'!L31/100)</f>
        <v>12.891303454262784</v>
      </c>
      <c r="R170" s="142">
        <f>($C$158-$C$138)*0.6*('Product half-life and C flows'!N31/100)</f>
        <v>1.7465830708641092</v>
      </c>
      <c r="S170" s="142">
        <f>($C$158-$C$138)*0.6*('Product half-life and C flows'!P31/100)</f>
        <v>0.87241911631573887</v>
      </c>
      <c r="T170" s="142">
        <f t="shared" si="35"/>
        <v>7.3480429689297866</v>
      </c>
      <c r="U170" s="3"/>
      <c r="V170" s="88"/>
      <c r="W170" s="88"/>
      <c r="X170" s="88"/>
      <c r="Y170" s="88"/>
      <c r="Z170" s="88"/>
      <c r="AA170" s="88"/>
      <c r="AB170" s="88"/>
      <c r="AC170" s="88"/>
      <c r="AD170" s="40"/>
      <c r="AE170" s="40"/>
      <c r="AF170" s="40"/>
      <c r="AG170" s="40"/>
      <c r="AH170" s="40"/>
      <c r="AI170" s="40"/>
      <c r="AJ170" s="40"/>
      <c r="AK170" s="40"/>
      <c r="AL170" s="40"/>
      <c r="AM170" s="40"/>
      <c r="AN170" s="40"/>
      <c r="AO170" s="40"/>
      <c r="AP170" s="40"/>
      <c r="AQ170" s="40"/>
      <c r="AR170" s="40"/>
      <c r="AS170" s="40"/>
      <c r="AT170" s="40"/>
      <c r="AU170" s="40"/>
      <c r="AV170" s="40"/>
      <c r="AW170" s="40"/>
      <c r="AX170" s="40"/>
      <c r="CH170">
        <f t="shared" si="20"/>
        <v>12</v>
      </c>
      <c r="CI170" s="113">
        <f t="shared" si="21"/>
        <v>100.0132704287426</v>
      </c>
      <c r="CJ170" s="124">
        <f t="shared" si="22"/>
        <v>2.6069509710686876</v>
      </c>
      <c r="CK170" s="124">
        <f t="shared" si="23"/>
        <v>71.635571870250871</v>
      </c>
      <c r="CL170" s="124">
        <f t="shared" si="24"/>
        <v>13.837034915203692</v>
      </c>
      <c r="CM170" s="124">
        <f t="shared" si="25"/>
        <v>5.71695033881916</v>
      </c>
      <c r="CN170" s="124">
        <f t="shared" si="26"/>
        <v>13.949304097986447</v>
      </c>
      <c r="CO170" s="124">
        <f t="shared" si="27"/>
        <v>2.3966867059831527</v>
      </c>
      <c r="CP170" s="124">
        <f t="shared" si="28"/>
        <v>1.1971462067847916</v>
      </c>
      <c r="CQ170" s="124">
        <f t="shared" si="29"/>
        <v>8.6914811021217133</v>
      </c>
      <c r="CR170" s="144">
        <f t="shared" si="36"/>
        <v>120.03112620821851</v>
      </c>
    </row>
    <row r="171" spans="1:96" ht="14">
      <c r="A171">
        <f t="shared" si="37"/>
        <v>13</v>
      </c>
      <c r="B171" s="21">
        <v>93</v>
      </c>
      <c r="C171" s="26">
        <f t="shared" si="31"/>
        <v>101.13918042500804</v>
      </c>
      <c r="D171" s="125">
        <f>(($C$39*$C$118*0.72)*D$40)*('Product half-life and C flows'!B72/100)</f>
        <v>0.32185965221912066</v>
      </c>
      <c r="E171" s="26"/>
      <c r="F171" s="54">
        <f t="shared" si="38"/>
        <v>6.0606231572568161</v>
      </c>
      <c r="G171" s="54">
        <f t="shared" si="38"/>
        <v>0.7542108817919595</v>
      </c>
      <c r="H171" s="125">
        <f>(H$118)*('Product half-life and C flows'!L72/100)</f>
        <v>1.0418288424888158</v>
      </c>
      <c r="I171" s="125">
        <f>(($C$39*$C$118*0.28)*H$41)*('Product half-life and C flows'!N72/100)</f>
        <v>0.65819762163708462</v>
      </c>
      <c r="J171" s="125">
        <f>(($C$39*$C$118*0.28)*H$41)*(+'Product half-life and C flows'!P72/100)</f>
        <v>0.32877004077776445</v>
      </c>
      <c r="K171" s="54">
        <f t="shared" si="16"/>
        <v>1.3434381331919276</v>
      </c>
      <c r="L171" s="26"/>
      <c r="M171" s="142">
        <f>($C$158-$C$138)*(0.4*$D$14)*('Product half-life and C flows'!$B32/100)</f>
        <v>2.1962889984620291</v>
      </c>
      <c r="N171" s="142">
        <f t="shared" si="32"/>
        <v>73.358745292829767</v>
      </c>
      <c r="O171" s="143">
        <f t="shared" si="33"/>
        <v>7.7764117579468763</v>
      </c>
      <c r="P171" s="142">
        <f t="shared" si="34"/>
        <v>4.9627394570272001</v>
      </c>
      <c r="Q171" s="142">
        <f>($C$158-$C$138)*(0.6*C$15)*('Product half-life and C flows'!L32/100)</f>
        <v>12.694256695967157</v>
      </c>
      <c r="R171" s="142">
        <f>($C$158-$C$138)*0.6*('Product half-life and C flows'!N32/100)</f>
        <v>1.8780789409000571</v>
      </c>
      <c r="S171" s="142">
        <f>($C$158-$C$138)*0.6*('Product half-life and C flows'!P32/100)</f>
        <v>0.93810136908094788</v>
      </c>
      <c r="T171" s="142">
        <f t="shared" si="35"/>
        <v>7.2357263167012791</v>
      </c>
      <c r="U171" s="3"/>
      <c r="V171" s="88"/>
      <c r="W171" s="88"/>
      <c r="X171" s="88"/>
      <c r="Y171" s="88"/>
      <c r="Z171" s="88"/>
      <c r="AA171" s="88"/>
      <c r="AB171" s="88"/>
      <c r="AC171" s="88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  <c r="AN171" s="40"/>
      <c r="AO171" s="40"/>
      <c r="AP171" s="40"/>
      <c r="AQ171" s="40"/>
      <c r="AR171" s="40"/>
      <c r="AS171" s="40"/>
      <c r="AT171" s="40"/>
      <c r="AU171" s="40"/>
      <c r="AV171" s="40"/>
      <c r="AW171" s="40"/>
      <c r="AX171" s="40"/>
      <c r="CH171">
        <f t="shared" si="20"/>
        <v>13</v>
      </c>
      <c r="CI171" s="113">
        <f t="shared" si="21"/>
        <v>101.13918042500804</v>
      </c>
      <c r="CJ171" s="124">
        <f t="shared" si="22"/>
        <v>2.5181486506811499</v>
      </c>
      <c r="CK171" s="124">
        <f t="shared" si="23"/>
        <v>73.358745292829767</v>
      </c>
      <c r="CL171" s="124">
        <f t="shared" si="24"/>
        <v>13.837034915203692</v>
      </c>
      <c r="CM171" s="124">
        <f t="shared" si="25"/>
        <v>5.71695033881916</v>
      </c>
      <c r="CN171" s="124">
        <f t="shared" si="26"/>
        <v>13.736085538455972</v>
      </c>
      <c r="CO171" s="124">
        <f t="shared" si="27"/>
        <v>2.5362765625371417</v>
      </c>
      <c r="CP171" s="124">
        <f t="shared" si="28"/>
        <v>1.2668714098587124</v>
      </c>
      <c r="CQ171" s="124">
        <f t="shared" si="29"/>
        <v>8.5791644498932058</v>
      </c>
      <c r="CR171" s="144">
        <f t="shared" si="36"/>
        <v>121.54927715827878</v>
      </c>
    </row>
    <row r="172" spans="1:96" ht="14">
      <c r="A172">
        <f t="shared" si="37"/>
        <v>14</v>
      </c>
      <c r="B172" s="21">
        <v>94</v>
      </c>
      <c r="C172" s="26">
        <f t="shared" si="31"/>
        <v>102.25096579629684</v>
      </c>
      <c r="D172" s="125">
        <f>(($C$39*$C$118*0.72)*D$40)*('Product half-life and C flows'!B73/100)</f>
        <v>0.31089593089356488</v>
      </c>
      <c r="E172" s="26"/>
      <c r="F172" s="54">
        <f t="shared" si="38"/>
        <v>6.0606231572568161</v>
      </c>
      <c r="G172" s="54">
        <f t="shared" si="38"/>
        <v>0.7542108817919595</v>
      </c>
      <c r="H172" s="125">
        <f>(H$118)*('Product half-life and C flows'!L73/100)</f>
        <v>1.0259042312313387</v>
      </c>
      <c r="I172" s="125">
        <f>(($C$39*$C$118*0.28)*H$41)*('Product half-life and C flows'!N73/100)</f>
        <v>0.66616788957145179</v>
      </c>
      <c r="J172" s="125">
        <f>(($C$39*$C$118*0.28)*H$41)*(+'Product half-life and C flows'!P73/100)</f>
        <v>0.33275119359213368</v>
      </c>
      <c r="K172" s="54">
        <f t="shared" si="16"/>
        <v>1.3434381331919276</v>
      </c>
      <c r="L172" s="26"/>
      <c r="M172" s="142">
        <f>($C$158-$C$138)*(0.4*$D$14)*('Product half-life and C flows'!$B33/100)</f>
        <v>2.1214753324324382</v>
      </c>
      <c r="N172" s="142">
        <f t="shared" si="32"/>
        <v>75.081918715408662</v>
      </c>
      <c r="O172" s="143">
        <f t="shared" si="33"/>
        <v>7.7764117579468763</v>
      </c>
      <c r="P172" s="142">
        <f t="shared" si="34"/>
        <v>4.9627394570272001</v>
      </c>
      <c r="Q172" s="142">
        <f>($C$158-$C$138)*(0.6*C$15)*('Product half-life and C flows'!L33/100)</f>
        <v>12.500221846055549</v>
      </c>
      <c r="R172" s="142">
        <f>($C$158-$C$138)*0.6*('Product half-life and C flows'!N33/100)</f>
        <v>2.0075648640744035</v>
      </c>
      <c r="S172" s="142">
        <f>($C$158-$C$138)*0.6*('Product half-life and C flows'!P33/100)</f>
        <v>1.0027796523848169</v>
      </c>
      <c r="T172" s="142">
        <f t="shared" si="35"/>
        <v>7.1251264522516626</v>
      </c>
      <c r="U172" s="3"/>
      <c r="V172" s="88"/>
      <c r="W172" s="88"/>
      <c r="X172" s="88"/>
      <c r="Y172" s="88"/>
      <c r="Z172" s="88"/>
      <c r="AA172" s="88"/>
      <c r="AB172" s="88"/>
      <c r="AC172" s="88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  <c r="AN172" s="40"/>
      <c r="AO172" s="40"/>
      <c r="AP172" s="40"/>
      <c r="AQ172" s="40"/>
      <c r="AR172" s="40"/>
      <c r="AS172" s="40"/>
      <c r="AT172" s="40"/>
      <c r="AU172" s="40"/>
      <c r="AV172" s="40"/>
      <c r="AW172" s="40"/>
      <c r="AX172" s="40"/>
      <c r="CH172">
        <f t="shared" si="20"/>
        <v>14</v>
      </c>
      <c r="CI172" s="113">
        <f t="shared" si="21"/>
        <v>102.25096579629684</v>
      </c>
      <c r="CJ172" s="124">
        <f t="shared" si="22"/>
        <v>2.4323712633260031</v>
      </c>
      <c r="CK172" s="124">
        <f t="shared" si="23"/>
        <v>75.081918715408662</v>
      </c>
      <c r="CL172" s="124">
        <f t="shared" si="24"/>
        <v>13.837034915203692</v>
      </c>
      <c r="CM172" s="124">
        <f t="shared" si="25"/>
        <v>5.71695033881916</v>
      </c>
      <c r="CN172" s="124">
        <f t="shared" si="26"/>
        <v>13.526126077286888</v>
      </c>
      <c r="CO172" s="124">
        <f t="shared" si="27"/>
        <v>2.6737327536458553</v>
      </c>
      <c r="CP172" s="124">
        <f t="shared" si="28"/>
        <v>1.3355308459769506</v>
      </c>
      <c r="CQ172" s="124">
        <f t="shared" si="29"/>
        <v>8.4685645854435911</v>
      </c>
      <c r="CR172" s="144">
        <f t="shared" si="36"/>
        <v>123.07222949511079</v>
      </c>
    </row>
    <row r="173" spans="1:96" ht="14">
      <c r="A173">
        <f t="shared" si="37"/>
        <v>15</v>
      </c>
      <c r="B173" s="21">
        <v>95</v>
      </c>
      <c r="C173" s="26">
        <f t="shared" si="31"/>
        <v>103.34861454521752</v>
      </c>
      <c r="D173" s="125">
        <f>(($C$39*$C$118*0.72)*D$40)*('Product half-life and C flows'!B74/100)</f>
        <v>0.30030567416500253</v>
      </c>
      <c r="E173" s="26"/>
      <c r="F173" s="54">
        <f t="shared" si="38"/>
        <v>6.0606231572568161</v>
      </c>
      <c r="G173" s="54">
        <f t="shared" si="38"/>
        <v>0.7542108817919595</v>
      </c>
      <c r="H173" s="125">
        <f>(H$118)*('Product half-life and C flows'!L74/100)</f>
        <v>1.0102230315913552</v>
      </c>
      <c r="I173" s="125">
        <f>(($C$39*$C$118*0.28)*H$41)*('Product half-life and C flows'!N74/100)</f>
        <v>0.6740163299912636</v>
      </c>
      <c r="J173" s="125">
        <f>(($C$39*$C$118*0.28)*H$41)*(+'Product half-life and C flows'!P74/100)</f>
        <v>0.33667149350212955</v>
      </c>
      <c r="K173" s="54">
        <f t="shared" si="16"/>
        <v>1.3434381331919276</v>
      </c>
      <c r="L173" s="26"/>
      <c r="M173" s="142">
        <f>($C$158-$C$138)*(0.4*$D$14)*('Product half-life and C flows'!$B34/100)</f>
        <v>2.0492100945144056</v>
      </c>
      <c r="N173" s="142">
        <f t="shared" si="32"/>
        <v>76.805092137987558</v>
      </c>
      <c r="O173" s="143">
        <f t="shared" si="33"/>
        <v>7.7764117579468763</v>
      </c>
      <c r="P173" s="142">
        <f t="shared" si="34"/>
        <v>4.9627394570272001</v>
      </c>
      <c r="Q173" s="142">
        <f>($C$158-$C$138)*(0.6*C$15)*('Product half-life and C flows'!L34/100)</f>
        <v>12.309152866764171</v>
      </c>
      <c r="R173" s="142">
        <f>($C$158-$C$138)*0.6*('Product half-life and C flows'!N34/100)</f>
        <v>2.1350715629215169</v>
      </c>
      <c r="S173" s="142">
        <f>($C$158-$C$138)*0.6*('Product half-life and C flows'!P34/100)</f>
        <v>1.0664693121486097</v>
      </c>
      <c r="T173" s="142">
        <f t="shared" si="35"/>
        <v>7.0162171340555766</v>
      </c>
      <c r="U173" s="3"/>
      <c r="V173" s="88"/>
      <c r="W173" s="88"/>
      <c r="X173" s="88"/>
      <c r="Y173" s="88"/>
      <c r="Z173" s="88"/>
      <c r="AA173" s="88"/>
      <c r="AB173" s="88"/>
      <c r="AC173" s="88"/>
      <c r="AD173" s="40"/>
      <c r="AE173" s="40"/>
      <c r="AF173" s="40"/>
      <c r="AG173" s="40"/>
      <c r="AH173" s="40"/>
      <c r="AI173" s="40"/>
      <c r="AJ173" s="40"/>
      <c r="AK173" s="40"/>
      <c r="AL173" s="40"/>
      <c r="AM173" s="40"/>
      <c r="AN173" s="40"/>
      <c r="AO173" s="40"/>
      <c r="AP173" s="40"/>
      <c r="AQ173" s="40"/>
      <c r="AR173" s="40"/>
      <c r="AS173" s="40"/>
      <c r="AT173" s="40"/>
      <c r="AU173" s="40"/>
      <c r="AV173" s="40"/>
      <c r="AW173" s="40"/>
      <c r="AX173" s="40"/>
      <c r="CH173">
        <f t="shared" si="20"/>
        <v>15</v>
      </c>
      <c r="CI173" s="113">
        <f t="shared" si="21"/>
        <v>103.34861454521752</v>
      </c>
      <c r="CJ173" s="124">
        <f t="shared" si="22"/>
        <v>2.3495157686794084</v>
      </c>
      <c r="CK173" s="124">
        <f t="shared" si="23"/>
        <v>76.805092137987558</v>
      </c>
      <c r="CL173" s="124">
        <f t="shared" si="24"/>
        <v>13.837034915203692</v>
      </c>
      <c r="CM173" s="124">
        <f t="shared" si="25"/>
        <v>5.71695033881916</v>
      </c>
      <c r="CN173" s="124">
        <f t="shared" si="26"/>
        <v>13.319375898355526</v>
      </c>
      <c r="CO173" s="124">
        <f t="shared" si="27"/>
        <v>2.8090878929127805</v>
      </c>
      <c r="CP173" s="124">
        <f t="shared" si="28"/>
        <v>1.4031408056507393</v>
      </c>
      <c r="CQ173" s="124">
        <f t="shared" si="29"/>
        <v>8.3596552672475042</v>
      </c>
      <c r="CR173" s="144">
        <f t="shared" si="36"/>
        <v>124.59985302485637</v>
      </c>
    </row>
    <row r="174" spans="1:96" ht="14">
      <c r="A174">
        <f t="shared" si="37"/>
        <v>16</v>
      </c>
      <c r="B174" s="21">
        <v>96</v>
      </c>
      <c r="C174" s="26">
        <f t="shared" si="31"/>
        <v>104.43212467987155</v>
      </c>
      <c r="D174" s="125">
        <f>(($C$39*$C$118*0.72)*D$40)*('Product half-life and C flows'!B75/100)</f>
        <v>0.29007616045824347</v>
      </c>
      <c r="E174" s="26"/>
      <c r="F174" s="54">
        <f t="shared" si="38"/>
        <v>6.0606231572568161</v>
      </c>
      <c r="G174" s="54">
        <f t="shared" si="38"/>
        <v>0.7542108817919595</v>
      </c>
      <c r="H174" s="125">
        <f>(H$118)*('Product half-life and C flows'!L75/100)</f>
        <v>0.99478152296215372</v>
      </c>
      <c r="I174" s="125">
        <f>(($C$39*$C$118*0.28)*H$41)*('Product half-life and C flows'!N75/100)</f>
        <v>0.68174480506017898</v>
      </c>
      <c r="J174" s="125">
        <f>(($C$39*$C$118*0.28)*H$41)*(+'Product half-life and C flows'!P75/100)</f>
        <v>0.34053187065942991</v>
      </c>
      <c r="K174" s="54">
        <f t="shared" si="16"/>
        <v>1.3434381331919276</v>
      </c>
      <c r="L174" s="26"/>
      <c r="M174" s="142">
        <f>($C$158-$C$138)*(0.4*$D$14)*('Product half-life and C flows'!$B35/100)</f>
        <v>1.9794064758909808</v>
      </c>
      <c r="N174" s="142">
        <f t="shared" si="32"/>
        <v>78.528265560566453</v>
      </c>
      <c r="O174" s="143">
        <f t="shared" si="33"/>
        <v>7.7764117579468763</v>
      </c>
      <c r="P174" s="142">
        <f t="shared" si="34"/>
        <v>4.9627394570272001</v>
      </c>
      <c r="Q174" s="142">
        <f>($C$158-$C$138)*(0.6*C$15)*('Product half-life and C flows'!L35/100)</f>
        <v>12.121004424027827</v>
      </c>
      <c r="R174" s="142">
        <f>($C$158-$C$138)*0.6*('Product half-life and C flows'!N35/100)</f>
        <v>2.2606292903742373</v>
      </c>
      <c r="S174" s="142">
        <f>($C$158-$C$138)*0.6*('Product half-life and C flows'!P35/100)</f>
        <v>1.1291854597273911</v>
      </c>
      <c r="T174" s="142">
        <f t="shared" si="35"/>
        <v>6.9089725216958611</v>
      </c>
      <c r="U174" s="3"/>
      <c r="V174" s="88"/>
      <c r="W174" s="88"/>
      <c r="X174" s="88"/>
      <c r="Y174" s="88"/>
      <c r="Z174" s="88"/>
      <c r="AA174" s="88"/>
      <c r="AB174" s="88"/>
      <c r="AC174" s="88"/>
      <c r="AD174" s="40"/>
      <c r="AE174" s="40"/>
      <c r="AF174" s="40"/>
      <c r="AG174" s="40"/>
      <c r="AH174" s="40"/>
      <c r="AI174" s="40"/>
      <c r="AJ174" s="40"/>
      <c r="AK174" s="40"/>
      <c r="AL174" s="40"/>
      <c r="AM174" s="40"/>
      <c r="AN174" s="40"/>
      <c r="AO174" s="40"/>
      <c r="AP174" s="40"/>
      <c r="AQ174" s="40"/>
      <c r="AR174" s="40"/>
      <c r="AS174" s="40"/>
      <c r="AT174" s="40"/>
      <c r="AU174" s="40"/>
      <c r="AV174" s="40"/>
      <c r="AW174" s="40"/>
      <c r="AX174" s="40"/>
      <c r="CH174">
        <f t="shared" si="20"/>
        <v>16</v>
      </c>
      <c r="CI174" s="113">
        <f t="shared" si="21"/>
        <v>104.43212467987155</v>
      </c>
      <c r="CJ174" s="124">
        <f t="shared" si="22"/>
        <v>2.2694826363492244</v>
      </c>
      <c r="CK174" s="124">
        <f t="shared" si="23"/>
        <v>78.528265560566453</v>
      </c>
      <c r="CL174" s="124">
        <f t="shared" si="24"/>
        <v>13.837034915203692</v>
      </c>
      <c r="CM174" s="124">
        <f t="shared" si="25"/>
        <v>5.71695033881916</v>
      </c>
      <c r="CN174" s="124">
        <f t="shared" si="26"/>
        <v>13.11578594698998</v>
      </c>
      <c r="CO174" s="124">
        <f t="shared" si="27"/>
        <v>2.9423740954344164</v>
      </c>
      <c r="CP174" s="124">
        <f t="shared" si="28"/>
        <v>1.4697173303868212</v>
      </c>
      <c r="CQ174" s="124">
        <f t="shared" si="29"/>
        <v>8.2524106548877896</v>
      </c>
      <c r="CR174" s="144">
        <f t="shared" si="36"/>
        <v>126.13202147863754</v>
      </c>
    </row>
    <row r="175" spans="1:96" ht="14">
      <c r="A175">
        <f t="shared" si="37"/>
        <v>17</v>
      </c>
      <c r="B175" s="21">
        <v>97</v>
      </c>
      <c r="C175" s="26">
        <f t="shared" si="31"/>
        <v>105.50150372992968</v>
      </c>
      <c r="D175" s="125">
        <f>(($C$39*$C$118*0.72)*D$40)*('Product half-life and C flows'!B76/100)</f>
        <v>0.28019510154165006</v>
      </c>
      <c r="E175" s="26"/>
      <c r="F175" s="54">
        <f t="shared" si="38"/>
        <v>6.0606231572568161</v>
      </c>
      <c r="G175" s="54">
        <f t="shared" si="38"/>
        <v>0.7542108817919595</v>
      </c>
      <c r="H175" s="125">
        <f>(H$118)*('Product half-life and C flows'!L76/100)</f>
        <v>0.97957604160741441</v>
      </c>
      <c r="I175" s="125">
        <f>(($C$39*$C$118*0.28)*H$41)*('Product half-life and C flows'!N76/100)</f>
        <v>0.68935514847822599</v>
      </c>
      <c r="J175" s="125">
        <f>(($C$39*$C$118*0.28)*H$41)*(+'Product half-life and C flows'!P76/100)</f>
        <v>0.34433324099811474</v>
      </c>
      <c r="K175" s="54">
        <f t="shared" si="16"/>
        <v>1.3434381331919276</v>
      </c>
      <c r="L175" s="26"/>
      <c r="M175" s="142">
        <f>($C$158-$C$138)*(0.4*$D$14)*('Product half-life and C flows'!$B36/100)</f>
        <v>1.9119806247721998</v>
      </c>
      <c r="N175" s="142">
        <f t="shared" si="32"/>
        <v>80.251438983145349</v>
      </c>
      <c r="O175" s="143">
        <f t="shared" si="33"/>
        <v>7.7764117579468763</v>
      </c>
      <c r="P175" s="142">
        <f t="shared" si="34"/>
        <v>4.9627394570272001</v>
      </c>
      <c r="Q175" s="142">
        <f>($C$158-$C$138)*(0.6*C$15)*('Product half-life and C flows'!L36/100)</f>
        <v>11.935731876723709</v>
      </c>
      <c r="R175" s="142">
        <f>($C$158-$C$138)*0.6*('Product half-life and C flows'!N36/100)</f>
        <v>2.3842678369418517</v>
      </c>
      <c r="S175" s="142">
        <f>($C$158-$C$138)*0.6*('Product half-life and C flows'!P36/100)</f>
        <v>1.1909429754954304</v>
      </c>
      <c r="T175" s="142">
        <f t="shared" si="35"/>
        <v>6.803367169732514</v>
      </c>
      <c r="U175" s="3"/>
      <c r="V175" s="88"/>
      <c r="W175" s="88"/>
      <c r="X175" s="88"/>
      <c r="Y175" s="88"/>
      <c r="Z175" s="88"/>
      <c r="AA175" s="88"/>
      <c r="AB175" s="88"/>
      <c r="AC175" s="88"/>
      <c r="AD175" s="40"/>
      <c r="AE175" s="40"/>
      <c r="AF175" s="40"/>
      <c r="AG175" s="40"/>
      <c r="AH175" s="40"/>
      <c r="AI175" s="40"/>
      <c r="AJ175" s="40"/>
      <c r="AK175" s="40"/>
      <c r="AL175" s="40"/>
      <c r="AM175" s="40"/>
      <c r="AN175" s="40"/>
      <c r="AO175" s="40"/>
      <c r="AP175" s="40"/>
      <c r="AQ175" s="40"/>
      <c r="AR175" s="40"/>
      <c r="AS175" s="40"/>
      <c r="AT175" s="40"/>
      <c r="AU175" s="40"/>
      <c r="AV175" s="40"/>
      <c r="AW175" s="40"/>
      <c r="AX175" s="40"/>
      <c r="CH175">
        <f t="shared" si="20"/>
        <v>17</v>
      </c>
      <c r="CI175" s="113">
        <f t="shared" si="21"/>
        <v>105.50150372992968</v>
      </c>
      <c r="CJ175" s="124">
        <f t="shared" si="22"/>
        <v>2.1921757263138497</v>
      </c>
      <c r="CK175" s="124">
        <f t="shared" si="23"/>
        <v>80.251438983145349</v>
      </c>
      <c r="CL175" s="124">
        <f t="shared" si="24"/>
        <v>13.837034915203692</v>
      </c>
      <c r="CM175" s="124">
        <f t="shared" si="25"/>
        <v>5.71695033881916</v>
      </c>
      <c r="CN175" s="124">
        <f t="shared" si="26"/>
        <v>12.915307918331123</v>
      </c>
      <c r="CO175" s="124">
        <f t="shared" si="27"/>
        <v>3.0736229854200778</v>
      </c>
      <c r="CP175" s="124">
        <f t="shared" si="28"/>
        <v>1.5352762164935452</v>
      </c>
      <c r="CQ175" s="124">
        <f t="shared" si="29"/>
        <v>8.1468053029244416</v>
      </c>
      <c r="CR175" s="144">
        <f t="shared" si="36"/>
        <v>127.66861238665123</v>
      </c>
    </row>
    <row r="176" spans="1:96" ht="14">
      <c r="A176">
        <f t="shared" ref="A176:B191" si="39">A175+1</f>
        <v>18</v>
      </c>
      <c r="B176" s="21">
        <v>98</v>
      </c>
      <c r="C176" s="26">
        <f t="shared" si="31"/>
        <v>106.55676827783559</v>
      </c>
      <c r="D176" s="125">
        <f>(($C$39*$C$118*0.72)*D$40)*('Product half-life and C flows'!B77/100)</f>
        <v>0.27065062776586585</v>
      </c>
      <c r="E176" s="26"/>
      <c r="F176" s="54">
        <f t="shared" si="38"/>
        <v>6.0606231572568161</v>
      </c>
      <c r="G176" s="54">
        <f t="shared" si="38"/>
        <v>0.7542108817919595</v>
      </c>
      <c r="H176" s="125">
        <f>(H$118)*('Product half-life and C flows'!L77/100)</f>
        <v>0.96460297979193321</v>
      </c>
      <c r="I176" s="125">
        <f>(($C$39*$C$118*0.28)*H$41)*('Product half-life and C flows'!N77/100)</f>
        <v>0.6968491659168744</v>
      </c>
      <c r="J176" s="125">
        <f>(($C$39*$C$118*0.28)*H$41)*(+'Product half-life and C flows'!P77/100)</f>
        <v>0.34807650645198501</v>
      </c>
      <c r="K176" s="54">
        <f t="shared" si="16"/>
        <v>1.3434381331919276</v>
      </c>
      <c r="L176" s="26"/>
      <c r="M176" s="142">
        <f>($C$158-$C$138)*(0.4*$D$14)*('Product half-life and C flows'!$B37/100)</f>
        <v>1.8468515456678911</v>
      </c>
      <c r="N176" s="142">
        <f t="shared" si="32"/>
        <v>81.974612405724244</v>
      </c>
      <c r="O176" s="143">
        <f t="shared" si="33"/>
        <v>7.7764117579468763</v>
      </c>
      <c r="P176" s="142">
        <f t="shared" si="34"/>
        <v>4.9627394570272001</v>
      </c>
      <c r="Q176" s="142">
        <f>($C$158-$C$138)*(0.6*C$15)*('Product half-life and C flows'!L37/100)</f>
        <v>11.753291266079604</v>
      </c>
      <c r="R176" s="142">
        <f>($C$158-$C$138)*0.6*('Product half-life and C flows'!N37/100)</f>
        <v>2.5060165377783514</v>
      </c>
      <c r="S176" s="142">
        <f>($C$158-$C$138)*0.6*('Product half-life and C flows'!P37/100)</f>
        <v>1.2517565123767991</v>
      </c>
      <c r="T176" s="142">
        <f t="shared" si="35"/>
        <v>6.6993760216653735</v>
      </c>
      <c r="U176" s="3"/>
      <c r="V176" s="88"/>
      <c r="W176" s="88"/>
      <c r="X176" s="88"/>
      <c r="Y176" s="88"/>
      <c r="Z176" s="88"/>
      <c r="AA176" s="88"/>
      <c r="AB176" s="88"/>
      <c r="AC176" s="88"/>
      <c r="AD176" s="40"/>
      <c r="AE176" s="40"/>
      <c r="AF176" s="40"/>
      <c r="AG176" s="40"/>
      <c r="AH176" s="40"/>
      <c r="AI176" s="40"/>
      <c r="AJ176" s="40"/>
      <c r="AK176" s="40"/>
      <c r="AL176" s="40"/>
      <c r="AM176" s="40"/>
      <c r="AN176" s="40"/>
      <c r="AO176" s="40"/>
      <c r="AP176" s="40"/>
      <c r="AQ176" s="40"/>
      <c r="AR176" s="40"/>
      <c r="AS176" s="40"/>
      <c r="AT176" s="40"/>
      <c r="AU176" s="40"/>
      <c r="AV176" s="40"/>
      <c r="AW176" s="40"/>
      <c r="AX176" s="40"/>
      <c r="CH176">
        <f t="shared" si="20"/>
        <v>18</v>
      </c>
      <c r="CI176" s="113">
        <f t="shared" si="21"/>
        <v>106.55676827783559</v>
      </c>
      <c r="CJ176" s="124">
        <f t="shared" si="22"/>
        <v>2.1175021734337571</v>
      </c>
      <c r="CK176" s="124">
        <f t="shared" si="23"/>
        <v>81.974612405724244</v>
      </c>
      <c r="CL176" s="124">
        <f t="shared" si="24"/>
        <v>13.837034915203692</v>
      </c>
      <c r="CM176" s="124">
        <f t="shared" si="25"/>
        <v>5.71695033881916</v>
      </c>
      <c r="CN176" s="124">
        <f t="shared" si="26"/>
        <v>12.717894245871538</v>
      </c>
      <c r="CO176" s="124">
        <f t="shared" si="27"/>
        <v>3.2028657036952257</v>
      </c>
      <c r="CP176" s="124">
        <f t="shared" si="28"/>
        <v>1.5998330188287841</v>
      </c>
      <c r="CQ176" s="124">
        <f t="shared" si="29"/>
        <v>8.0428141548573002</v>
      </c>
      <c r="CR176" s="144">
        <f t="shared" si="36"/>
        <v>129.2095069564337</v>
      </c>
    </row>
    <row r="177" spans="1:96" ht="14">
      <c r="A177">
        <f t="shared" si="39"/>
        <v>19</v>
      </c>
      <c r="B177" s="21">
        <v>99</v>
      </c>
      <c r="C177" s="26">
        <f t="shared" si="31"/>
        <v>107.59794350495081</v>
      </c>
      <c r="D177" s="125">
        <f>(($C$39*$C$118*0.72)*D$40)*('Product half-life and C flows'!B78/100)</f>
        <v>0.26143127380536518</v>
      </c>
      <c r="E177" s="26"/>
      <c r="F177" s="54">
        <f t="shared" si="38"/>
        <v>6.0606231572568161</v>
      </c>
      <c r="G177" s="54">
        <f t="shared" si="38"/>
        <v>0.7542108817919595</v>
      </c>
      <c r="H177" s="125">
        <f>(H$118)*('Product half-life and C flows'!L78/100)</f>
        <v>0.9498587849256297</v>
      </c>
      <c r="I177" s="125">
        <f>(($C$39*$C$118*0.28)*H$41)*('Product half-life and C flows'!N78/100)</f>
        <v>0.70422863544745928</v>
      </c>
      <c r="J177" s="125">
        <f>(($C$39*$C$118*0.28)*H$41)*(+'Product half-life and C flows'!P78/100)</f>
        <v>0.35176255516856092</v>
      </c>
      <c r="K177" s="54">
        <f t="shared" si="16"/>
        <v>1.3434381331919276</v>
      </c>
      <c r="L177" s="26"/>
      <c r="M177" s="142">
        <f>($C$158-$C$138)*(0.4*$D$14)*('Product half-life and C flows'!$B38/100)</f>
        <v>1.7839410020916198</v>
      </c>
      <c r="N177" s="142">
        <f t="shared" si="32"/>
        <v>83.69778582830314</v>
      </c>
      <c r="O177" s="143">
        <f t="shared" si="33"/>
        <v>7.7764117579468763</v>
      </c>
      <c r="P177" s="142">
        <f t="shared" si="34"/>
        <v>4.9627394570272001</v>
      </c>
      <c r="Q177" s="142">
        <f>($C$158-$C$138)*(0.6*C$15)*('Product half-life and C flows'!L38/100)</f>
        <v>11.573639305243985</v>
      </c>
      <c r="R177" s="142">
        <f>($C$158-$C$138)*0.6*('Product half-life and C flows'!N38/100)</f>
        <v>2.6259042796426555</v>
      </c>
      <c r="S177" s="142">
        <f>($C$158-$C$138)*0.6*('Product half-life and C flows'!P38/100)</f>
        <v>1.3116404993220057</v>
      </c>
      <c r="T177" s="142">
        <f t="shared" si="35"/>
        <v>6.596974403989071</v>
      </c>
      <c r="U177" s="3"/>
      <c r="V177" s="88"/>
      <c r="W177" s="88"/>
      <c r="X177" s="88"/>
      <c r="Y177" s="88"/>
      <c r="Z177" s="88"/>
      <c r="AA177" s="88"/>
      <c r="AB177" s="88"/>
      <c r="AC177" s="88"/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  <c r="AN177" s="40"/>
      <c r="AO177" s="40"/>
      <c r="AP177" s="40"/>
      <c r="AQ177" s="40"/>
      <c r="AR177" s="40"/>
      <c r="AS177" s="40"/>
      <c r="AT177" s="40"/>
      <c r="AU177" s="40"/>
      <c r="AV177" s="40"/>
      <c r="AW177" s="40"/>
      <c r="AX177" s="40"/>
      <c r="CH177">
        <f t="shared" si="20"/>
        <v>19</v>
      </c>
      <c r="CI177" s="113">
        <f t="shared" si="21"/>
        <v>107.59794350495081</v>
      </c>
      <c r="CJ177" s="124">
        <f t="shared" si="22"/>
        <v>2.0453722758969848</v>
      </c>
      <c r="CK177" s="124">
        <f t="shared" si="23"/>
        <v>83.69778582830314</v>
      </c>
      <c r="CL177" s="124">
        <f t="shared" si="24"/>
        <v>13.837034915203692</v>
      </c>
      <c r="CM177" s="124">
        <f t="shared" si="25"/>
        <v>5.71695033881916</v>
      </c>
      <c r="CN177" s="124">
        <f t="shared" si="26"/>
        <v>12.523498090169614</v>
      </c>
      <c r="CO177" s="124">
        <f t="shared" si="27"/>
        <v>3.3301329150901147</v>
      </c>
      <c r="CP177" s="124">
        <f t="shared" si="28"/>
        <v>1.6634030544905665</v>
      </c>
      <c r="CQ177" s="124">
        <f t="shared" si="29"/>
        <v>7.9404125371809986</v>
      </c>
      <c r="CR177" s="144">
        <f t="shared" si="36"/>
        <v>130.75458995515427</v>
      </c>
    </row>
    <row r="178" spans="1:96" s="137" customFormat="1" ht="14">
      <c r="A178" s="137">
        <f t="shared" si="39"/>
        <v>20</v>
      </c>
      <c r="B178" s="138">
        <v>100</v>
      </c>
      <c r="C178" s="139">
        <f t="shared" si="31"/>
        <v>108.62506275243267</v>
      </c>
      <c r="D178" s="140">
        <f>(($C$39*$C$118*0.72)*D$40)*('Product half-life and C flows'!B79/100)</f>
        <v>0.25252596488570067</v>
      </c>
      <c r="E178" s="139"/>
      <c r="F178" s="141">
        <f t="shared" si="38"/>
        <v>6.0606231572568161</v>
      </c>
      <c r="G178" s="141">
        <f t="shared" si="38"/>
        <v>0.7542108817919595</v>
      </c>
      <c r="H178" s="140">
        <f>(H$118)*('Product half-life and C flows'!L79/100)</f>
        <v>0.93533995872064057</v>
      </c>
      <c r="I178" s="140">
        <f>(($C$39*$C$118*0.28)*H$41)*('Product half-life and C flows'!N79/100)</f>
        <v>0.71149530796305638</v>
      </c>
      <c r="J178" s="140">
        <f>(($C$39*$C$118*0.28)*H$41)*(+'Product half-life and C flows'!P79/100)</f>
        <v>0.3553922617198082</v>
      </c>
      <c r="K178" s="141">
        <f t="shared" si="16"/>
        <v>1.3434381331919276</v>
      </c>
      <c r="L178" s="139"/>
      <c r="M178" s="142">
        <f>(C$158-C$138)*(0.4*D$14)*('Product half-life and C flows'!B39/100)</f>
        <v>1.7231734225788893</v>
      </c>
      <c r="N178" s="142"/>
      <c r="O178" s="143">
        <f t="shared" ref="O178:O209" si="40">(C$158-C$138)*((0.4*B$14))-(C$158*0.03)</f>
        <v>7.7764117579468763</v>
      </c>
      <c r="P178" s="142">
        <f t="shared" ref="P178:P209" si="41">(C$158-C$138)*((0.6*B$15))</f>
        <v>4.9627394570272001</v>
      </c>
      <c r="Q178" s="142">
        <f>(C$158-C$138)*(0.6*C$15)*('Product half-life and C flows'!L39/100)</f>
        <v>11.396733369015552</v>
      </c>
      <c r="R178" s="142">
        <f>(C$158-C$138)*0.6*('Product half-life and C flows'!N39/100)</f>
        <v>2.7439595077524288</v>
      </c>
      <c r="S178" s="142">
        <f>(C$158-C$138)*0.6*('Product half-life and C flows'!P39/100)</f>
        <v>1.370609144731483</v>
      </c>
      <c r="T178" s="142">
        <f t="shared" ref="T178:T222" si="42">(Q178*T$42)</f>
        <v>6.4961380203388641</v>
      </c>
      <c r="U178" s="144"/>
      <c r="V178" s="142">
        <f>$M158</f>
        <v>3.4463468451577786</v>
      </c>
      <c r="W178" s="142">
        <f>$N158</f>
        <v>50.957490799304182</v>
      </c>
      <c r="X178" s="142">
        <f>$O158</f>
        <v>7.7764117579468763</v>
      </c>
      <c r="Y178" s="142">
        <f>$P158</f>
        <v>4.9627394570272001</v>
      </c>
      <c r="Z178" s="142">
        <f>$Q158</f>
        <v>15.508560803210001</v>
      </c>
      <c r="AA178" s="142">
        <f>$R158</f>
        <v>0</v>
      </c>
      <c r="AB178" s="142">
        <f>$S158</f>
        <v>0</v>
      </c>
      <c r="AC178" s="142">
        <f>$T158</f>
        <v>8.8398796578296999</v>
      </c>
      <c r="CH178" s="137">
        <f t="shared" si="20"/>
        <v>20</v>
      </c>
      <c r="CI178" s="144">
        <f t="shared" si="21"/>
        <v>108.62506275243267</v>
      </c>
      <c r="CJ178" s="124">
        <f t="shared" si="22"/>
        <v>5.4220462326223684</v>
      </c>
      <c r="CK178" s="124">
        <f t="shared" si="23"/>
        <v>50.957490799304182</v>
      </c>
      <c r="CL178" s="124">
        <f t="shared" si="24"/>
        <v>21.61344667315057</v>
      </c>
      <c r="CM178" s="124">
        <f t="shared" si="25"/>
        <v>10.679689795846361</v>
      </c>
      <c r="CN178" s="124">
        <f t="shared" si="26"/>
        <v>27.840634130946192</v>
      </c>
      <c r="CO178" s="124">
        <f t="shared" si="27"/>
        <v>3.455454815715485</v>
      </c>
      <c r="CP178" s="124">
        <f t="shared" si="28"/>
        <v>1.7260014064512912</v>
      </c>
      <c r="CQ178" s="124">
        <f t="shared" si="29"/>
        <v>16.679455811360491</v>
      </c>
      <c r="CR178" s="144">
        <f t="shared" si="36"/>
        <v>138.37421966539694</v>
      </c>
    </row>
    <row r="179" spans="1:96" ht="14">
      <c r="A179">
        <f t="shared" si="39"/>
        <v>21</v>
      </c>
      <c r="B179" s="19">
        <f>B178+1</f>
        <v>101</v>
      </c>
      <c r="C179" s="26">
        <f t="shared" si="31"/>
        <v>109.63816709662152</v>
      </c>
      <c r="D179" s="125">
        <f>(($C$39*$C$118*0.72)*D$40)*('Product half-life and C flows'!B80/100)</f>
        <v>0.24392400347989823</v>
      </c>
      <c r="E179" s="26"/>
      <c r="F179" s="54">
        <f t="shared" si="38"/>
        <v>6.0606231572568161</v>
      </c>
      <c r="G179" s="54">
        <f t="shared" si="38"/>
        <v>0.7542108817919595</v>
      </c>
      <c r="H179" s="125">
        <f>(H$118)*('Product half-life and C flows'!L80/100)</f>
        <v>0.9210430563612968</v>
      </c>
      <c r="I179" s="125">
        <f>(($C$39*$C$118*0.28)*H$41)*('Product half-life and C flows'!N80/100)</f>
        <v>0.71865090759390804</v>
      </c>
      <c r="J179" s="125">
        <f>(($C$39*$C$118*0.28)*H$41)*(+'Product half-life and C flows'!P80/100)</f>
        <v>0.3589664873096442</v>
      </c>
      <c r="K179" s="54">
        <f t="shared" si="16"/>
        <v>1.3434381331919276</v>
      </c>
      <c r="L179" s="26"/>
      <c r="M179" s="142">
        <f>(C$158-C$138)*(0.4*D$14)*('Product half-life and C flows'!B40/100)</f>
        <v>1.6644758099067141</v>
      </c>
      <c r="N179" s="83"/>
      <c r="O179" s="143">
        <f t="shared" si="40"/>
        <v>7.7764117579468763</v>
      </c>
      <c r="P179" s="142">
        <f t="shared" si="41"/>
        <v>4.9627394570272001</v>
      </c>
      <c r="Q179" s="142">
        <f>(C$158-C$138)*(0.6*C$15)*('Product half-life and C flows'!L40/100)</f>
        <v>11.222531483729737</v>
      </c>
      <c r="R179" s="142">
        <f>(C$158-C$138)*0.6*('Product half-life and C flows'!N40/100)</f>
        <v>2.8602102325331629</v>
      </c>
      <c r="S179" s="142">
        <f>(C$158-C$138)*0.6*('Product half-life and C flows'!P40/100)</f>
        <v>1.4286764398267544</v>
      </c>
      <c r="T179" s="142">
        <f t="shared" si="42"/>
        <v>6.3968429457259495</v>
      </c>
      <c r="U179" s="3"/>
      <c r="V179" s="142">
        <f t="shared" ref="V179:V242" si="43">$M159</f>
        <v>3.3289516198134281</v>
      </c>
      <c r="W179" s="142">
        <f t="shared" ref="W179:W242" si="44">$N159</f>
        <v>52.68066422188307</v>
      </c>
      <c r="X179" s="142">
        <f t="shared" ref="X179:X242" si="45">$O159</f>
        <v>7.7764117579468763</v>
      </c>
      <c r="Y179" s="142">
        <f t="shared" ref="Y179:Y242" si="46">$P159</f>
        <v>4.9627394570272001</v>
      </c>
      <c r="Z179" s="142">
        <f t="shared" ref="Z179:Z242" si="47">$Q159</f>
        <v>15.271508619701541</v>
      </c>
      <c r="AA179" s="142">
        <f t="shared" ref="AA179:AA242" si="48">$R159</f>
        <v>0.15819282379464625</v>
      </c>
      <c r="AB179" s="142">
        <f t="shared" ref="AB179:AB242" si="49">$S159</f>
        <v>7.9017394502820304E-2</v>
      </c>
      <c r="AC179" s="142">
        <f t="shared" ref="AC179:AC242" si="50">$T159</f>
        <v>8.7047599132298767</v>
      </c>
      <c r="AD179" s="40"/>
      <c r="AE179" s="40"/>
      <c r="AF179" s="40"/>
      <c r="AG179" s="40"/>
      <c r="AH179" s="40"/>
      <c r="AI179" s="40"/>
      <c r="AJ179" s="40"/>
      <c r="AK179" s="40"/>
      <c r="AL179" s="40"/>
      <c r="AM179" s="40"/>
      <c r="AN179" s="40"/>
      <c r="AO179" s="40"/>
      <c r="AP179" s="40"/>
      <c r="AQ179" s="40"/>
      <c r="AR179" s="40"/>
      <c r="AS179" s="40"/>
      <c r="AT179" s="40"/>
      <c r="AU179" s="40"/>
      <c r="AV179" s="40"/>
      <c r="AW179" s="40"/>
      <c r="AX179" s="40"/>
      <c r="CH179">
        <f t="shared" si="20"/>
        <v>21</v>
      </c>
      <c r="CI179" s="113">
        <f t="shared" si="21"/>
        <v>109.63816709662152</v>
      </c>
      <c r="CJ179" s="124">
        <f t="shared" si="22"/>
        <v>5.2373514332000406</v>
      </c>
      <c r="CK179" s="124">
        <f t="shared" si="23"/>
        <v>52.68066422188307</v>
      </c>
      <c r="CL179" s="124">
        <f t="shared" si="24"/>
        <v>21.61344667315057</v>
      </c>
      <c r="CM179" s="124">
        <f t="shared" si="25"/>
        <v>10.679689795846361</v>
      </c>
      <c r="CN179" s="124">
        <f t="shared" si="26"/>
        <v>27.415083159792573</v>
      </c>
      <c r="CO179" s="124">
        <f t="shared" si="27"/>
        <v>3.7370539639217171</v>
      </c>
      <c r="CP179" s="124">
        <f t="shared" si="28"/>
        <v>1.866660321639219</v>
      </c>
      <c r="CQ179" s="124">
        <f t="shared" si="29"/>
        <v>16.445040992147753</v>
      </c>
      <c r="CR179" s="144">
        <f t="shared" si="36"/>
        <v>139.6749905615813</v>
      </c>
    </row>
    <row r="180" spans="1:96" ht="14">
      <c r="A180">
        <f t="shared" si="39"/>
        <v>22</v>
      </c>
      <c r="B180" s="19">
        <f t="shared" si="39"/>
        <v>102</v>
      </c>
      <c r="C180" s="26">
        <f t="shared" si="31"/>
        <v>110.63730493869643</v>
      </c>
      <c r="D180" s="125">
        <f>(($C$39*$C$118*0.72)*D$40)*('Product half-life and C flows'!B81/100)</f>
        <v>0.23561505645802411</v>
      </c>
      <c r="E180" s="26"/>
      <c r="F180" s="54">
        <f t="shared" si="38"/>
        <v>6.0606231572568161</v>
      </c>
      <c r="G180" s="54">
        <f t="shared" si="38"/>
        <v>0.7542108817919595</v>
      </c>
      <c r="H180" s="125">
        <f>(H$118)*('Product half-life and C flows'!L81/100)</f>
        <v>0.90696468568678767</v>
      </c>
      <c r="I180" s="125">
        <f>(($C$39*$C$118*0.28)*H$41)*('Product half-life and C flows'!N81/100)</f>
        <v>0.72569713211649967</v>
      </c>
      <c r="J180" s="125">
        <f>(($C$39*$C$118*0.28)*H$41)*(+'Product half-life and C flows'!P81/100)</f>
        <v>0.36248607997827142</v>
      </c>
      <c r="K180" s="54">
        <f t="shared" si="16"/>
        <v>1.3434381331919276</v>
      </c>
      <c r="L180" s="26"/>
      <c r="M180" s="142">
        <f>(C$158-C$138)*(0.4*D$14)*('Product half-life and C flows'!B41/100)</f>
        <v>1.6077776534055002</v>
      </c>
      <c r="N180" s="83"/>
      <c r="O180" s="143">
        <f t="shared" si="40"/>
        <v>7.7764117579468763</v>
      </c>
      <c r="P180" s="142">
        <f t="shared" si="41"/>
        <v>4.9627394570272001</v>
      </c>
      <c r="Q180" s="142">
        <f>(C$158-C$138)*(0.6*C$15)*('Product half-life and C flows'!L41/100)</f>
        <v>11.050992317299807</v>
      </c>
      <c r="R180" s="142">
        <f>(C$158-C$138)*0.6*('Product half-life and C flows'!N41/100)</f>
        <v>2.9746840362640703</v>
      </c>
      <c r="S180" s="142">
        <f>(C$158-C$138)*0.6*('Product half-life and C flows'!P41/100)</f>
        <v>1.485856161970065</v>
      </c>
      <c r="T180" s="142">
        <f t="shared" si="42"/>
        <v>6.2990656208608895</v>
      </c>
      <c r="U180" s="3"/>
      <c r="V180" s="142">
        <f t="shared" si="43"/>
        <v>3.2155553068110003</v>
      </c>
      <c r="W180" s="142">
        <f t="shared" si="44"/>
        <v>54.403837644461959</v>
      </c>
      <c r="X180" s="142">
        <f t="shared" si="45"/>
        <v>7.7764117579468763</v>
      </c>
      <c r="Y180" s="142">
        <f t="shared" si="46"/>
        <v>4.9627394570272001</v>
      </c>
      <c r="Z180" s="142">
        <f t="shared" si="47"/>
        <v>15.038079837385441</v>
      </c>
      <c r="AA180" s="142">
        <f t="shared" si="48"/>
        <v>0.3139676311935905</v>
      </c>
      <c r="AB180" s="142">
        <f t="shared" si="49"/>
        <v>0.15682698860818706</v>
      </c>
      <c r="AC180" s="142">
        <f t="shared" si="50"/>
        <v>8.5717055073096997</v>
      </c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CH180">
        <f t="shared" si="20"/>
        <v>22</v>
      </c>
      <c r="CI180" s="113">
        <f t="shared" si="21"/>
        <v>110.63730493869643</v>
      </c>
      <c r="CJ180" s="124">
        <f t="shared" si="22"/>
        <v>5.0589480166745249</v>
      </c>
      <c r="CK180" s="124">
        <f t="shared" si="23"/>
        <v>54.403837644461959</v>
      </c>
      <c r="CL180" s="124">
        <f t="shared" si="24"/>
        <v>21.61344667315057</v>
      </c>
      <c r="CM180" s="124">
        <f t="shared" si="25"/>
        <v>10.679689795846361</v>
      </c>
      <c r="CN180" s="124">
        <f t="shared" si="26"/>
        <v>26.996036840372035</v>
      </c>
      <c r="CO180" s="124">
        <f t="shared" si="27"/>
        <v>4.0143487995741607</v>
      </c>
      <c r="CP180" s="124">
        <f t="shared" si="28"/>
        <v>2.0051692305565236</v>
      </c>
      <c r="CQ180" s="124">
        <f t="shared" si="29"/>
        <v>16.214209261362516</v>
      </c>
      <c r="CR180" s="144">
        <f t="shared" si="36"/>
        <v>140.98568626199867</v>
      </c>
    </row>
    <row r="181" spans="1:96" ht="14">
      <c r="A181">
        <f t="shared" si="39"/>
        <v>23</v>
      </c>
      <c r="B181" s="19">
        <f t="shared" si="39"/>
        <v>103</v>
      </c>
      <c r="C181" s="26">
        <f t="shared" si="31"/>
        <v>111.62253160834713</v>
      </c>
      <c r="D181" s="125">
        <f>(($C$39*$C$118*0.72)*D$40)*('Product half-life and C flows'!B82/100)</f>
        <v>0.22758914267448405</v>
      </c>
      <c r="E181" s="26"/>
      <c r="F181" s="54">
        <f t="shared" si="38"/>
        <v>6.0606231572568161</v>
      </c>
      <c r="G181" s="54">
        <f t="shared" si="38"/>
        <v>0.7542108817919595</v>
      </c>
      <c r="H181" s="125">
        <f>(H$118)*('Product half-life and C flows'!L82/100)</f>
        <v>0.89310150638631924</v>
      </c>
      <c r="I181" s="125">
        <f>(($C$39*$C$118*0.28)*H$41)*('Product half-life and C flows'!N82/100)</f>
        <v>0.73263565335638414</v>
      </c>
      <c r="J181" s="125">
        <f>(($C$39*$C$118*0.28)*H$41)*(+'Product half-life and C flows'!P82/100)</f>
        <v>0.36595187480338848</v>
      </c>
      <c r="K181" s="54">
        <f t="shared" si="16"/>
        <v>1.3434381331919276</v>
      </c>
      <c r="L181" s="26"/>
      <c r="M181" s="142">
        <f>(C$158-C$138)*(0.4*D$14)*('Product half-life and C flows'!B42/100)</f>
        <v>1.5530108442579118</v>
      </c>
      <c r="N181" s="83"/>
      <c r="O181" s="143">
        <f t="shared" si="40"/>
        <v>7.7764117579468763</v>
      </c>
      <c r="P181" s="142">
        <f t="shared" si="41"/>
        <v>4.9627394570272001</v>
      </c>
      <c r="Q181" s="142">
        <f>(C$158-C$138)*(0.6*C$15)*('Product half-life and C flows'!L42/100)</f>
        <v>10.882075169410175</v>
      </c>
      <c r="R181" s="142">
        <f>(C$158-C$138)*0.6*('Product half-life and C flows'!N42/100)</f>
        <v>3.0874080796224175</v>
      </c>
      <c r="S181" s="142">
        <f>(C$158-C$138)*0.6*('Product half-life and C flows'!P42/100)</f>
        <v>1.5421618779332751</v>
      </c>
      <c r="T181" s="142">
        <f t="shared" si="42"/>
        <v>6.2027828465637995</v>
      </c>
      <c r="U181" s="3"/>
      <c r="V181" s="142">
        <f t="shared" si="43"/>
        <v>3.1060216885158232</v>
      </c>
      <c r="W181" s="142">
        <f t="shared" si="44"/>
        <v>56.127011067040847</v>
      </c>
      <c r="X181" s="142">
        <f t="shared" si="45"/>
        <v>7.7764117579468763</v>
      </c>
      <c r="Y181" s="142">
        <f t="shared" si="46"/>
        <v>4.9627394570272001</v>
      </c>
      <c r="Z181" s="142">
        <f t="shared" si="47"/>
        <v>14.808219071679254</v>
      </c>
      <c r="AA181" s="142">
        <f t="shared" si="48"/>
        <v>0.46736138217485096</v>
      </c>
      <c r="AB181" s="142">
        <f t="shared" si="49"/>
        <v>0.23344724384358187</v>
      </c>
      <c r="AC181" s="142">
        <f t="shared" si="50"/>
        <v>8.440684870857174</v>
      </c>
      <c r="AD181" s="40"/>
      <c r="AE181" s="40"/>
      <c r="AF181" s="40"/>
      <c r="AG181" s="40"/>
      <c r="AH181" s="40"/>
      <c r="AI181" s="40"/>
      <c r="AJ181" s="40"/>
      <c r="AK181" s="40"/>
      <c r="AL181" s="40"/>
      <c r="AM181" s="40"/>
      <c r="AN181" s="40"/>
      <c r="AO181" s="40"/>
      <c r="AP181" s="40"/>
      <c r="AQ181" s="40"/>
      <c r="AR181" s="40"/>
      <c r="AS181" s="40"/>
      <c r="AT181" s="40"/>
      <c r="AU181" s="40"/>
      <c r="AV181" s="40"/>
      <c r="AW181" s="40"/>
      <c r="AX181" s="40"/>
      <c r="CH181">
        <f t="shared" si="20"/>
        <v>23</v>
      </c>
      <c r="CI181" s="113">
        <f t="shared" si="21"/>
        <v>111.62253160834713</v>
      </c>
      <c r="CJ181" s="124">
        <f t="shared" si="22"/>
        <v>4.886621675448219</v>
      </c>
      <c r="CK181" s="124">
        <f t="shared" si="23"/>
        <v>56.127011067040847</v>
      </c>
      <c r="CL181" s="124">
        <f t="shared" si="24"/>
        <v>21.61344667315057</v>
      </c>
      <c r="CM181" s="124">
        <f t="shared" si="25"/>
        <v>10.679689795846361</v>
      </c>
      <c r="CN181" s="124">
        <f t="shared" si="26"/>
        <v>26.583395747475748</v>
      </c>
      <c r="CO181" s="124">
        <f t="shared" si="27"/>
        <v>4.2874051151536525</v>
      </c>
      <c r="CP181" s="124">
        <f t="shared" si="28"/>
        <v>2.1415609965802456</v>
      </c>
      <c r="CQ181" s="124">
        <f t="shared" si="29"/>
        <v>15.986905850612901</v>
      </c>
      <c r="CR181" s="144">
        <f t="shared" si="36"/>
        <v>142.30603692130853</v>
      </c>
    </row>
    <row r="182" spans="1:96" ht="14">
      <c r="A182">
        <f t="shared" si="39"/>
        <v>24</v>
      </c>
      <c r="B182" s="19">
        <f t="shared" si="39"/>
        <v>104</v>
      </c>
      <c r="C182" s="26">
        <f t="shared" si="31"/>
        <v>112.59390898119706</v>
      </c>
      <c r="D182" s="125">
        <f>(($C$39*$C$118*0.72)*D$40)*('Product half-life and C flows'!B83/100)</f>
        <v>0.21983662097814402</v>
      </c>
      <c r="E182" s="26"/>
      <c r="F182" s="54">
        <f t="shared" si="38"/>
        <v>6.0606231572568161</v>
      </c>
      <c r="G182" s="54">
        <f t="shared" si="38"/>
        <v>0.7542108817919595</v>
      </c>
      <c r="H182" s="125">
        <f>(H$118)*('Product half-life and C flows'!L83/100)</f>
        <v>0.87945022920657268</v>
      </c>
      <c r="I182" s="125">
        <f>(($C$39*$C$118*0.28)*H$41)*('Product half-life and C flows'!N83/100)</f>
        <v>0.73946811758484732</v>
      </c>
      <c r="J182" s="125">
        <f>(($C$39*$C$118*0.28)*H$41)*(+'Product half-life and C flows'!P83/100)</f>
        <v>0.36936469409832517</v>
      </c>
      <c r="K182" s="54">
        <f t="shared" si="16"/>
        <v>1.3434381331919276</v>
      </c>
      <c r="L182" s="26"/>
      <c r="M182" s="142">
        <f>(C$158-C$138)*(0.4*D$14)*('Product half-life and C flows'!B43/100)</f>
        <v>1.5001095936829623</v>
      </c>
      <c r="N182" s="83"/>
      <c r="O182" s="143">
        <f t="shared" si="40"/>
        <v>7.7764117579468763</v>
      </c>
      <c r="P182" s="142">
        <f t="shared" si="41"/>
        <v>4.9627394570272001</v>
      </c>
      <c r="Q182" s="142">
        <f>(C$158-C$138)*(0.6*C$15)*('Product half-life and C flows'!L43/100)</f>
        <v>10.715739961859647</v>
      </c>
      <c r="R182" s="142">
        <f>(C$158-C$138)*0.6*('Product half-life and C flows'!N43/100)</f>
        <v>3.1984091081278025</v>
      </c>
      <c r="S182" s="142">
        <f>(C$158-C$138)*0.6*('Product half-life and C flows'!P43/100)</f>
        <v>1.5976069471167842</v>
      </c>
      <c r="T182" s="142">
        <f t="shared" si="42"/>
        <v>6.1079717782599987</v>
      </c>
      <c r="U182" s="3"/>
      <c r="V182" s="142">
        <f t="shared" si="43"/>
        <v>3.0002191873659245</v>
      </c>
      <c r="W182" s="142">
        <f t="shared" si="44"/>
        <v>57.850184489619735</v>
      </c>
      <c r="X182" s="142">
        <f t="shared" si="45"/>
        <v>7.7764117579468763</v>
      </c>
      <c r="Y182" s="142">
        <f t="shared" si="46"/>
        <v>4.9627394570272001</v>
      </c>
      <c r="Z182" s="142">
        <f t="shared" si="47"/>
        <v>14.581871784567571</v>
      </c>
      <c r="AA182" s="142">
        <f t="shared" si="48"/>
        <v>0.61841047177404773</v>
      </c>
      <c r="AB182" s="142">
        <f t="shared" si="49"/>
        <v>0.30889633954747636</v>
      </c>
      <c r="AC182" s="142">
        <f t="shared" si="50"/>
        <v>8.3116669172035156</v>
      </c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  <c r="AN182" s="40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CH182">
        <f t="shared" si="20"/>
        <v>24</v>
      </c>
      <c r="CI182" s="113">
        <f t="shared" si="21"/>
        <v>112.59390898119706</v>
      </c>
      <c r="CJ182" s="124">
        <f t="shared" ref="CJ182:CJ213" si="51">D182+M182+V182+AE182+AN182+AW182+BF182+BO182+BX182</f>
        <v>4.7201654020270309</v>
      </c>
      <c r="CK182" s="124">
        <f t="shared" ref="CK182:CK213" si="52">E182+N182+W182+AF182+AO182+AX182+BG182+BP182+BY182</f>
        <v>57.850184489619735</v>
      </c>
      <c r="CL182" s="124">
        <f t="shared" ref="CL182:CL213" si="53">F182+O182+X182+AG182+AP182+AY182+BH182+BQ182+BZ182</f>
        <v>21.61344667315057</v>
      </c>
      <c r="CM182" s="124">
        <f t="shared" ref="CM182:CM213" si="54">G182+P182+Y182+AH182+AQ182+AZ182+BI182+BR182+CA182</f>
        <v>10.679689795846361</v>
      </c>
      <c r="CN182" s="124">
        <f t="shared" ref="CN182:CN213" si="55">H182+Q182+Z182+AI182+AR182+BA182+BJ182+BS182+CB182</f>
        <v>26.177061975633791</v>
      </c>
      <c r="CO182" s="124">
        <f t="shared" ref="CO182:CO213" si="56">I182+R182+AA182+AJ182+AS182+BB182+BK182+BT182+CC182</f>
        <v>4.556287697486697</v>
      </c>
      <c r="CP182" s="124">
        <f t="shared" ref="CP182:CP213" si="57">J182+S182+AB182+AK182+AT182+BC182+BL182+BU182+CD182</f>
        <v>2.2758679807625857</v>
      </c>
      <c r="CQ182" s="124">
        <f t="shared" ref="CQ182:CQ213" si="58">K182+T182+AC182+AL182+AU182+BD182+BM182+BV182+CE182</f>
        <v>15.763076828655443</v>
      </c>
      <c r="CR182" s="144">
        <f t="shared" si="36"/>
        <v>143.6357808431822</v>
      </c>
    </row>
    <row r="183" spans="1:96" ht="14">
      <c r="A183">
        <f t="shared" si="39"/>
        <v>25</v>
      </c>
      <c r="B183" s="19">
        <f t="shared" si="39"/>
        <v>105</v>
      </c>
      <c r="C183" s="26">
        <f t="shared" si="31"/>
        <v>113.55150510970481</v>
      </c>
      <c r="D183" s="125">
        <f>(($C$39*$C$118*0.72)*D$40)*('Product half-life and C flows'!B84/100)</f>
        <v>0.21234817863087113</v>
      </c>
      <c r="E183" s="26"/>
      <c r="F183" s="54">
        <f t="shared" si="38"/>
        <v>6.0606231572568161</v>
      </c>
      <c r="G183" s="54">
        <f t="shared" si="38"/>
        <v>0.7542108817919595</v>
      </c>
      <c r="H183" s="125">
        <f>(H$118)*('Product half-life and C flows'!L84/100)</f>
        <v>0.86600761517127911</v>
      </c>
      <c r="I183" s="125">
        <f>(($C$39*$C$118*0.28)*H$41)*('Product half-life and C flows'!N84/100)</f>
        <v>0.74619614590951167</v>
      </c>
      <c r="J183" s="125">
        <f>(($C$39*$C$118*0.28)*H$41)*(+'Product half-life and C flows'!P84/100)</f>
        <v>0.37272534760714859</v>
      </c>
      <c r="K183" s="54">
        <f t="shared" si="16"/>
        <v>1.3434381331919276</v>
      </c>
      <c r="L183" s="26"/>
      <c r="M183" s="142">
        <f>(C$158-C$138)*(0.4*D$14)*('Product half-life and C flows'!B44/100)</f>
        <v>1.4490103539070622</v>
      </c>
      <c r="N183" s="83"/>
      <c r="O183" s="143">
        <f t="shared" si="40"/>
        <v>7.7764117579468763</v>
      </c>
      <c r="P183" s="142">
        <f t="shared" si="41"/>
        <v>4.9627394570272001</v>
      </c>
      <c r="Q183" s="142">
        <f>(C$158-C$138)*(0.6*C$15)*('Product half-life and C flows'!L44/100)</f>
        <v>10.551947229052235</v>
      </c>
      <c r="R183" s="142">
        <f>(C$158-C$138)*0.6*('Product half-life and C flows'!N44/100)</f>
        <v>3.3077134584879491</v>
      </c>
      <c r="S183" s="142">
        <f>(C$158-C$138)*0.6*('Product half-life and C flows'!P44/100)</f>
        <v>1.6522045247192549</v>
      </c>
      <c r="T183" s="142">
        <f t="shared" si="42"/>
        <v>6.0146099205597734</v>
      </c>
      <c r="U183" s="3"/>
      <c r="V183" s="142">
        <f t="shared" si="43"/>
        <v>2.8980207078141245</v>
      </c>
      <c r="W183" s="142">
        <f t="shared" si="44"/>
        <v>59.573357912198624</v>
      </c>
      <c r="X183" s="142">
        <f t="shared" si="45"/>
        <v>7.7764117579468763</v>
      </c>
      <c r="Y183" s="142">
        <f t="shared" si="46"/>
        <v>4.9627394570272001</v>
      </c>
      <c r="Z183" s="142">
        <f t="shared" si="47"/>
        <v>14.35898427166201</v>
      </c>
      <c r="AA183" s="142">
        <f t="shared" si="48"/>
        <v>0.76715073871969297</v>
      </c>
      <c r="AB183" s="142">
        <f t="shared" si="49"/>
        <v>0.38319217718266385</v>
      </c>
      <c r="AC183" s="142">
        <f t="shared" si="50"/>
        <v>8.1846210348473445</v>
      </c>
      <c r="AD183" s="40"/>
      <c r="AE183" s="40"/>
      <c r="AF183" s="40"/>
      <c r="AG183" s="40"/>
      <c r="AH183" s="40"/>
      <c r="AI183" s="40"/>
      <c r="AJ183" s="40"/>
      <c r="AK183" s="40"/>
      <c r="AL183" s="40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CH183">
        <f t="shared" si="20"/>
        <v>25</v>
      </c>
      <c r="CI183" s="113">
        <f t="shared" si="21"/>
        <v>113.55150510970481</v>
      </c>
      <c r="CJ183" s="124">
        <f t="shared" si="51"/>
        <v>4.5593792403520581</v>
      </c>
      <c r="CK183" s="124">
        <f t="shared" si="52"/>
        <v>59.573357912198624</v>
      </c>
      <c r="CL183" s="124">
        <f t="shared" si="53"/>
        <v>21.61344667315057</v>
      </c>
      <c r="CM183" s="124">
        <f t="shared" si="54"/>
        <v>10.679689795846361</v>
      </c>
      <c r="CN183" s="124">
        <f t="shared" si="55"/>
        <v>25.776939115885526</v>
      </c>
      <c r="CO183" s="124">
        <f t="shared" si="56"/>
        <v>4.8210603431171535</v>
      </c>
      <c r="CP183" s="124">
        <f t="shared" si="57"/>
        <v>2.4081220495090672</v>
      </c>
      <c r="CQ183" s="124">
        <f t="shared" si="58"/>
        <v>15.542669088599045</v>
      </c>
      <c r="CR183" s="144">
        <f t="shared" si="36"/>
        <v>144.9746642186584</v>
      </c>
    </row>
    <row r="184" spans="1:96" ht="14">
      <c r="A184">
        <f t="shared" si="39"/>
        <v>26</v>
      </c>
      <c r="B184" s="19">
        <f t="shared" si="39"/>
        <v>106</v>
      </c>
      <c r="C184" s="26">
        <f t="shared" si="31"/>
        <v>114.4953938672609</v>
      </c>
      <c r="D184" s="125">
        <f>(($C$39*$C$118*0.72)*D$40)*('Product half-life and C flows'!B85/100)</f>
        <v>0.20511482012058099</v>
      </c>
      <c r="E184" s="26"/>
      <c r="F184" s="54">
        <f t="shared" ref="F184:G199" si="59">F183</f>
        <v>6.0606231572568161</v>
      </c>
      <c r="G184" s="54">
        <f t="shared" si="59"/>
        <v>0.7542108817919595</v>
      </c>
      <c r="H184" s="125">
        <f>(H$118)*('Product half-life and C flows'!L85/100)</f>
        <v>0.85277047481272206</v>
      </c>
      <c r="I184" s="125">
        <f>(($C$39*$C$118*0.28)*H$41)*('Product half-life and C flows'!N85/100)</f>
        <v>0.7528213346589695</v>
      </c>
      <c r="J184" s="125">
        <f>(($C$39*$C$118*0.28)*H$41)*(+'Product half-life and C flows'!P85/100)</f>
        <v>0.37603463269678783</v>
      </c>
      <c r="K184" s="54">
        <f t="shared" ref="K184:K247" si="60">K183</f>
        <v>1.3434381331919276</v>
      </c>
      <c r="L184" s="26"/>
      <c r="M184" s="142">
        <f>(C$158-C$138)*(0.4*D$14)*('Product half-life and C flows'!B45/100)</f>
        <v>1.3996517418270789</v>
      </c>
      <c r="N184" s="83"/>
      <c r="O184" s="143">
        <f t="shared" si="40"/>
        <v>7.7764117579468763</v>
      </c>
      <c r="P184" s="142">
        <f t="shared" si="41"/>
        <v>4.9627394570272001</v>
      </c>
      <c r="Q184" s="142">
        <f>(C$158-C$138)*(0.6*C$15)*('Product half-life and C flows'!L45/100)</f>
        <v>10.390658108633332</v>
      </c>
      <c r="R184" s="142">
        <f>(C$158-C$138)*0.6*('Product half-life and C flows'!N45/100)</f>
        <v>3.4153470648474982</v>
      </c>
      <c r="S184" s="142">
        <f>(C$158-C$138)*0.6*('Product half-life and C flows'!P45/100)</f>
        <v>1.7059675648588901</v>
      </c>
      <c r="T184" s="142">
        <f t="shared" si="42"/>
        <v>5.9226751219209985</v>
      </c>
      <c r="U184" s="3"/>
      <c r="V184" s="142">
        <f t="shared" si="43"/>
        <v>2.7993034836541577</v>
      </c>
      <c r="W184" s="142">
        <f t="shared" si="44"/>
        <v>61.296531334777512</v>
      </c>
      <c r="X184" s="142">
        <f t="shared" si="45"/>
        <v>7.7764117579468763</v>
      </c>
      <c r="Y184" s="142">
        <f t="shared" si="46"/>
        <v>4.9627394570272001</v>
      </c>
      <c r="Z184" s="142">
        <f t="shared" si="47"/>
        <v>14.139503649459039</v>
      </c>
      <c r="AA184" s="142">
        <f t="shared" si="48"/>
        <v>0.91361747393647497</v>
      </c>
      <c r="AB184" s="142">
        <f t="shared" si="49"/>
        <v>0.4563523845836539</v>
      </c>
      <c r="AC184" s="142">
        <f t="shared" si="50"/>
        <v>8.059517080191652</v>
      </c>
      <c r="AD184" s="40"/>
      <c r="AE184" s="40"/>
      <c r="AF184" s="40"/>
      <c r="AG184" s="40"/>
      <c r="AH184" s="40"/>
      <c r="AI184" s="40"/>
      <c r="AJ184" s="40"/>
      <c r="AK184" s="40"/>
      <c r="AL184" s="40"/>
      <c r="AM184" s="40"/>
      <c r="AN184" s="40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CH184">
        <f t="shared" si="20"/>
        <v>26</v>
      </c>
      <c r="CI184" s="113">
        <f t="shared" si="21"/>
        <v>114.4953938672609</v>
      </c>
      <c r="CJ184" s="124">
        <f t="shared" si="51"/>
        <v>4.4040700456018174</v>
      </c>
      <c r="CK184" s="124">
        <f t="shared" si="52"/>
        <v>61.296531334777512</v>
      </c>
      <c r="CL184" s="124">
        <f t="shared" si="53"/>
        <v>21.61344667315057</v>
      </c>
      <c r="CM184" s="124">
        <f t="shared" si="54"/>
        <v>10.679689795846361</v>
      </c>
      <c r="CN184" s="124">
        <f t="shared" si="55"/>
        <v>25.382932232905091</v>
      </c>
      <c r="CO184" s="124">
        <f t="shared" si="56"/>
        <v>5.0817858734429429</v>
      </c>
      <c r="CP184" s="124">
        <f t="shared" si="57"/>
        <v>2.5383545821393314</v>
      </c>
      <c r="CQ184" s="124">
        <f t="shared" si="58"/>
        <v>15.325630335304577</v>
      </c>
      <c r="CR184" s="144">
        <f t="shared" si="36"/>
        <v>146.32244087316818</v>
      </c>
    </row>
    <row r="185" spans="1:96" ht="14">
      <c r="A185">
        <f t="shared" si="39"/>
        <v>27</v>
      </c>
      <c r="B185" s="19">
        <f t="shared" si="39"/>
        <v>107</v>
      </c>
      <c r="C185" s="26">
        <f t="shared" si="31"/>
        <v>115.42565460519332</v>
      </c>
      <c r="D185" s="125">
        <f>(($C$39*$C$118*0.72)*D$40)*('Product half-life and C flows'!B86/100)</f>
        <v>0.19812785635535404</v>
      </c>
      <c r="E185" s="26"/>
      <c r="F185" s="54">
        <f t="shared" si="59"/>
        <v>6.0606231572568161</v>
      </c>
      <c r="G185" s="54">
        <f t="shared" si="59"/>
        <v>0.7542108817919595</v>
      </c>
      <c r="H185" s="125">
        <f>(H$118)*('Product half-life and C flows'!L86/100)</f>
        <v>0.8397356674149874</v>
      </c>
      <c r="I185" s="125">
        <f>(($C$39*$C$118*0.28)*H$41)*('Product half-life and C flows'!N86/100)</f>
        <v>0.75934525576153566</v>
      </c>
      <c r="J185" s="125">
        <f>(($C$39*$C$118*0.28)*H$41)*(+'Product half-life and C flows'!P86/100)</f>
        <v>0.37929333454622149</v>
      </c>
      <c r="K185" s="54">
        <f t="shared" si="60"/>
        <v>1.3434381331919276</v>
      </c>
      <c r="L185" s="26"/>
      <c r="M185" s="142">
        <f>(C$158-C$138)*(0.4*D$14)*('Product half-life and C flows'!B46/100)</f>
        <v>1.3519744652737142</v>
      </c>
      <c r="N185" s="83"/>
      <c r="O185" s="143">
        <f t="shared" si="40"/>
        <v>7.7764117579468763</v>
      </c>
      <c r="P185" s="142">
        <f t="shared" si="41"/>
        <v>4.9627394570272001</v>
      </c>
      <c r="Q185" s="142">
        <f>(C$158-C$138)*(0.6*C$15)*('Product half-life and C flows'!L46/100)</f>
        <v>10.231834332269013</v>
      </c>
      <c r="R185" s="142">
        <f>(C$158-C$138)*0.6*('Product half-life and C flows'!N46/100)</f>
        <v>3.5213354649412865</v>
      </c>
      <c r="S185" s="142">
        <f>(C$158-C$138)*0.6*('Product half-life and C flows'!P46/100)</f>
        <v>1.7589088236469963</v>
      </c>
      <c r="T185" s="142">
        <f t="shared" si="42"/>
        <v>5.8321455693933375</v>
      </c>
      <c r="U185" s="3"/>
      <c r="V185" s="142">
        <f t="shared" si="43"/>
        <v>2.7039489305474285</v>
      </c>
      <c r="W185" s="142">
        <f t="shared" si="44"/>
        <v>63.019704757356401</v>
      </c>
      <c r="X185" s="142">
        <f t="shared" si="45"/>
        <v>7.7764117579468763</v>
      </c>
      <c r="Y185" s="142">
        <f t="shared" si="46"/>
        <v>4.9627394570272001</v>
      </c>
      <c r="Z185" s="142">
        <f t="shared" si="47"/>
        <v>13.923377842792547</v>
      </c>
      <c r="AA185" s="142">
        <f t="shared" si="48"/>
        <v>1.0578454289185806</v>
      </c>
      <c r="AB185" s="142">
        <f t="shared" si="49"/>
        <v>0.52839432013915122</v>
      </c>
      <c r="AC185" s="142">
        <f t="shared" si="50"/>
        <v>7.9363253703917511</v>
      </c>
      <c r="AD185" s="40"/>
      <c r="AE185" s="40"/>
      <c r="AF185" s="40"/>
      <c r="AG185" s="40"/>
      <c r="AH185" s="40"/>
      <c r="AI185" s="40"/>
      <c r="AJ185" s="40"/>
      <c r="AK185" s="40"/>
      <c r="AL185" s="40"/>
      <c r="AM185" s="40"/>
      <c r="AN185" s="40"/>
      <c r="AO185" s="40"/>
      <c r="AP185" s="40"/>
      <c r="AQ185" s="40"/>
      <c r="AR185" s="40"/>
      <c r="AS185" s="40"/>
      <c r="AT185" s="40"/>
      <c r="AU185" s="40"/>
      <c r="AV185" s="40"/>
      <c r="AW185" s="40"/>
      <c r="AX185" s="40"/>
      <c r="CH185">
        <f t="shared" si="20"/>
        <v>27</v>
      </c>
      <c r="CI185" s="113">
        <f t="shared" si="21"/>
        <v>115.42565460519332</v>
      </c>
      <c r="CJ185" s="124">
        <f t="shared" si="51"/>
        <v>4.254051252176497</v>
      </c>
      <c r="CK185" s="124">
        <f t="shared" si="52"/>
        <v>63.019704757356401</v>
      </c>
      <c r="CL185" s="124">
        <f t="shared" si="53"/>
        <v>21.61344667315057</v>
      </c>
      <c r="CM185" s="124">
        <f t="shared" si="54"/>
        <v>10.679689795846361</v>
      </c>
      <c r="CN185" s="124">
        <f t="shared" si="55"/>
        <v>24.994947842476549</v>
      </c>
      <c r="CO185" s="124">
        <f t="shared" si="56"/>
        <v>5.3385261496214031</v>
      </c>
      <c r="CP185" s="124">
        <f t="shared" si="57"/>
        <v>2.666596478332369</v>
      </c>
      <c r="CQ185" s="124">
        <f t="shared" si="58"/>
        <v>15.111909072977017</v>
      </c>
      <c r="CR185" s="144">
        <f t="shared" si="36"/>
        <v>147.67887202193717</v>
      </c>
    </row>
    <row r="186" spans="1:96" ht="14">
      <c r="A186">
        <f t="shared" si="39"/>
        <v>28</v>
      </c>
      <c r="B186" s="19">
        <f t="shared" si="39"/>
        <v>108</v>
      </c>
      <c r="C186" s="26">
        <f t="shared" si="31"/>
        <v>116.34237182238667</v>
      </c>
      <c r="D186" s="125">
        <f>(($C$39*$C$118*0.72)*D$40)*('Product half-life and C flows'!B87/100)</f>
        <v>0.19137889422563981</v>
      </c>
      <c r="E186" s="26"/>
      <c r="F186" s="54">
        <f t="shared" si="59"/>
        <v>6.0606231572568161</v>
      </c>
      <c r="G186" s="54">
        <f t="shared" si="59"/>
        <v>0.7542108817919595</v>
      </c>
      <c r="H186" s="125">
        <f>(H$118)*('Product half-life and C flows'!L87/100)</f>
        <v>0.82690010026877914</v>
      </c>
      <c r="I186" s="125">
        <f>(($C$39*$C$118*0.28)*H$41)*('Product half-life and C flows'!N87/100)</f>
        <v>0.76576945711821298</v>
      </c>
      <c r="J186" s="125">
        <f>(($C$39*$C$118*0.28)*H$41)*(+'Product half-life and C flows'!P87/100)</f>
        <v>0.38250222633277359</v>
      </c>
      <c r="K186" s="54">
        <f t="shared" si="60"/>
        <v>1.3434381331919276</v>
      </c>
      <c r="L186" s="26"/>
      <c r="M186" s="142">
        <f>(C$158-C$138)*(0.4*D$14)*('Product half-life and C flows'!B47/100)</f>
        <v>1.3059212517866228</v>
      </c>
      <c r="N186" s="83"/>
      <c r="O186" s="143">
        <f t="shared" si="40"/>
        <v>7.7764117579468763</v>
      </c>
      <c r="P186" s="142">
        <f t="shared" si="41"/>
        <v>4.9627394570272001</v>
      </c>
      <c r="Q186" s="142">
        <f>(C$158-C$138)*(0.6*C$15)*('Product half-life and C flows'!L47/100)</f>
        <v>10.075438216566313</v>
      </c>
      <c r="R186" s="142">
        <f>(C$158-C$138)*0.6*('Product half-life and C flows'!N47/100)</f>
        <v>3.6257038061535538</v>
      </c>
      <c r="S186" s="142">
        <f>(C$158-C$138)*0.6*('Product half-life and C flows'!P47/100)</f>
        <v>1.8110408622145622</v>
      </c>
      <c r="T186" s="142">
        <f t="shared" si="42"/>
        <v>5.7429997834427979</v>
      </c>
      <c r="U186" s="3"/>
      <c r="V186" s="142">
        <f t="shared" si="43"/>
        <v>2.6118425035732455</v>
      </c>
      <c r="W186" s="142">
        <f t="shared" si="44"/>
        <v>64.742878179935289</v>
      </c>
      <c r="X186" s="142">
        <f t="shared" si="45"/>
        <v>7.7764117579468763</v>
      </c>
      <c r="Y186" s="142">
        <f t="shared" si="46"/>
        <v>4.9627394570272001</v>
      </c>
      <c r="Z186" s="142">
        <f t="shared" si="47"/>
        <v>13.710555572478198</v>
      </c>
      <c r="AA186" s="142">
        <f t="shared" si="48"/>
        <v>1.1998688239750228</v>
      </c>
      <c r="AB186" s="142">
        <f t="shared" si="49"/>
        <v>0.59933507691060084</v>
      </c>
      <c r="AC186" s="142">
        <f t="shared" si="50"/>
        <v>7.8150166763125721</v>
      </c>
      <c r="AD186" s="40"/>
      <c r="AE186" s="40"/>
      <c r="AF186" s="40"/>
      <c r="AG186" s="40"/>
      <c r="AH186" s="40"/>
      <c r="AI186" s="40"/>
      <c r="AJ186" s="40"/>
      <c r="AK186" s="40"/>
      <c r="AL186" s="40"/>
      <c r="AM186" s="40"/>
      <c r="AN186" s="40"/>
      <c r="AO186" s="40"/>
      <c r="AP186" s="40"/>
      <c r="AQ186" s="40"/>
      <c r="AR186" s="40"/>
      <c r="AS186" s="40"/>
      <c r="AT186" s="40"/>
      <c r="AU186" s="40"/>
      <c r="AV186" s="40"/>
      <c r="AW186" s="40"/>
      <c r="AX186" s="40"/>
      <c r="CH186">
        <f t="shared" si="20"/>
        <v>28</v>
      </c>
      <c r="CI186" s="113">
        <f t="shared" si="21"/>
        <v>116.34237182238667</v>
      </c>
      <c r="CJ186" s="124">
        <f t="shared" si="51"/>
        <v>4.1091426495855083</v>
      </c>
      <c r="CK186" s="124">
        <f t="shared" si="52"/>
        <v>64.742878179935289</v>
      </c>
      <c r="CL186" s="124">
        <f t="shared" si="53"/>
        <v>21.61344667315057</v>
      </c>
      <c r="CM186" s="124">
        <f t="shared" si="54"/>
        <v>10.679689795846361</v>
      </c>
      <c r="CN186" s="124">
        <f t="shared" si="55"/>
        <v>24.612893889313291</v>
      </c>
      <c r="CO186" s="124">
        <f t="shared" si="56"/>
        <v>5.5913420872467894</v>
      </c>
      <c r="CP186" s="124">
        <f t="shared" si="57"/>
        <v>2.7928781654579367</v>
      </c>
      <c r="CQ186" s="124">
        <f t="shared" si="58"/>
        <v>14.901454592947298</v>
      </c>
      <c r="CR186" s="144">
        <f t="shared" si="36"/>
        <v>149.04372603348307</v>
      </c>
    </row>
    <row r="187" spans="1:96" ht="14">
      <c r="A187">
        <f t="shared" si="39"/>
        <v>29</v>
      </c>
      <c r="B187" s="19">
        <f t="shared" si="39"/>
        <v>109</v>
      </c>
      <c r="C187" s="26">
        <f t="shared" si="31"/>
        <v>117.24563484721969</v>
      </c>
      <c r="D187" s="125">
        <f>(($C$39*$C$118*0.72)*D$40)*('Product half-life and C flows'!B88/100)</f>
        <v>0.18485982652201088</v>
      </c>
      <c r="E187" s="26"/>
      <c r="F187" s="54">
        <f t="shared" si="59"/>
        <v>6.0606231572568161</v>
      </c>
      <c r="G187" s="54">
        <f t="shared" si="59"/>
        <v>0.7542108817919595</v>
      </c>
      <c r="H187" s="125">
        <f>(H$118)*('Product half-life and C flows'!L88/100)</f>
        <v>0.81426072793762694</v>
      </c>
      <c r="I187" s="125">
        <f>(($C$39*$C$118*0.28)*H$41)*('Product half-life and C flows'!N88/100)</f>
        <v>0.77209546296995457</v>
      </c>
      <c r="J187" s="125">
        <f>(($C$39*$C$118*0.28)*H$41)*(+'Product half-life and C flows'!P88/100)</f>
        <v>0.38566206941556164</v>
      </c>
      <c r="K187" s="54">
        <f t="shared" si="60"/>
        <v>1.3434381331919276</v>
      </c>
      <c r="L187" s="26"/>
      <c r="M187" s="142">
        <f>(C$158-C$138)*(0.4*D$14)*('Product half-life and C flows'!B48/100)</f>
        <v>1.2614367798157096</v>
      </c>
      <c r="N187" s="83"/>
      <c r="O187" s="143">
        <f t="shared" si="40"/>
        <v>7.7764117579468763</v>
      </c>
      <c r="P187" s="142">
        <f t="shared" si="41"/>
        <v>4.9627394570272001</v>
      </c>
      <c r="Q187" s="142">
        <f>(C$158-C$138)*(0.6*C$15)*('Product half-life and C flows'!L48/100)</f>
        <v>9.9214326541322233</v>
      </c>
      <c r="R187" s="142">
        <f>(C$158-C$138)*0.6*('Product half-life and C flows'!N48/100)</f>
        <v>3.728476851484571</v>
      </c>
      <c r="S187" s="142">
        <f>(C$158-C$138)*0.6*('Product half-life and C flows'!P48/100)</f>
        <v>1.8623760496925927</v>
      </c>
      <c r="T187" s="142">
        <f t="shared" si="42"/>
        <v>5.6552166128553667</v>
      </c>
      <c r="U187" s="3"/>
      <c r="V187" s="142">
        <f t="shared" si="43"/>
        <v>2.5228735596314182</v>
      </c>
      <c r="W187" s="142">
        <f t="shared" si="44"/>
        <v>66.466051602514185</v>
      </c>
      <c r="X187" s="142">
        <f t="shared" si="45"/>
        <v>7.7764117579468763</v>
      </c>
      <c r="Y187" s="142">
        <f t="shared" si="46"/>
        <v>4.9627394570272001</v>
      </c>
      <c r="Z187" s="142">
        <f t="shared" si="47"/>
        <v>13.500986343146657</v>
      </c>
      <c r="AA187" s="142">
        <f t="shared" si="48"/>
        <v>1.3397213563489379</v>
      </c>
      <c r="AB187" s="142">
        <f t="shared" si="49"/>
        <v>0.66919148668778117</v>
      </c>
      <c r="AC187" s="142">
        <f t="shared" si="50"/>
        <v>7.6955622155935934</v>
      </c>
      <c r="AD187" s="40"/>
      <c r="AE187" s="40"/>
      <c r="AF187" s="40"/>
      <c r="AG187" s="40"/>
      <c r="AH187" s="40"/>
      <c r="AI187" s="40"/>
      <c r="AJ187" s="40"/>
      <c r="AK187" s="40"/>
      <c r="AL187" s="40"/>
      <c r="AM187" s="40"/>
      <c r="AN187" s="40"/>
      <c r="AO187" s="40"/>
      <c r="AP187" s="40"/>
      <c r="AQ187" s="40"/>
      <c r="AR187" s="40"/>
      <c r="AS187" s="40"/>
      <c r="AT187" s="40"/>
      <c r="AU187" s="40"/>
      <c r="AV187" s="40"/>
      <c r="AW187" s="40"/>
      <c r="AX187" s="40"/>
      <c r="CH187">
        <f t="shared" si="20"/>
        <v>29</v>
      </c>
      <c r="CI187" s="113">
        <f t="shared" si="21"/>
        <v>117.24563484721969</v>
      </c>
      <c r="CJ187" s="124">
        <f t="shared" si="51"/>
        <v>3.969170165969139</v>
      </c>
      <c r="CK187" s="124">
        <f t="shared" si="52"/>
        <v>66.466051602514185</v>
      </c>
      <c r="CL187" s="124">
        <f t="shared" si="53"/>
        <v>21.61344667315057</v>
      </c>
      <c r="CM187" s="124">
        <f t="shared" si="54"/>
        <v>10.679689795846361</v>
      </c>
      <c r="CN187" s="124">
        <f t="shared" si="55"/>
        <v>24.236679725216508</v>
      </c>
      <c r="CO187" s="124">
        <f t="shared" si="56"/>
        <v>5.8402936708034634</v>
      </c>
      <c r="CP187" s="124">
        <f t="shared" si="57"/>
        <v>2.9172296057959355</v>
      </c>
      <c r="CQ187" s="124">
        <f t="shared" si="58"/>
        <v>14.694216961640887</v>
      </c>
      <c r="CR187" s="144">
        <f t="shared" si="36"/>
        <v>150.41677820093705</v>
      </c>
    </row>
    <row r="188" spans="1:96" ht="14">
      <c r="A188">
        <f t="shared" si="39"/>
        <v>30</v>
      </c>
      <c r="B188" s="19">
        <f t="shared" si="39"/>
        <v>110</v>
      </c>
      <c r="C188" s="26">
        <f t="shared" si="31"/>
        <v>118.1355375315197</v>
      </c>
      <c r="D188" s="125">
        <f>(($C$39*$C$118*0.72)*D$40)*('Product half-life and C flows'!B89/100)</f>
        <v>0.17856282219635494</v>
      </c>
      <c r="E188" s="26"/>
      <c r="F188" s="54">
        <f t="shared" si="59"/>
        <v>6.0606231572568161</v>
      </c>
      <c r="G188" s="54">
        <f t="shared" si="59"/>
        <v>0.7542108817919595</v>
      </c>
      <c r="H188" s="125">
        <f>(H$118)*('Product half-life and C flows'!L89/100)</f>
        <v>0.80181455153531056</v>
      </c>
      <c r="I188" s="125">
        <f>(($C$39*$C$118*0.28)*H$41)*('Product half-life and C flows'!N89/100)</f>
        <v>0.7783247742593139</v>
      </c>
      <c r="J188" s="125">
        <f>(($C$39*$C$118*0.28)*H$41)*(+'Product half-life and C flows'!P89/100)</f>
        <v>0.38877361351614065</v>
      </c>
      <c r="K188" s="54">
        <f t="shared" si="60"/>
        <v>1.3434381331919276</v>
      </c>
      <c r="L188" s="26"/>
      <c r="M188" s="142">
        <f>(C$158-C$138)*(0.4*D$14)*('Product half-life and C flows'!B49/100)</f>
        <v>1.218467612265965</v>
      </c>
      <c r="N188" s="83"/>
      <c r="O188" s="143">
        <f t="shared" si="40"/>
        <v>7.7764117579468763</v>
      </c>
      <c r="P188" s="142">
        <f t="shared" si="41"/>
        <v>4.9627394570272001</v>
      </c>
      <c r="Q188" s="142">
        <f>(C$158-C$138)*(0.6*C$15)*('Product half-life and C flows'!L49/100)</f>
        <v>9.769781104769411</v>
      </c>
      <c r="R188" s="142">
        <f>(C$158-C$138)*0.6*('Product half-life and C flows'!N49/100)</f>
        <v>3.8296789854260211</v>
      </c>
      <c r="S188" s="142">
        <f>(C$158-C$138)*0.6*('Product half-life and C flows'!P49/100)</f>
        <v>1.9129265661468633</v>
      </c>
      <c r="T188" s="142">
        <f t="shared" si="42"/>
        <v>5.5687752297185638</v>
      </c>
      <c r="U188" s="3"/>
      <c r="V188" s="142">
        <f t="shared" si="43"/>
        <v>2.43693522453193</v>
      </c>
      <c r="W188" s="142">
        <f t="shared" si="44"/>
        <v>68.18922502509308</v>
      </c>
      <c r="X188" s="142">
        <f t="shared" si="45"/>
        <v>7.7764117579468763</v>
      </c>
      <c r="Y188" s="142">
        <f t="shared" si="46"/>
        <v>4.9627394570272001</v>
      </c>
      <c r="Z188" s="142">
        <f t="shared" si="47"/>
        <v>13.294620431262789</v>
      </c>
      <c r="AA188" s="142">
        <f t="shared" si="48"/>
        <v>1.4774362082127719</v>
      </c>
      <c r="AB188" s="142">
        <f t="shared" si="49"/>
        <v>0.73798012398240365</v>
      </c>
      <c r="AC188" s="142">
        <f t="shared" si="50"/>
        <v>7.5779336458197895</v>
      </c>
      <c r="AD188" s="40"/>
      <c r="AE188" s="40"/>
      <c r="AF188" s="40"/>
      <c r="AG188" s="40"/>
      <c r="AH188" s="40"/>
      <c r="AI188" s="40"/>
      <c r="AJ188" s="40"/>
      <c r="AK188" s="40"/>
      <c r="AL188" s="40"/>
      <c r="AM188" s="40"/>
      <c r="AN188" s="40"/>
      <c r="AO188" s="40"/>
      <c r="AP188" s="40"/>
      <c r="AQ188" s="40"/>
      <c r="AR188" s="40"/>
      <c r="AS188" s="40"/>
      <c r="AT188" s="40"/>
      <c r="AU188" s="40"/>
      <c r="AV188" s="40"/>
      <c r="AW188" s="40"/>
      <c r="AX188" s="40"/>
      <c r="CH188">
        <f t="shared" si="20"/>
        <v>30</v>
      </c>
      <c r="CI188" s="113">
        <f t="shared" si="21"/>
        <v>118.1355375315197</v>
      </c>
      <c r="CJ188" s="124">
        <f t="shared" si="51"/>
        <v>3.8339656589942499</v>
      </c>
      <c r="CK188" s="124">
        <f t="shared" si="52"/>
        <v>68.18922502509308</v>
      </c>
      <c r="CL188" s="124">
        <f t="shared" si="53"/>
        <v>21.61344667315057</v>
      </c>
      <c r="CM188" s="124">
        <f t="shared" si="54"/>
        <v>10.679689795846361</v>
      </c>
      <c r="CN188" s="124">
        <f t="shared" si="55"/>
        <v>23.866216087567508</v>
      </c>
      <c r="CO188" s="124">
        <f t="shared" si="56"/>
        <v>6.0854399678981075</v>
      </c>
      <c r="CP188" s="124">
        <f t="shared" si="57"/>
        <v>3.0396803036454076</v>
      </c>
      <c r="CQ188" s="124">
        <f t="shared" si="58"/>
        <v>14.490147008730281</v>
      </c>
      <c r="CR188" s="144">
        <f t="shared" si="36"/>
        <v>151.79781052092557</v>
      </c>
    </row>
    <row r="189" spans="1:96" ht="14">
      <c r="A189">
        <f t="shared" si="39"/>
        <v>31</v>
      </c>
      <c r="B189" s="19">
        <f t="shared" si="39"/>
        <v>111</v>
      </c>
      <c r="C189" s="26">
        <f t="shared" si="31"/>
        <v>119.01217795623283</v>
      </c>
      <c r="D189" s="125">
        <f>(($C$39*$C$118*0.72)*D$40)*('Product half-life and C flows'!B90/100)</f>
        <v>0.17248031695480703</v>
      </c>
      <c r="E189" s="26"/>
      <c r="F189" s="54">
        <f t="shared" si="59"/>
        <v>6.0606231572568161</v>
      </c>
      <c r="G189" s="54">
        <f t="shared" si="59"/>
        <v>0.7542108817919595</v>
      </c>
      <c r="H189" s="125">
        <f>(H$118)*('Product half-life and C flows'!L90/100)</f>
        <v>0.78955861801432536</v>
      </c>
      <c r="I189" s="125">
        <f>(($C$39*$C$118*0.28)*H$41)*('Product half-life and C flows'!N90/100)</f>
        <v>0.78445886898656703</v>
      </c>
      <c r="J189" s="125">
        <f>(($C$39*$C$118*0.28)*H$41)*(+'Product half-life and C flows'!P90/100)</f>
        <v>0.39183759689638703</v>
      </c>
      <c r="K189" s="54">
        <f t="shared" si="60"/>
        <v>1.3434381331919276</v>
      </c>
      <c r="L189" s="26"/>
      <c r="M189" s="142">
        <f>(C$158-C$138)*(0.4*D$14)*('Product half-life and C flows'!B50/100)</f>
        <v>1.1769621323060084</v>
      </c>
      <c r="N189" s="83"/>
      <c r="O189" s="143">
        <f t="shared" si="40"/>
        <v>7.7764117579468763</v>
      </c>
      <c r="P189" s="142">
        <f t="shared" si="41"/>
        <v>4.9627394570272001</v>
      </c>
      <c r="Q189" s="142">
        <f>(C$158-C$138)*(0.6*C$15)*('Product half-life and C flows'!L50/100)</f>
        <v>9.6204475868064847</v>
      </c>
      <c r="R189" s="142">
        <f>(C$158-C$138)*0.6*('Product half-life and C flows'!N50/100)</f>
        <v>3.9293342197466132</v>
      </c>
      <c r="S189" s="142">
        <f>(C$158-C$138)*0.6*('Product half-life and C flows'!P50/100)</f>
        <v>1.9627044054678384</v>
      </c>
      <c r="T189" s="142">
        <f t="shared" si="42"/>
        <v>5.4836551244796956</v>
      </c>
      <c r="U189" s="3"/>
      <c r="V189" s="142">
        <f t="shared" si="43"/>
        <v>2.3539242646120164</v>
      </c>
      <c r="W189" s="142">
        <f t="shared" si="44"/>
        <v>69.912398447671976</v>
      </c>
      <c r="X189" s="142">
        <f t="shared" si="45"/>
        <v>7.7764117579468763</v>
      </c>
      <c r="Y189" s="142">
        <f t="shared" si="46"/>
        <v>4.9627394570272001</v>
      </c>
      <c r="Z189" s="142">
        <f t="shared" si="47"/>
        <v>13.091408873327982</v>
      </c>
      <c r="AA189" s="142">
        <f t="shared" si="48"/>
        <v>1.6130460545412677</v>
      </c>
      <c r="AB189" s="142">
        <f t="shared" si="49"/>
        <v>0.80571730996067314</v>
      </c>
      <c r="AC189" s="142">
        <f t="shared" si="50"/>
        <v>7.4621030577969494</v>
      </c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CH189">
        <f t="shared" si="20"/>
        <v>31</v>
      </c>
      <c r="CI189" s="113">
        <f t="shared" si="21"/>
        <v>119.01217795623283</v>
      </c>
      <c r="CJ189" s="124">
        <f t="shared" si="51"/>
        <v>3.7033667138728319</v>
      </c>
      <c r="CK189" s="124">
        <f t="shared" si="52"/>
        <v>69.912398447671976</v>
      </c>
      <c r="CL189" s="124">
        <f t="shared" si="53"/>
        <v>21.61344667315057</v>
      </c>
      <c r="CM189" s="124">
        <f t="shared" si="54"/>
        <v>10.679689795846361</v>
      </c>
      <c r="CN189" s="124">
        <f t="shared" si="55"/>
        <v>23.501415078148792</v>
      </c>
      <c r="CO189" s="124">
        <f t="shared" si="56"/>
        <v>6.326839143274448</v>
      </c>
      <c r="CP189" s="124">
        <f t="shared" si="57"/>
        <v>3.1602593123248988</v>
      </c>
      <c r="CQ189" s="124">
        <f t="shared" si="58"/>
        <v>14.289196315468573</v>
      </c>
      <c r="CR189" s="144">
        <f t="shared" si="36"/>
        <v>153.18661147975843</v>
      </c>
    </row>
    <row r="190" spans="1:96" ht="14">
      <c r="A190">
        <f t="shared" si="39"/>
        <v>32</v>
      </c>
      <c r="B190" s="19">
        <f t="shared" si="39"/>
        <v>112</v>
      </c>
      <c r="C190" s="26">
        <f t="shared" si="31"/>
        <v>119.8756581485074</v>
      </c>
      <c r="D190" s="125">
        <f>(($C$39*$C$118*0.72)*D$40)*('Product half-life and C flows'!B91/100)</f>
        <v>0.16660500417112009</v>
      </c>
      <c r="E190" s="26"/>
      <c r="F190" s="54">
        <f t="shared" si="59"/>
        <v>6.0606231572568161</v>
      </c>
      <c r="G190" s="54">
        <f t="shared" si="59"/>
        <v>0.7542108817919595</v>
      </c>
      <c r="H190" s="125">
        <f>(H$118)*('Product half-life and C flows'!L91/100)</f>
        <v>0.77749001946522722</v>
      </c>
      <c r="I190" s="125">
        <f>(($C$39*$C$118*0.28)*H$41)*('Product half-life and C flows'!N91/100)</f>
        <v>0.79049920256039063</v>
      </c>
      <c r="J190" s="125">
        <f>(($C$39*$C$118*0.28)*H$41)*(+'Product half-life and C flows'!P91/100)</f>
        <v>0.39485474653366154</v>
      </c>
      <c r="K190" s="54">
        <f t="shared" si="60"/>
        <v>1.3434381331919276</v>
      </c>
      <c r="L190" s="26"/>
      <c r="M190" s="142">
        <f>(C$158-C$138)*(0.4*D$14)*('Product half-life and C flows'!B51/100)</f>
        <v>1.136870481363224</v>
      </c>
      <c r="N190" s="83"/>
      <c r="O190" s="143">
        <f t="shared" si="40"/>
        <v>7.7764117579468763</v>
      </c>
      <c r="P190" s="142">
        <f t="shared" si="41"/>
        <v>4.9627394570272001</v>
      </c>
      <c r="Q190" s="142">
        <f>(C$158-C$138)*(0.6*C$15)*('Product half-life and C flows'!L51/100)</f>
        <v>9.4733966685607935</v>
      </c>
      <c r="R190" s="142">
        <f>(C$158-C$138)*0.6*('Product half-life and C flows'!N51/100)</f>
        <v>4.027466199189238</v>
      </c>
      <c r="S190" s="142">
        <f>(C$158-C$138)*0.6*('Product half-life and C flows'!P51/100)</f>
        <v>2.0117213782164023</v>
      </c>
      <c r="T190" s="142">
        <f t="shared" si="42"/>
        <v>5.3998361010796518</v>
      </c>
      <c r="U190" s="3"/>
      <c r="V190" s="142">
        <f t="shared" si="43"/>
        <v>2.2737409627264475</v>
      </c>
      <c r="W190" s="142">
        <f t="shared" si="44"/>
        <v>71.635571870250871</v>
      </c>
      <c r="X190" s="142">
        <f t="shared" si="45"/>
        <v>7.7764117579468763</v>
      </c>
      <c r="Y190" s="142">
        <f t="shared" si="46"/>
        <v>4.9627394570272001</v>
      </c>
      <c r="Z190" s="142">
        <f t="shared" si="47"/>
        <v>12.891303454262784</v>
      </c>
      <c r="AA190" s="142">
        <f t="shared" si="48"/>
        <v>1.7465830708641092</v>
      </c>
      <c r="AB190" s="142">
        <f t="shared" si="49"/>
        <v>0.87241911631573887</v>
      </c>
      <c r="AC190" s="142">
        <f t="shared" si="50"/>
        <v>7.3480429689297866</v>
      </c>
      <c r="AD190" s="40"/>
      <c r="AE190" s="40"/>
      <c r="AF190" s="40"/>
      <c r="AG190" s="40"/>
      <c r="AH190" s="40"/>
      <c r="AI190" s="40"/>
      <c r="AJ190" s="40"/>
      <c r="AK190" s="40"/>
      <c r="AL190" s="40"/>
      <c r="AM190" s="40"/>
      <c r="AN190" s="40"/>
      <c r="AO190" s="40"/>
      <c r="AP190" s="40"/>
      <c r="AQ190" s="40"/>
      <c r="AR190" s="40"/>
      <c r="AS190" s="40"/>
      <c r="AT190" s="40"/>
      <c r="AU190" s="40"/>
      <c r="AV190" s="40"/>
      <c r="AW190" s="40"/>
      <c r="AX190" s="40"/>
      <c r="CH190">
        <f t="shared" si="20"/>
        <v>32</v>
      </c>
      <c r="CI190" s="113">
        <f t="shared" si="21"/>
        <v>119.8756581485074</v>
      </c>
      <c r="CJ190" s="124">
        <f t="shared" si="51"/>
        <v>3.5772164482607915</v>
      </c>
      <c r="CK190" s="124">
        <f t="shared" si="52"/>
        <v>71.635571870250871</v>
      </c>
      <c r="CL190" s="124">
        <f t="shared" si="53"/>
        <v>21.61344667315057</v>
      </c>
      <c r="CM190" s="124">
        <f t="shared" si="54"/>
        <v>10.679689795846361</v>
      </c>
      <c r="CN190" s="124">
        <f t="shared" si="55"/>
        <v>23.142190142288804</v>
      </c>
      <c r="CO190" s="124">
        <f t="shared" si="56"/>
        <v>6.5645484726137378</v>
      </c>
      <c r="CP190" s="124">
        <f t="shared" si="57"/>
        <v>3.278995241065803</v>
      </c>
      <c r="CQ190" s="124">
        <f t="shared" si="58"/>
        <v>14.091317203201367</v>
      </c>
      <c r="CR190" s="144">
        <f t="shared" si="36"/>
        <v>154.58297584667832</v>
      </c>
    </row>
    <row r="191" spans="1:96" ht="14">
      <c r="A191">
        <f t="shared" si="39"/>
        <v>33</v>
      </c>
      <c r="B191" s="19">
        <f t="shared" si="39"/>
        <v>113</v>
      </c>
      <c r="C191" s="26">
        <f t="shared" si="31"/>
        <v>120.72608380988746</v>
      </c>
      <c r="D191" s="125">
        <f>(($C$39*$C$118*0.72)*D$40)*('Product half-life and C flows'!B92/100)</f>
        <v>0.1609298261095603</v>
      </c>
      <c r="E191" s="26"/>
      <c r="F191" s="54">
        <f t="shared" si="59"/>
        <v>6.0606231572568161</v>
      </c>
      <c r="G191" s="54">
        <f t="shared" si="59"/>
        <v>0.7542108817919595</v>
      </c>
      <c r="H191" s="125">
        <f>(H$118)*('Product half-life and C flows'!L92/100)</f>
        <v>0.76560589242668731</v>
      </c>
      <c r="I191" s="125">
        <f>(($C$39*$C$118*0.28)*H$41)*('Product half-life and C flows'!N92/100)</f>
        <v>0.79644720814317982</v>
      </c>
      <c r="J191" s="125">
        <f>(($C$39*$C$118*0.28)*H$41)*(+'Product half-life and C flows'!P92/100)</f>
        <v>0.39782577829329657</v>
      </c>
      <c r="K191" s="54">
        <f t="shared" si="60"/>
        <v>1.3434381331919276</v>
      </c>
      <c r="L191" s="26"/>
      <c r="M191" s="142">
        <f>(C$158-C$138)*(0.4*D$14)*('Product half-life and C flows'!B52/100)</f>
        <v>1.0981444992310145</v>
      </c>
      <c r="N191" s="83"/>
      <c r="O191" s="143">
        <f t="shared" si="40"/>
        <v>7.7764117579468763</v>
      </c>
      <c r="P191" s="142">
        <f t="shared" si="41"/>
        <v>4.9627394570272001</v>
      </c>
      <c r="Q191" s="142">
        <f>(C$158-C$138)*(0.6*C$15)*('Product half-life and C flows'!L52/100)</f>
        <v>9.3285934599317049</v>
      </c>
      <c r="R191" s="142">
        <f>(C$158-C$138)*0.6*('Product half-life and C flows'!N52/100)</f>
        <v>4.1240982070810492</v>
      </c>
      <c r="S191" s="142">
        <f>(C$158-C$138)*0.6*('Product half-life and C flows'!P52/100)</f>
        <v>2.0599891144260982</v>
      </c>
      <c r="T191" s="142">
        <f t="shared" si="42"/>
        <v>5.3172982721610715</v>
      </c>
      <c r="U191" s="3"/>
      <c r="V191" s="142">
        <f t="shared" si="43"/>
        <v>2.1962889984620291</v>
      </c>
      <c r="W191" s="142">
        <f t="shared" si="44"/>
        <v>73.358745292829767</v>
      </c>
      <c r="X191" s="142">
        <f t="shared" si="45"/>
        <v>7.7764117579468763</v>
      </c>
      <c r="Y191" s="142">
        <f t="shared" si="46"/>
        <v>4.9627394570272001</v>
      </c>
      <c r="Z191" s="142">
        <f t="shared" si="47"/>
        <v>12.694256695967157</v>
      </c>
      <c r="AA191" s="142">
        <f t="shared" si="48"/>
        <v>1.8780789409000571</v>
      </c>
      <c r="AB191" s="142">
        <f t="shared" si="49"/>
        <v>0.93810136908094788</v>
      </c>
      <c r="AC191" s="142">
        <f t="shared" si="50"/>
        <v>7.2357263167012791</v>
      </c>
      <c r="AD191" s="40"/>
      <c r="AE191" s="40"/>
      <c r="AF191" s="40"/>
      <c r="AG191" s="40"/>
      <c r="AH191" s="40"/>
      <c r="AI191" s="40"/>
      <c r="AJ191" s="40"/>
      <c r="AK191" s="40"/>
      <c r="AL191" s="40"/>
      <c r="AM191" s="40"/>
      <c r="AN191" s="40"/>
      <c r="AO191" s="40"/>
      <c r="AP191" s="40"/>
      <c r="AQ191" s="40"/>
      <c r="AR191" s="40"/>
      <c r="AS191" s="40"/>
      <c r="AT191" s="40"/>
      <c r="AU191" s="40"/>
      <c r="AV191" s="40"/>
      <c r="AW191" s="40"/>
      <c r="AX191" s="40"/>
      <c r="CH191">
        <f t="shared" si="20"/>
        <v>33</v>
      </c>
      <c r="CI191" s="113">
        <f t="shared" si="21"/>
        <v>120.72608380988746</v>
      </c>
      <c r="CJ191" s="124">
        <f t="shared" si="51"/>
        <v>3.455363323802604</v>
      </c>
      <c r="CK191" s="124">
        <f t="shared" si="52"/>
        <v>73.358745292829767</v>
      </c>
      <c r="CL191" s="124">
        <f t="shared" si="53"/>
        <v>21.61344667315057</v>
      </c>
      <c r="CM191" s="124">
        <f t="shared" si="54"/>
        <v>10.679689795846361</v>
      </c>
      <c r="CN191" s="124">
        <f t="shared" si="55"/>
        <v>22.78845604832555</v>
      </c>
      <c r="CO191" s="124">
        <f t="shared" si="56"/>
        <v>6.7986243561242858</v>
      </c>
      <c r="CP191" s="124">
        <f t="shared" si="57"/>
        <v>3.3959162618003429</v>
      </c>
      <c r="CQ191" s="124">
        <f t="shared" si="58"/>
        <v>13.896462722054277</v>
      </c>
      <c r="CR191" s="144">
        <f t="shared" si="36"/>
        <v>155.98670447393377</v>
      </c>
    </row>
    <row r="192" spans="1:96" ht="14">
      <c r="A192">
        <f t="shared" ref="A192:B207" si="61">A191+1</f>
        <v>34</v>
      </c>
      <c r="B192" s="19">
        <f t="shared" si="61"/>
        <v>114</v>
      </c>
      <c r="C192" s="26">
        <f t="shared" si="31"/>
        <v>121.56356405531533</v>
      </c>
      <c r="D192" s="125">
        <f>(($C$39*$C$118*0.72)*D$40)*('Product half-life and C flows'!B93/100)</f>
        <v>0.15544796544678247</v>
      </c>
      <c r="E192" s="26"/>
      <c r="F192" s="54">
        <f t="shared" si="59"/>
        <v>6.0606231572568161</v>
      </c>
      <c r="G192" s="54">
        <f t="shared" si="59"/>
        <v>0.7542108817919595</v>
      </c>
      <c r="H192" s="125">
        <f>(H$118)*('Product half-life and C flows'!L93/100)</f>
        <v>0.75390341720609022</v>
      </c>
      <c r="I192" s="125">
        <f>(($C$39*$C$118*0.28)*H$41)*('Product half-life and C flows'!N93/100)</f>
        <v>0.80230429699108863</v>
      </c>
      <c r="J192" s="125">
        <f>(($C$39*$C$118*0.28)*H$41)*(+'Product half-life and C flows'!P93/100)</f>
        <v>0.40075139709844582</v>
      </c>
      <c r="K192" s="54">
        <f t="shared" si="60"/>
        <v>1.3434381331919276</v>
      </c>
      <c r="L192" s="26"/>
      <c r="M192" s="142">
        <f>(C$158-C$138)*(0.4*D$14)*('Product half-life and C flows'!B53/100)</f>
        <v>1.0607376662162191</v>
      </c>
      <c r="N192" s="83"/>
      <c r="O192" s="143">
        <f t="shared" si="40"/>
        <v>7.7764117579468763</v>
      </c>
      <c r="P192" s="142">
        <f t="shared" si="41"/>
        <v>4.9627394570272001</v>
      </c>
      <c r="Q192" s="142">
        <f>(C$158-C$138)*(0.6*C$15)*('Product half-life and C flows'!L53/100)</f>
        <v>9.1860036041224014</v>
      </c>
      <c r="R192" s="142">
        <f>(C$158-C$138)*0.6*('Product half-life and C flows'!N53/100)</f>
        <v>4.2192531708577921</v>
      </c>
      <c r="S192" s="142">
        <f>(C$158-C$138)*0.6*('Product half-life and C flows'!P53/100)</f>
        <v>2.1075190663625332</v>
      </c>
      <c r="T192" s="142">
        <f t="shared" si="42"/>
        <v>5.2360220543497684</v>
      </c>
      <c r="U192" s="3"/>
      <c r="V192" s="142">
        <f t="shared" si="43"/>
        <v>2.1214753324324382</v>
      </c>
      <c r="W192" s="142">
        <f t="shared" si="44"/>
        <v>75.081918715408662</v>
      </c>
      <c r="X192" s="142">
        <f t="shared" si="45"/>
        <v>7.7764117579468763</v>
      </c>
      <c r="Y192" s="142">
        <f t="shared" si="46"/>
        <v>4.9627394570272001</v>
      </c>
      <c r="Z192" s="142">
        <f t="shared" si="47"/>
        <v>12.500221846055549</v>
      </c>
      <c r="AA192" s="142">
        <f t="shared" si="48"/>
        <v>2.0075648640744035</v>
      </c>
      <c r="AB192" s="142">
        <f t="shared" si="49"/>
        <v>1.0027796523848169</v>
      </c>
      <c r="AC192" s="142">
        <f t="shared" si="50"/>
        <v>7.1251264522516626</v>
      </c>
      <c r="AD192" s="40"/>
      <c r="AE192" s="40"/>
      <c r="AF192" s="40"/>
      <c r="AG192" s="40"/>
      <c r="AH192" s="40"/>
      <c r="AI192" s="40"/>
      <c r="AJ192" s="40"/>
      <c r="AK192" s="40"/>
      <c r="AL192" s="40"/>
      <c r="AM192" s="40"/>
      <c r="AN192" s="40"/>
      <c r="AO192" s="40"/>
      <c r="AP192" s="40"/>
      <c r="AQ192" s="40"/>
      <c r="AR192" s="40"/>
      <c r="AS192" s="40"/>
      <c r="AT192" s="40"/>
      <c r="AU192" s="40"/>
      <c r="AV192" s="40"/>
      <c r="AW192" s="40"/>
      <c r="AX192" s="40"/>
      <c r="CH192">
        <f t="shared" si="20"/>
        <v>34</v>
      </c>
      <c r="CI192" s="113">
        <f t="shared" si="21"/>
        <v>121.56356405531533</v>
      </c>
      <c r="CJ192" s="124">
        <f t="shared" si="51"/>
        <v>3.3376609640954396</v>
      </c>
      <c r="CK192" s="124">
        <f t="shared" si="52"/>
        <v>75.081918715408662</v>
      </c>
      <c r="CL192" s="124">
        <f t="shared" si="53"/>
        <v>21.61344667315057</v>
      </c>
      <c r="CM192" s="124">
        <f t="shared" si="54"/>
        <v>10.679689795846361</v>
      </c>
      <c r="CN192" s="124">
        <f t="shared" si="55"/>
        <v>22.44012886738404</v>
      </c>
      <c r="CO192" s="124">
        <f t="shared" si="56"/>
        <v>7.0291223319232845</v>
      </c>
      <c r="CP192" s="124">
        <f t="shared" si="57"/>
        <v>3.5110501158457961</v>
      </c>
      <c r="CQ192" s="124">
        <f t="shared" si="58"/>
        <v>13.704586639793359</v>
      </c>
      <c r="CR192" s="144">
        <f t="shared" si="36"/>
        <v>157.39760410344749</v>
      </c>
    </row>
    <row r="193" spans="1:96" ht="14">
      <c r="A193">
        <f t="shared" si="61"/>
        <v>35</v>
      </c>
      <c r="B193" s="19">
        <f t="shared" si="61"/>
        <v>115</v>
      </c>
      <c r="C193" s="26">
        <f t="shared" si="31"/>
        <v>122.3882111626412</v>
      </c>
      <c r="D193" s="125">
        <f>(($C$39*$C$118*0.72)*D$40)*('Product half-life and C flows'!B94/100)</f>
        <v>0.15015283708250129</v>
      </c>
      <c r="E193" s="26"/>
      <c r="F193" s="54">
        <f t="shared" si="59"/>
        <v>6.0606231572568161</v>
      </c>
      <c r="G193" s="54">
        <f t="shared" si="59"/>
        <v>0.7542108817919595</v>
      </c>
      <c r="H193" s="125">
        <f>(H$118)*('Product half-life and C flows'!L94/100)</f>
        <v>0.74237981721051849</v>
      </c>
      <c r="I193" s="125">
        <f>(($C$39*$C$118*0.28)*H$41)*('Product half-life and C flows'!N94/100)</f>
        <v>0.80807185878887222</v>
      </c>
      <c r="J193" s="125">
        <f>(($C$39*$C$118*0.28)*H$41)*(+'Product half-life and C flows'!P94/100)</f>
        <v>0.40363229709733878</v>
      </c>
      <c r="K193" s="54">
        <f t="shared" si="60"/>
        <v>1.3434381331919276</v>
      </c>
      <c r="L193" s="26"/>
      <c r="M193" s="142">
        <f>(C$158-C$138)*(0.4*D$14)*('Product half-life and C flows'!B54/100)</f>
        <v>1.024605047257203</v>
      </c>
      <c r="N193" s="83"/>
      <c r="O193" s="143">
        <f t="shared" si="40"/>
        <v>7.7764117579468763</v>
      </c>
      <c r="P193" s="142">
        <f t="shared" si="41"/>
        <v>4.9627394570272001</v>
      </c>
      <c r="Q193" s="142">
        <f>(C$158-C$138)*(0.6*C$15)*('Product half-life and C flows'!L54/100)</f>
        <v>9.0455932694881849</v>
      </c>
      <c r="R193" s="142">
        <f>(C$158-C$138)*0.6*('Product half-life and C flows'!N54/100)</f>
        <v>4.3129536675036926</v>
      </c>
      <c r="S193" s="142">
        <f>(C$158-C$138)*0.6*('Product half-life and C flows'!P54/100)</f>
        <v>2.1543225112406055</v>
      </c>
      <c r="T193" s="142">
        <f t="shared" si="42"/>
        <v>5.1559881636082645</v>
      </c>
      <c r="U193" s="3"/>
      <c r="V193" s="142">
        <f t="shared" si="43"/>
        <v>2.0492100945144056</v>
      </c>
      <c r="W193" s="142">
        <f t="shared" si="44"/>
        <v>76.805092137987558</v>
      </c>
      <c r="X193" s="142">
        <f t="shared" si="45"/>
        <v>7.7764117579468763</v>
      </c>
      <c r="Y193" s="142">
        <f t="shared" si="46"/>
        <v>4.9627394570272001</v>
      </c>
      <c r="Z193" s="142">
        <f t="shared" si="47"/>
        <v>12.309152866764171</v>
      </c>
      <c r="AA193" s="142">
        <f t="shared" si="48"/>
        <v>2.1350715629215169</v>
      </c>
      <c r="AB193" s="142">
        <f t="shared" si="49"/>
        <v>1.0664693121486097</v>
      </c>
      <c r="AC193" s="142">
        <f t="shared" si="50"/>
        <v>7.0162171340555766</v>
      </c>
      <c r="AD193" s="40"/>
      <c r="AE193" s="40"/>
      <c r="AF193" s="40"/>
      <c r="AG193" s="40"/>
      <c r="AH193" s="40"/>
      <c r="AI193" s="40"/>
      <c r="AJ193" s="40"/>
      <c r="AK193" s="40"/>
      <c r="AL193" s="40"/>
      <c r="AM193" s="40"/>
      <c r="AN193" s="40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CH193">
        <f t="shared" si="20"/>
        <v>35</v>
      </c>
      <c r="CI193" s="113">
        <f t="shared" si="21"/>
        <v>122.3882111626412</v>
      </c>
      <c r="CJ193" s="124">
        <f t="shared" si="51"/>
        <v>3.2239679788541098</v>
      </c>
      <c r="CK193" s="124">
        <f t="shared" si="52"/>
        <v>76.805092137987558</v>
      </c>
      <c r="CL193" s="124">
        <f t="shared" si="53"/>
        <v>21.61344667315057</v>
      </c>
      <c r="CM193" s="124">
        <f t="shared" si="54"/>
        <v>10.679689795846361</v>
      </c>
      <c r="CN193" s="124">
        <f t="shared" si="55"/>
        <v>22.097125953462871</v>
      </c>
      <c r="CO193" s="124">
        <f t="shared" si="56"/>
        <v>7.2560970892140819</v>
      </c>
      <c r="CP193" s="124">
        <f t="shared" si="57"/>
        <v>3.6244241204865539</v>
      </c>
      <c r="CQ193" s="124">
        <f t="shared" si="58"/>
        <v>13.515643430855768</v>
      </c>
      <c r="CR193" s="144">
        <f t="shared" si="36"/>
        <v>158.81548717985788</v>
      </c>
    </row>
    <row r="194" spans="1:96" ht="14">
      <c r="A194">
        <f t="shared" si="61"/>
        <v>36</v>
      </c>
      <c r="B194" s="19">
        <f t="shared" si="61"/>
        <v>116</v>
      </c>
      <c r="C194" s="26">
        <f t="shared" si="31"/>
        <v>123.20014033234281</v>
      </c>
      <c r="D194" s="125">
        <f>(($C$39*$C$118*0.72)*D$40)*('Product half-life and C flows'!B95/100)</f>
        <v>0.14503808022912171</v>
      </c>
      <c r="E194" s="26"/>
      <c r="F194" s="54">
        <f t="shared" si="59"/>
        <v>6.0606231572568161</v>
      </c>
      <c r="G194" s="54">
        <f t="shared" si="59"/>
        <v>0.7542108817919595</v>
      </c>
      <c r="H194" s="125">
        <f>(H$118)*('Product half-life and C flows'!L95/100)</f>
        <v>0.73103235828796398</v>
      </c>
      <c r="I194" s="125">
        <f>(($C$39*$C$118*0.28)*H$41)*('Product half-life and C flows'!N95/100)</f>
        <v>0.81375126197961078</v>
      </c>
      <c r="J194" s="125">
        <f>(($C$39*$C$118*0.28)*H$41)*(+'Product half-life and C flows'!P95/100)</f>
        <v>0.40646916182797738</v>
      </c>
      <c r="K194" s="54">
        <f t="shared" si="60"/>
        <v>1.3434381331919276</v>
      </c>
      <c r="L194" s="26"/>
      <c r="M194" s="142">
        <f>(C$158-C$138)*(0.4*D$14)*('Product half-life and C flows'!B55/100)</f>
        <v>0.98970323794549042</v>
      </c>
      <c r="N194" s="83"/>
      <c r="O194" s="143">
        <f t="shared" si="40"/>
        <v>7.7764117579468763</v>
      </c>
      <c r="P194" s="142">
        <f t="shared" si="41"/>
        <v>4.9627394570272001</v>
      </c>
      <c r="Q194" s="142">
        <f>(C$158-C$138)*(0.6*C$15)*('Product half-life and C flows'!L55/100)</f>
        <v>8.9073291415094129</v>
      </c>
      <c r="R194" s="142">
        <f>(C$158-C$138)*0.6*('Product half-life and C flows'!N55/100)</f>
        <v>4.4052219289081931</v>
      </c>
      <c r="S194" s="142">
        <f>(C$158-C$138)*0.6*('Product half-life and C flows'!P55/100)</f>
        <v>2.2004105539001961</v>
      </c>
      <c r="T194" s="142">
        <f t="shared" si="42"/>
        <v>5.0771776106603648</v>
      </c>
      <c r="U194" s="3"/>
      <c r="V194" s="142">
        <f t="shared" si="43"/>
        <v>1.9794064758909808</v>
      </c>
      <c r="W194" s="142">
        <f t="shared" si="44"/>
        <v>78.528265560566453</v>
      </c>
      <c r="X194" s="142">
        <f t="shared" si="45"/>
        <v>7.7764117579468763</v>
      </c>
      <c r="Y194" s="142">
        <f t="shared" si="46"/>
        <v>4.9627394570272001</v>
      </c>
      <c r="Z194" s="142">
        <f t="shared" si="47"/>
        <v>12.121004424027827</v>
      </c>
      <c r="AA194" s="142">
        <f t="shared" si="48"/>
        <v>2.2606292903742373</v>
      </c>
      <c r="AB194" s="142">
        <f t="shared" si="49"/>
        <v>1.1291854597273911</v>
      </c>
      <c r="AC194" s="142">
        <f t="shared" si="50"/>
        <v>6.9089725216958611</v>
      </c>
      <c r="AD194" s="40"/>
      <c r="AE194" s="40"/>
      <c r="AF194" s="40"/>
      <c r="AG194" s="40"/>
      <c r="AH194" s="40"/>
      <c r="AI194" s="40"/>
      <c r="AJ194" s="40"/>
      <c r="AK194" s="40"/>
      <c r="AL194" s="40"/>
      <c r="AM194" s="40"/>
      <c r="AN194" s="40"/>
      <c r="AO194" s="40"/>
      <c r="AP194" s="40"/>
      <c r="AQ194" s="40"/>
      <c r="AR194" s="40"/>
      <c r="AS194" s="40"/>
      <c r="AT194" s="40"/>
      <c r="AU194" s="40"/>
      <c r="AV194" s="40"/>
      <c r="AW194" s="40"/>
      <c r="AX194" s="40"/>
      <c r="CH194">
        <f t="shared" si="20"/>
        <v>36</v>
      </c>
      <c r="CI194" s="113">
        <f t="shared" si="21"/>
        <v>123.20014033234281</v>
      </c>
      <c r="CJ194" s="124">
        <f t="shared" si="51"/>
        <v>3.1141477940655928</v>
      </c>
      <c r="CK194" s="124">
        <f t="shared" si="52"/>
        <v>78.528265560566453</v>
      </c>
      <c r="CL194" s="124">
        <f t="shared" si="53"/>
        <v>21.61344667315057</v>
      </c>
      <c r="CM194" s="124">
        <f t="shared" si="54"/>
        <v>10.679689795846361</v>
      </c>
      <c r="CN194" s="124">
        <f t="shared" si="55"/>
        <v>21.759365923825204</v>
      </c>
      <c r="CO194" s="124">
        <f t="shared" si="56"/>
        <v>7.4796024812620407</v>
      </c>
      <c r="CP194" s="124">
        <f t="shared" si="57"/>
        <v>3.7360651754555647</v>
      </c>
      <c r="CQ194" s="124">
        <f t="shared" si="58"/>
        <v>13.329588265548153</v>
      </c>
      <c r="CR194" s="144">
        <f t="shared" si="36"/>
        <v>160.24017166971993</v>
      </c>
    </row>
    <row r="195" spans="1:96" ht="14">
      <c r="A195">
        <f t="shared" si="61"/>
        <v>37</v>
      </c>
      <c r="B195" s="19">
        <f t="shared" si="61"/>
        <v>117</v>
      </c>
      <c r="C195" s="26">
        <f t="shared" si="31"/>
        <v>123.99946945715783</v>
      </c>
      <c r="D195" s="125">
        <f>(($C$39*$C$118*0.72)*D$40)*('Product half-life and C flows'!B96/100)</f>
        <v>0.14009755077082503</v>
      </c>
      <c r="E195" s="26"/>
      <c r="F195" s="54">
        <f t="shared" si="59"/>
        <v>6.0606231572568161</v>
      </c>
      <c r="G195" s="54">
        <f t="shared" si="59"/>
        <v>0.7542108817919595</v>
      </c>
      <c r="H195" s="125">
        <f>(H$118)*('Product half-life and C flows'!L96/100)</f>
        <v>0.71985834807860705</v>
      </c>
      <c r="I195" s="125">
        <f>(($C$39*$C$118*0.28)*H$41)*('Product half-life and C flows'!N96/100)</f>
        <v>0.81934385408939392</v>
      </c>
      <c r="J195" s="125">
        <f>(($C$39*$C$118*0.28)*H$41)*(+'Product half-life and C flows'!P96/100)</f>
        <v>0.40926266438031667</v>
      </c>
      <c r="K195" s="54">
        <f t="shared" si="60"/>
        <v>1.3434381331919276</v>
      </c>
      <c r="L195" s="26"/>
      <c r="M195" s="142">
        <f>(C$158-C$138)*(0.4*D$14)*('Product half-life and C flows'!B56/100)</f>
        <v>0.95599031238609988</v>
      </c>
      <c r="N195" s="83"/>
      <c r="O195" s="143">
        <f t="shared" si="40"/>
        <v>7.7764117579468763</v>
      </c>
      <c r="P195" s="142">
        <f t="shared" si="41"/>
        <v>4.9627394570272001</v>
      </c>
      <c r="Q195" s="142">
        <f>(C$158-C$138)*(0.6*C$15)*('Product half-life and C flows'!L56/100)</f>
        <v>8.7711784148871015</v>
      </c>
      <c r="R195" s="142">
        <f>(C$158-C$138)*0.6*('Product half-life and C flows'!N56/100)</f>
        <v>4.4960798471408161</v>
      </c>
      <c r="S195" s="142">
        <f>(C$158-C$138)*0.6*('Product half-life and C flows'!P56/100)</f>
        <v>2.2457941294409669</v>
      </c>
      <c r="T195" s="142">
        <f t="shared" si="42"/>
        <v>4.9995716964856474</v>
      </c>
      <c r="U195" s="3"/>
      <c r="V195" s="142">
        <f t="shared" si="43"/>
        <v>1.9119806247721998</v>
      </c>
      <c r="W195" s="142">
        <f t="shared" si="44"/>
        <v>80.251438983145349</v>
      </c>
      <c r="X195" s="142">
        <f t="shared" si="45"/>
        <v>7.7764117579468763</v>
      </c>
      <c r="Y195" s="142">
        <f t="shared" si="46"/>
        <v>4.9627394570272001</v>
      </c>
      <c r="Z195" s="142">
        <f t="shared" si="47"/>
        <v>11.935731876723709</v>
      </c>
      <c r="AA195" s="142">
        <f t="shared" si="48"/>
        <v>2.3842678369418517</v>
      </c>
      <c r="AB195" s="142">
        <f t="shared" si="49"/>
        <v>1.1909429754954304</v>
      </c>
      <c r="AC195" s="142">
        <f t="shared" si="50"/>
        <v>6.803367169732514</v>
      </c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CH195">
        <f t="shared" si="20"/>
        <v>37</v>
      </c>
      <c r="CI195" s="113">
        <f t="shared" si="21"/>
        <v>123.99946945715783</v>
      </c>
      <c r="CJ195" s="124">
        <f t="shared" si="51"/>
        <v>3.0080684879291244</v>
      </c>
      <c r="CK195" s="124">
        <f t="shared" si="52"/>
        <v>80.251438983145349</v>
      </c>
      <c r="CL195" s="124">
        <f t="shared" si="53"/>
        <v>21.61344667315057</v>
      </c>
      <c r="CM195" s="124">
        <f t="shared" si="54"/>
        <v>10.679689795846361</v>
      </c>
      <c r="CN195" s="124">
        <f t="shared" si="55"/>
        <v>21.426768639689417</v>
      </c>
      <c r="CO195" s="124">
        <f t="shared" si="56"/>
        <v>7.6996915381720612</v>
      </c>
      <c r="CP195" s="124">
        <f t="shared" si="57"/>
        <v>3.8459997693167138</v>
      </c>
      <c r="CQ195" s="124">
        <f t="shared" si="58"/>
        <v>13.146376999410089</v>
      </c>
      <c r="CR195" s="144">
        <f t="shared" si="36"/>
        <v>161.67148088665968</v>
      </c>
    </row>
    <row r="196" spans="1:96" ht="14">
      <c r="A196">
        <f t="shared" si="61"/>
        <v>38</v>
      </c>
      <c r="B196" s="19">
        <f t="shared" si="61"/>
        <v>118</v>
      </c>
      <c r="C196" s="26">
        <f t="shared" si="31"/>
        <v>124.78631890133678</v>
      </c>
      <c r="D196" s="125">
        <f>(($C$39*$C$118*0.72)*D$40)*('Product half-life and C flows'!B97/100)</f>
        <v>0.13532531388293292</v>
      </c>
      <c r="E196" s="26"/>
      <c r="F196" s="54">
        <f t="shared" si="59"/>
        <v>6.0606231572568161</v>
      </c>
      <c r="G196" s="54">
        <f t="shared" si="59"/>
        <v>0.7542108817919595</v>
      </c>
      <c r="H196" s="125">
        <f>(H$118)*('Product half-life and C flows'!L97/100)</f>
        <v>0.7088551353760133</v>
      </c>
      <c r="I196" s="125">
        <f>(($C$39*$C$118*0.28)*H$41)*('Product half-life and C flows'!N97/100)</f>
        <v>0.824850962047042</v>
      </c>
      <c r="J196" s="125">
        <f>(($C$39*$C$118*0.28)*H$41)*(+'Product half-life and C flows'!P97/100)</f>
        <v>0.41201346755596507</v>
      </c>
      <c r="K196" s="54">
        <f t="shared" si="60"/>
        <v>1.3434381331919276</v>
      </c>
      <c r="L196" s="26"/>
      <c r="M196" s="142">
        <f>(C$158-C$138)*(0.4*D$14)*('Product half-life and C flows'!B57/100)</f>
        <v>0.92342577283394556</v>
      </c>
      <c r="N196" s="83"/>
      <c r="O196" s="143">
        <f t="shared" si="40"/>
        <v>7.7764117579468763</v>
      </c>
      <c r="P196" s="142">
        <f t="shared" si="41"/>
        <v>4.9627394570272001</v>
      </c>
      <c r="Q196" s="142">
        <f>(C$158-C$138)*(0.6*C$15)*('Product half-life and C flows'!L57/100)</f>
        <v>8.6371087857593665</v>
      </c>
      <c r="R196" s="142">
        <f>(C$158-C$138)*0.6*('Product half-life and C flows'!N57/100)</f>
        <v>4.5855489796453908</v>
      </c>
      <c r="S196" s="142">
        <f>(C$158-C$138)*0.6*('Product half-life and C flows'!P57/100)</f>
        <v>2.2904840058168778</v>
      </c>
      <c r="T196" s="142">
        <f t="shared" si="42"/>
        <v>4.9231520078828384</v>
      </c>
      <c r="U196" s="3"/>
      <c r="V196" s="142">
        <f t="shared" si="43"/>
        <v>1.8468515456678911</v>
      </c>
      <c r="W196" s="142">
        <f t="shared" si="44"/>
        <v>81.974612405724244</v>
      </c>
      <c r="X196" s="142">
        <f t="shared" si="45"/>
        <v>7.7764117579468763</v>
      </c>
      <c r="Y196" s="142">
        <f t="shared" si="46"/>
        <v>4.9627394570272001</v>
      </c>
      <c r="Z196" s="142">
        <f t="shared" si="47"/>
        <v>11.753291266079604</v>
      </c>
      <c r="AA196" s="142">
        <f t="shared" si="48"/>
        <v>2.5060165377783514</v>
      </c>
      <c r="AB196" s="142">
        <f t="shared" si="49"/>
        <v>1.2517565123767991</v>
      </c>
      <c r="AC196" s="142">
        <f t="shared" si="50"/>
        <v>6.6993760216653735</v>
      </c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CH196">
        <f t="shared" si="20"/>
        <v>38</v>
      </c>
      <c r="CI196" s="113">
        <f t="shared" si="21"/>
        <v>124.78631890133678</v>
      </c>
      <c r="CJ196" s="124">
        <f t="shared" si="51"/>
        <v>2.9056026323847695</v>
      </c>
      <c r="CK196" s="124">
        <f t="shared" si="52"/>
        <v>81.974612405724244</v>
      </c>
      <c r="CL196" s="124">
        <f t="shared" si="53"/>
        <v>21.61344667315057</v>
      </c>
      <c r="CM196" s="124">
        <f t="shared" si="54"/>
        <v>10.679689795846361</v>
      </c>
      <c r="CN196" s="124">
        <f t="shared" si="55"/>
        <v>21.099255187214982</v>
      </c>
      <c r="CO196" s="124">
        <f t="shared" si="56"/>
        <v>7.9164164794707839</v>
      </c>
      <c r="CP196" s="124">
        <f t="shared" si="57"/>
        <v>3.9542539857496419</v>
      </c>
      <c r="CQ196" s="124">
        <f t="shared" si="58"/>
        <v>12.965966162740139</v>
      </c>
      <c r="CR196" s="144">
        <f t="shared" si="36"/>
        <v>163.10924332228149</v>
      </c>
    </row>
    <row r="197" spans="1:96" ht="14">
      <c r="A197">
        <f t="shared" si="61"/>
        <v>39</v>
      </c>
      <c r="B197" s="19">
        <f t="shared" si="61"/>
        <v>119</v>
      </c>
      <c r="C197" s="26">
        <f t="shared" si="31"/>
        <v>125.56081128922662</v>
      </c>
      <c r="D197" s="125">
        <f>(($C$39*$C$118*0.72)*D$40)*('Product half-life and C flows'!B98/100)</f>
        <v>0.13071563690268265</v>
      </c>
      <c r="E197" s="26"/>
      <c r="F197" s="54">
        <f t="shared" si="59"/>
        <v>6.0606231572568161</v>
      </c>
      <c r="G197" s="54">
        <f t="shared" si="59"/>
        <v>0.7542108817919595</v>
      </c>
      <c r="H197" s="125">
        <f>(H$118)*('Product half-life and C flows'!L98/100)</f>
        <v>0.69802010949809379</v>
      </c>
      <c r="I197" s="125">
        <f>(($C$39*$C$118*0.28)*H$41)*('Product half-life and C flows'!N98/100)</f>
        <v>0.83027389249894068</v>
      </c>
      <c r="J197" s="125">
        <f>(($C$39*$C$118*0.28)*H$41)*(+'Product half-life and C flows'!P98/100)</f>
        <v>0.41472222402544495</v>
      </c>
      <c r="K197" s="54">
        <f t="shared" si="60"/>
        <v>1.3434381331919276</v>
      </c>
      <c r="L197" s="26"/>
      <c r="M197" s="142">
        <f>(C$158-C$138)*(0.4*D$14)*('Product half-life and C flows'!B58/100)</f>
        <v>0.89197050104580988</v>
      </c>
      <c r="N197" s="83"/>
      <c r="O197" s="143">
        <f t="shared" si="40"/>
        <v>7.7764117579468763</v>
      </c>
      <c r="P197" s="142">
        <f t="shared" si="41"/>
        <v>4.9627394570272001</v>
      </c>
      <c r="Q197" s="142">
        <f>(C$158-C$138)*(0.6*C$15)*('Product half-life and C flows'!L58/100)</f>
        <v>8.5050884440368399</v>
      </c>
      <c r="R197" s="142">
        <f>(C$158-C$138)*0.6*('Product half-life and C flows'!N58/100)</f>
        <v>4.6736505543548903</v>
      </c>
      <c r="S197" s="142">
        <f>(C$158-C$138)*0.6*('Product half-life and C flows'!P58/100)</f>
        <v>2.3344907863910538</v>
      </c>
      <c r="T197" s="142">
        <f t="shared" si="42"/>
        <v>4.847900413100998</v>
      </c>
      <c r="U197" s="3"/>
      <c r="V197" s="142">
        <f t="shared" si="43"/>
        <v>1.7839410020916198</v>
      </c>
      <c r="W197" s="142">
        <f t="shared" si="44"/>
        <v>83.69778582830314</v>
      </c>
      <c r="X197" s="142">
        <f t="shared" si="45"/>
        <v>7.7764117579468763</v>
      </c>
      <c r="Y197" s="142">
        <f t="shared" si="46"/>
        <v>4.9627394570272001</v>
      </c>
      <c r="Z197" s="142">
        <f t="shared" si="47"/>
        <v>11.573639305243985</v>
      </c>
      <c r="AA197" s="142">
        <f t="shared" si="48"/>
        <v>2.6259042796426555</v>
      </c>
      <c r="AB197" s="142">
        <f t="shared" si="49"/>
        <v>1.3116404993220057</v>
      </c>
      <c r="AC197" s="142">
        <f t="shared" si="50"/>
        <v>6.596974403989071</v>
      </c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CH197">
        <f t="shared" si="20"/>
        <v>39</v>
      </c>
      <c r="CI197" s="113">
        <f t="shared" si="21"/>
        <v>125.56081128922662</v>
      </c>
      <c r="CJ197" s="124">
        <f t="shared" si="51"/>
        <v>2.8066271400401126</v>
      </c>
      <c r="CK197" s="124">
        <f t="shared" si="52"/>
        <v>83.69778582830314</v>
      </c>
      <c r="CL197" s="124">
        <f t="shared" si="53"/>
        <v>21.61344667315057</v>
      </c>
      <c r="CM197" s="124">
        <f t="shared" si="54"/>
        <v>10.679689795846361</v>
      </c>
      <c r="CN197" s="124">
        <f t="shared" si="55"/>
        <v>20.776747858778918</v>
      </c>
      <c r="CO197" s="124">
        <f t="shared" si="56"/>
        <v>8.1298287264964859</v>
      </c>
      <c r="CP197" s="124">
        <f t="shared" si="57"/>
        <v>4.0608535097385046</v>
      </c>
      <c r="CQ197" s="124">
        <f t="shared" si="58"/>
        <v>12.788312950281997</v>
      </c>
      <c r="CR197" s="144">
        <f t="shared" si="36"/>
        <v>164.5532924826361</v>
      </c>
    </row>
    <row r="198" spans="1:96" s="137" customFormat="1" ht="14">
      <c r="A198" s="137">
        <f t="shared" si="61"/>
        <v>40</v>
      </c>
      <c r="B198" s="145">
        <f t="shared" si="61"/>
        <v>120</v>
      </c>
      <c r="C198" s="139">
        <f t="shared" si="31"/>
        <v>126.32307130289904</v>
      </c>
      <c r="D198" s="140">
        <f>(($C$39*$C$118*0.72)*D$40)*('Product half-life and C flows'!B99/100)</f>
        <v>0.12626298244285034</v>
      </c>
      <c r="E198" s="139"/>
      <c r="F198" s="141">
        <f t="shared" si="59"/>
        <v>6.0606231572568161</v>
      </c>
      <c r="G198" s="141">
        <f t="shared" si="59"/>
        <v>0.7542108817919595</v>
      </c>
      <c r="H198" s="140">
        <f>(H$118)*('Product half-life and C flows'!L99/100)</f>
        <v>0.68735069966768003</v>
      </c>
      <c r="I198" s="140">
        <f>(($C$39*$C$118*0.28)*H$41)*('Product half-life and C flows'!N99/100)</f>
        <v>0.83561393211906287</v>
      </c>
      <c r="J198" s="140">
        <f>(($C$39*$C$118*0.28)*H$41)*(+'Product half-life and C flows'!P99/100)</f>
        <v>0.41738957648304836</v>
      </c>
      <c r="K198" s="141">
        <f t="shared" si="60"/>
        <v>1.3434381331919276</v>
      </c>
      <c r="L198" s="139"/>
      <c r="M198" s="142">
        <f>(C$158-C$138)*(0.4*D$14)*('Product half-life and C flows'!B59/100)</f>
        <v>0.86158671128944464</v>
      </c>
      <c r="N198" s="142"/>
      <c r="O198" s="143">
        <f t="shared" si="40"/>
        <v>7.7764117579468763</v>
      </c>
      <c r="P198" s="142">
        <f t="shared" si="41"/>
        <v>4.9627394570272001</v>
      </c>
      <c r="Q198" s="142">
        <f>(C$158-C$138)*(0.6*C$15)*('Product half-life and C flows'!L59/100)</f>
        <v>8.3750860658552231</v>
      </c>
      <c r="R198" s="142">
        <f>(C$158-C$138)*0.6*('Product half-life and C flows'!N59/100)</f>
        <v>4.7604054747280893</v>
      </c>
      <c r="S198" s="142">
        <f>(C$158-C$138)*0.6*('Product half-life and C flows'!P59/100)</f>
        <v>2.3778249124515924</v>
      </c>
      <c r="T198" s="142">
        <f t="shared" si="42"/>
        <v>4.7737990575374765</v>
      </c>
      <c r="U198" s="144"/>
      <c r="V198" s="142">
        <f t="shared" si="43"/>
        <v>1.7231734225788893</v>
      </c>
      <c r="W198" s="142">
        <f t="shared" si="44"/>
        <v>0</v>
      </c>
      <c r="X198" s="142">
        <f t="shared" si="45"/>
        <v>7.7764117579468763</v>
      </c>
      <c r="Y198" s="142">
        <f t="shared" si="46"/>
        <v>4.9627394570272001</v>
      </c>
      <c r="Z198" s="142">
        <f t="shared" si="47"/>
        <v>11.396733369015552</v>
      </c>
      <c r="AA198" s="142">
        <f t="shared" si="48"/>
        <v>2.7439595077524288</v>
      </c>
      <c r="AB198" s="142">
        <f t="shared" si="49"/>
        <v>1.370609144731483</v>
      </c>
      <c r="AC198" s="142">
        <f t="shared" si="50"/>
        <v>6.4961380203388641</v>
      </c>
      <c r="AE198" s="142">
        <f>V178</f>
        <v>3.4463468451577786</v>
      </c>
      <c r="AF198" s="142">
        <f t="shared" ref="AF198:AL198" si="62">W178</f>
        <v>50.957490799304182</v>
      </c>
      <c r="AG198" s="142">
        <f t="shared" si="62"/>
        <v>7.7764117579468763</v>
      </c>
      <c r="AH198" s="142">
        <f t="shared" si="62"/>
        <v>4.9627394570272001</v>
      </c>
      <c r="AI198" s="142">
        <f t="shared" si="62"/>
        <v>15.508560803210001</v>
      </c>
      <c r="AJ198" s="142">
        <f t="shared" si="62"/>
        <v>0</v>
      </c>
      <c r="AK198" s="142">
        <f t="shared" si="62"/>
        <v>0</v>
      </c>
      <c r="AL198" s="142">
        <f t="shared" si="62"/>
        <v>8.8398796578296999</v>
      </c>
      <c r="CH198" s="137">
        <f t="shared" si="20"/>
        <v>40</v>
      </c>
      <c r="CI198" s="144">
        <f t="shared" si="21"/>
        <v>126.32307130289904</v>
      </c>
      <c r="CJ198" s="124">
        <f t="shared" si="51"/>
        <v>6.1573699614689623</v>
      </c>
      <c r="CK198" s="124">
        <f t="shared" si="52"/>
        <v>50.957490799304182</v>
      </c>
      <c r="CL198" s="124">
        <f t="shared" si="53"/>
        <v>29.389858431097444</v>
      </c>
      <c r="CM198" s="124">
        <f t="shared" si="54"/>
        <v>15.642429252873562</v>
      </c>
      <c r="CN198" s="124">
        <f t="shared" si="55"/>
        <v>35.967730937748456</v>
      </c>
      <c r="CO198" s="124">
        <f t="shared" si="56"/>
        <v>8.3399789145995804</v>
      </c>
      <c r="CP198" s="124">
        <f t="shared" si="57"/>
        <v>4.1658236336661236</v>
      </c>
      <c r="CQ198" s="124">
        <f t="shared" si="58"/>
        <v>21.453254868897968</v>
      </c>
      <c r="CR198" s="144">
        <f t="shared" si="36"/>
        <v>172.07393679965628</v>
      </c>
    </row>
    <row r="199" spans="1:96" ht="14">
      <c r="A199">
        <f t="shared" si="61"/>
        <v>41</v>
      </c>
      <c r="B199" s="19">
        <f t="shared" si="61"/>
        <v>121</v>
      </c>
      <c r="C199" s="26">
        <f t="shared" si="31"/>
        <v>127.07322548854273</v>
      </c>
      <c r="D199" s="125">
        <f>(($C$39*$C$118*0.72)*D$40)*('Product half-life and C flows'!B100/100)</f>
        <v>0.12196200173994909</v>
      </c>
      <c r="E199" s="26"/>
      <c r="F199" s="54">
        <f t="shared" si="59"/>
        <v>6.0606231572568161</v>
      </c>
      <c r="G199" s="54">
        <f t="shared" si="59"/>
        <v>0.7542108817919595</v>
      </c>
      <c r="H199" s="125">
        <f>(H$118)*('Product half-life and C flows'!L100/100)</f>
        <v>0.67684437440256806</v>
      </c>
      <c r="I199" s="125">
        <f>(($C$39*$C$118*0.28)*H$41)*('Product half-life and C flows'!N100/100)</f>
        <v>0.84087234791425125</v>
      </c>
      <c r="J199" s="125">
        <f>(($C$39*$C$118*0.28)*H$41)*(+'Product half-life and C flows'!P100/100)</f>
        <v>0.42001615779932633</v>
      </c>
      <c r="K199" s="54">
        <f t="shared" si="60"/>
        <v>1.3434381331919276</v>
      </c>
      <c r="L199" s="26"/>
      <c r="M199" s="142">
        <f>(C$158-C$138)*(0.4*D$14)*('Product half-life and C flows'!B60/100)</f>
        <v>0.83223790495335714</v>
      </c>
      <c r="N199" s="83"/>
      <c r="O199" s="143">
        <f t="shared" si="40"/>
        <v>7.7764117579468763</v>
      </c>
      <c r="P199" s="142">
        <f t="shared" si="41"/>
        <v>4.9627394570272001</v>
      </c>
      <c r="Q199" s="142">
        <f>(C$158-C$138)*(0.6*C$15)*('Product half-life and C flows'!L60/100)</f>
        <v>8.2470708061432259</v>
      </c>
      <c r="R199" s="142">
        <f>(C$158-C$138)*0.6*('Product half-life and C flows'!N60/100)</f>
        <v>4.8458343247092301</v>
      </c>
      <c r="S199" s="142">
        <f>(C$158-C$138)*0.6*('Product half-life and C flows'!P60/100)</f>
        <v>2.4204966656889253</v>
      </c>
      <c r="T199" s="142">
        <f t="shared" si="42"/>
        <v>4.7008303595016381</v>
      </c>
      <c r="U199" s="3"/>
      <c r="V199" s="142">
        <f t="shared" si="43"/>
        <v>1.6644758099067141</v>
      </c>
      <c r="W199" s="142">
        <f t="shared" si="44"/>
        <v>0</v>
      </c>
      <c r="X199" s="142">
        <f t="shared" si="45"/>
        <v>7.7764117579468763</v>
      </c>
      <c r="Y199" s="142">
        <f t="shared" si="46"/>
        <v>4.9627394570272001</v>
      </c>
      <c r="Z199" s="142">
        <f t="shared" si="47"/>
        <v>11.222531483729737</v>
      </c>
      <c r="AA199" s="142">
        <f t="shared" si="48"/>
        <v>2.8602102325331629</v>
      </c>
      <c r="AB199" s="142">
        <f t="shared" si="49"/>
        <v>1.4286764398267544</v>
      </c>
      <c r="AC199" s="142">
        <f t="shared" si="50"/>
        <v>6.3968429457259495</v>
      </c>
      <c r="AD199" s="40"/>
      <c r="AE199" s="142">
        <f t="shared" ref="AE199:AL199" si="63">V179</f>
        <v>3.3289516198134281</v>
      </c>
      <c r="AF199" s="142">
        <f t="shared" si="63"/>
        <v>52.68066422188307</v>
      </c>
      <c r="AG199" s="142">
        <f t="shared" si="63"/>
        <v>7.7764117579468763</v>
      </c>
      <c r="AH199" s="142">
        <f t="shared" si="63"/>
        <v>4.9627394570272001</v>
      </c>
      <c r="AI199" s="142">
        <f t="shared" si="63"/>
        <v>15.271508619701541</v>
      </c>
      <c r="AJ199" s="142">
        <f t="shared" si="63"/>
        <v>0.15819282379464625</v>
      </c>
      <c r="AK199" s="142">
        <f t="shared" si="63"/>
        <v>7.9017394502820304E-2</v>
      </c>
      <c r="AL199" s="142">
        <f t="shared" si="63"/>
        <v>8.7047599132298767</v>
      </c>
      <c r="AM199" s="40"/>
      <c r="AN199" s="40"/>
      <c r="AO199" s="40"/>
      <c r="AP199" s="40"/>
      <c r="AQ199" s="40"/>
      <c r="AR199" s="40"/>
      <c r="AS199" s="40"/>
      <c r="AT199" s="40"/>
      <c r="AU199" s="40"/>
      <c r="AV199" s="40"/>
      <c r="AW199" s="40"/>
      <c r="AX199" s="40"/>
      <c r="CH199">
        <f t="shared" si="20"/>
        <v>41</v>
      </c>
      <c r="CI199" s="113">
        <f t="shared" si="21"/>
        <v>127.07322548854273</v>
      </c>
      <c r="CJ199" s="124">
        <f t="shared" si="51"/>
        <v>5.9476273364134489</v>
      </c>
      <c r="CK199" s="124">
        <f t="shared" si="52"/>
        <v>52.68066422188307</v>
      </c>
      <c r="CL199" s="124">
        <f t="shared" si="53"/>
        <v>29.389858431097444</v>
      </c>
      <c r="CM199" s="124">
        <f t="shared" si="54"/>
        <v>15.642429252873562</v>
      </c>
      <c r="CN199" s="124">
        <f t="shared" si="55"/>
        <v>35.417955283977072</v>
      </c>
      <c r="CO199" s="124">
        <f t="shared" si="56"/>
        <v>8.7051097289512906</v>
      </c>
      <c r="CP199" s="124">
        <f t="shared" si="57"/>
        <v>4.3482066578178262</v>
      </c>
      <c r="CQ199" s="124">
        <f t="shared" si="58"/>
        <v>21.14587135164939</v>
      </c>
      <c r="CR199" s="144">
        <f t="shared" si="36"/>
        <v>173.27772226466311</v>
      </c>
    </row>
    <row r="200" spans="1:96" ht="14">
      <c r="A200">
        <f t="shared" si="61"/>
        <v>42</v>
      </c>
      <c r="B200" s="19">
        <f t="shared" si="61"/>
        <v>122</v>
      </c>
      <c r="C200" s="26">
        <f t="shared" si="31"/>
        <v>127.81140207134142</v>
      </c>
      <c r="D200" s="125">
        <f>(($C$39*$C$118*0.72)*D$40)*('Product half-life and C flows'!B101/100)</f>
        <v>0.1178075282290121</v>
      </c>
      <c r="E200" s="26"/>
      <c r="F200" s="54">
        <f t="shared" ref="F200:G215" si="64">F199</f>
        <v>6.0606231572568161</v>
      </c>
      <c r="G200" s="54">
        <f t="shared" si="64"/>
        <v>0.7542108817919595</v>
      </c>
      <c r="H200" s="125">
        <f>(H$118)*('Product half-life and C flows'!L101/100)</f>
        <v>0.66649864091488453</v>
      </c>
      <c r="I200" s="125">
        <f>(($C$39*$C$118*0.28)*H$41)*('Product half-life and C flows'!N101/100)</f>
        <v>0.84605038752483686</v>
      </c>
      <c r="J200" s="125">
        <f>(($C$39*$C$118*0.28)*H$41)*(+'Product half-life and C flows'!P101/100)</f>
        <v>0.42260259117124727</v>
      </c>
      <c r="K200" s="54">
        <f t="shared" si="60"/>
        <v>1.3434381331919276</v>
      </c>
      <c r="L200" s="26"/>
      <c r="M200" s="142">
        <f>(C$158-C$138)*(0.4*D$14)*('Product half-life and C flows'!B61/100)</f>
        <v>0.80388882670275008</v>
      </c>
      <c r="N200" s="83"/>
      <c r="O200" s="143">
        <f t="shared" si="40"/>
        <v>7.7764117579468763</v>
      </c>
      <c r="P200" s="142">
        <f t="shared" si="41"/>
        <v>4.9627394570272001</v>
      </c>
      <c r="Q200" s="142">
        <f>(C$158-C$138)*(0.6*C$15)*('Product half-life and C flows'!L61/100)</f>
        <v>8.1210122913040852</v>
      </c>
      <c r="R200" s="142">
        <f>(C$158-C$138)*0.6*('Product half-life and C flows'!N61/100)</f>
        <v>4.9299573736118827</v>
      </c>
      <c r="S200" s="142">
        <f>(C$158-C$138)*0.6*('Product half-life and C flows'!P61/100)</f>
        <v>2.4625161706353049</v>
      </c>
      <c r="T200" s="142">
        <f t="shared" si="42"/>
        <v>4.6289770060433284</v>
      </c>
      <c r="U200" s="3"/>
      <c r="V200" s="142">
        <f t="shared" si="43"/>
        <v>1.6077776534055002</v>
      </c>
      <c r="W200" s="142">
        <f t="shared" si="44"/>
        <v>0</v>
      </c>
      <c r="X200" s="142">
        <f t="shared" si="45"/>
        <v>7.7764117579468763</v>
      </c>
      <c r="Y200" s="142">
        <f t="shared" si="46"/>
        <v>4.9627394570272001</v>
      </c>
      <c r="Z200" s="142">
        <f t="shared" si="47"/>
        <v>11.050992317299807</v>
      </c>
      <c r="AA200" s="142">
        <f t="shared" si="48"/>
        <v>2.9746840362640703</v>
      </c>
      <c r="AB200" s="142">
        <f t="shared" si="49"/>
        <v>1.485856161970065</v>
      </c>
      <c r="AC200" s="142">
        <f t="shared" si="50"/>
        <v>6.2990656208608895</v>
      </c>
      <c r="AD200" s="40"/>
      <c r="AE200" s="142">
        <f t="shared" ref="AE200:AL200" si="65">V180</f>
        <v>3.2155553068110003</v>
      </c>
      <c r="AF200" s="142">
        <f t="shared" si="65"/>
        <v>54.403837644461959</v>
      </c>
      <c r="AG200" s="142">
        <f t="shared" si="65"/>
        <v>7.7764117579468763</v>
      </c>
      <c r="AH200" s="142">
        <f t="shared" si="65"/>
        <v>4.9627394570272001</v>
      </c>
      <c r="AI200" s="142">
        <f t="shared" si="65"/>
        <v>15.038079837385441</v>
      </c>
      <c r="AJ200" s="142">
        <f t="shared" si="65"/>
        <v>0.3139676311935905</v>
      </c>
      <c r="AK200" s="142">
        <f t="shared" si="65"/>
        <v>0.15682698860818706</v>
      </c>
      <c r="AL200" s="142">
        <f t="shared" si="65"/>
        <v>8.5717055073096997</v>
      </c>
      <c r="AM200" s="40"/>
      <c r="AN200" s="40"/>
      <c r="AO200" s="40"/>
      <c r="AP200" s="40"/>
      <c r="AQ200" s="40"/>
      <c r="AR200" s="40"/>
      <c r="AS200" s="40"/>
      <c r="AT200" s="40"/>
      <c r="AU200" s="40"/>
      <c r="AV200" s="40"/>
      <c r="AW200" s="40"/>
      <c r="AX200" s="40"/>
      <c r="CH200">
        <f t="shared" si="20"/>
        <v>42</v>
      </c>
      <c r="CI200" s="113">
        <f t="shared" si="21"/>
        <v>127.81140207134142</v>
      </c>
      <c r="CJ200" s="124">
        <f t="shared" si="51"/>
        <v>5.7450293151482628</v>
      </c>
      <c r="CK200" s="124">
        <f t="shared" si="52"/>
        <v>54.403837644461959</v>
      </c>
      <c r="CL200" s="124">
        <f t="shared" si="53"/>
        <v>29.389858431097444</v>
      </c>
      <c r="CM200" s="124">
        <f t="shared" si="54"/>
        <v>15.642429252873562</v>
      </c>
      <c r="CN200" s="124">
        <f t="shared" si="55"/>
        <v>34.876583086904219</v>
      </c>
      <c r="CO200" s="124">
        <f t="shared" si="56"/>
        <v>9.0646594285943802</v>
      </c>
      <c r="CP200" s="124">
        <f t="shared" si="57"/>
        <v>4.5278019123848043</v>
      </c>
      <c r="CQ200" s="124">
        <f t="shared" si="58"/>
        <v>20.843186267405848</v>
      </c>
      <c r="CR200" s="144">
        <f t="shared" si="36"/>
        <v>174.4933853388705</v>
      </c>
    </row>
    <row r="201" spans="1:96" ht="14">
      <c r="A201">
        <f t="shared" si="61"/>
        <v>43</v>
      </c>
      <c r="B201" s="19">
        <f t="shared" si="61"/>
        <v>123</v>
      </c>
      <c r="C201" s="26">
        <f t="shared" si="31"/>
        <v>128.53773077856621</v>
      </c>
      <c r="D201" s="125">
        <f>(($C$39*$C$118*0.72)*D$40)*('Product half-life and C flows'!B102/100)</f>
        <v>0.11379457133724195</v>
      </c>
      <c r="E201" s="26"/>
      <c r="F201" s="54">
        <f t="shared" si="64"/>
        <v>6.0606231572568161</v>
      </c>
      <c r="G201" s="54">
        <f t="shared" si="64"/>
        <v>0.7542108817919595</v>
      </c>
      <c r="H201" s="125">
        <f>(H$118)*('Product half-life and C flows'!L102/100)</f>
        <v>0.65631104451963462</v>
      </c>
      <c r="I201" s="125">
        <f>(($C$39*$C$118*0.28)*H$41)*('Product half-life and C flows'!N102/100)</f>
        <v>0.85114927952065955</v>
      </c>
      <c r="J201" s="125">
        <f>(($C$39*$C$118*0.28)*H$41)*(+'Product half-life and C flows'!P102/100)</f>
        <v>0.42514949027005966</v>
      </c>
      <c r="K201" s="54">
        <f t="shared" si="60"/>
        <v>1.3434381331919276</v>
      </c>
      <c r="L201" s="26"/>
      <c r="M201" s="142">
        <f>(C$158-C$138)*(0.4*D$14)*('Product half-life and C flows'!B62/100)</f>
        <v>0.7765054221289559</v>
      </c>
      <c r="N201" s="83"/>
      <c r="O201" s="143">
        <f t="shared" si="40"/>
        <v>7.7764117579468763</v>
      </c>
      <c r="P201" s="142">
        <f t="shared" si="41"/>
        <v>4.9627394570272001</v>
      </c>
      <c r="Q201" s="142">
        <f>(C$158-C$138)*(0.6*C$15)*('Product half-life and C flows'!L62/100)</f>
        <v>7.9968806120089821</v>
      </c>
      <c r="R201" s="142">
        <f>(C$158-C$138)*0.6*('Product half-life and C flows'!N62/100)</f>
        <v>5.0127945809281487</v>
      </c>
      <c r="S201" s="142">
        <f>(C$158-C$138)*0.6*('Product half-life and C flows'!P62/100)</f>
        <v>2.5038933970670061</v>
      </c>
      <c r="T201" s="142">
        <f t="shared" si="42"/>
        <v>4.5582219488451194</v>
      </c>
      <c r="U201" s="3"/>
      <c r="V201" s="142">
        <f t="shared" si="43"/>
        <v>1.5530108442579118</v>
      </c>
      <c r="W201" s="142">
        <f t="shared" si="44"/>
        <v>0</v>
      </c>
      <c r="X201" s="142">
        <f t="shared" si="45"/>
        <v>7.7764117579468763</v>
      </c>
      <c r="Y201" s="142">
        <f t="shared" si="46"/>
        <v>4.9627394570272001</v>
      </c>
      <c r="Z201" s="142">
        <f t="shared" si="47"/>
        <v>10.882075169410175</v>
      </c>
      <c r="AA201" s="142">
        <f t="shared" si="48"/>
        <v>3.0874080796224175</v>
      </c>
      <c r="AB201" s="142">
        <f t="shared" si="49"/>
        <v>1.5421618779332751</v>
      </c>
      <c r="AC201" s="142">
        <f t="shared" si="50"/>
        <v>6.2027828465637995</v>
      </c>
      <c r="AD201" s="40"/>
      <c r="AE201" s="142">
        <f t="shared" ref="AE201:AL201" si="66">V181</f>
        <v>3.1060216885158232</v>
      </c>
      <c r="AF201" s="142">
        <f t="shared" si="66"/>
        <v>56.127011067040847</v>
      </c>
      <c r="AG201" s="142">
        <f t="shared" si="66"/>
        <v>7.7764117579468763</v>
      </c>
      <c r="AH201" s="142">
        <f t="shared" si="66"/>
        <v>4.9627394570272001</v>
      </c>
      <c r="AI201" s="142">
        <f t="shared" si="66"/>
        <v>14.808219071679254</v>
      </c>
      <c r="AJ201" s="142">
        <f t="shared" si="66"/>
        <v>0.46736138217485096</v>
      </c>
      <c r="AK201" s="142">
        <f t="shared" si="66"/>
        <v>0.23344724384358187</v>
      </c>
      <c r="AL201" s="142">
        <f t="shared" si="66"/>
        <v>8.440684870857174</v>
      </c>
      <c r="AM201" s="40"/>
      <c r="AN201" s="40"/>
      <c r="AO201" s="40"/>
      <c r="AP201" s="40"/>
      <c r="AQ201" s="40"/>
      <c r="AR201" s="40"/>
      <c r="AS201" s="40"/>
      <c r="AT201" s="40"/>
      <c r="AU201" s="40"/>
      <c r="AV201" s="40"/>
      <c r="AW201" s="40"/>
      <c r="AX201" s="40"/>
      <c r="CH201">
        <f t="shared" si="20"/>
        <v>43</v>
      </c>
      <c r="CI201" s="113">
        <f t="shared" si="21"/>
        <v>128.53773077856621</v>
      </c>
      <c r="CJ201" s="124">
        <f t="shared" si="51"/>
        <v>5.5493325262399331</v>
      </c>
      <c r="CK201" s="124">
        <f t="shared" si="52"/>
        <v>56.127011067040847</v>
      </c>
      <c r="CL201" s="124">
        <f t="shared" si="53"/>
        <v>29.389858431097444</v>
      </c>
      <c r="CM201" s="124">
        <f t="shared" si="54"/>
        <v>15.642429252873562</v>
      </c>
      <c r="CN201" s="124">
        <f t="shared" si="55"/>
        <v>34.343485897618045</v>
      </c>
      <c r="CO201" s="124">
        <f t="shared" si="56"/>
        <v>9.4187133222460755</v>
      </c>
      <c r="CP201" s="124">
        <f t="shared" si="57"/>
        <v>4.7046520091139232</v>
      </c>
      <c r="CQ201" s="124">
        <f t="shared" si="58"/>
        <v>20.545127799458022</v>
      </c>
      <c r="CR201" s="144">
        <f t="shared" si="36"/>
        <v>175.72061030568784</v>
      </c>
    </row>
    <row r="202" spans="1:96" ht="14">
      <c r="A202">
        <f t="shared" si="61"/>
        <v>44</v>
      </c>
      <c r="B202" s="19">
        <f t="shared" si="61"/>
        <v>124</v>
      </c>
      <c r="C202" s="26">
        <f t="shared" si="31"/>
        <v>129.2523426706143</v>
      </c>
      <c r="D202" s="125">
        <f>(($C$39*$C$118*0.72)*D$40)*('Product half-life and C flows'!B103/100)</f>
        <v>0.10991831048907201</v>
      </c>
      <c r="E202" s="26"/>
      <c r="F202" s="54">
        <f t="shared" si="64"/>
        <v>6.0606231572568161</v>
      </c>
      <c r="G202" s="54">
        <f t="shared" si="64"/>
        <v>0.7542108817919595</v>
      </c>
      <c r="H202" s="125">
        <f>(H$118)*('Product half-life and C flows'!L103/100)</f>
        <v>0.64627916805229046</v>
      </c>
      <c r="I202" s="125">
        <f>(($C$39*$C$118*0.28)*H$41)*('Product half-life and C flows'!N103/100)</f>
        <v>0.8561702336925654</v>
      </c>
      <c r="J202" s="125">
        <f>(($C$39*$C$118*0.28)*H$41)*(+'Product half-life and C flows'!P103/100)</f>
        <v>0.42765745938689576</v>
      </c>
      <c r="K202" s="54">
        <f t="shared" si="60"/>
        <v>1.3434381331919276</v>
      </c>
      <c r="L202" s="26"/>
      <c r="M202" s="142">
        <f>(C$158-C$138)*(0.4*D$14)*('Product half-life and C flows'!B63/100)</f>
        <v>0.75005479684148113</v>
      </c>
      <c r="N202" s="83"/>
      <c r="O202" s="143">
        <f t="shared" si="40"/>
        <v>7.7764117579468763</v>
      </c>
      <c r="P202" s="142">
        <f t="shared" si="41"/>
        <v>4.9627394570272001</v>
      </c>
      <c r="Q202" s="142">
        <f>(C$158-C$138)*(0.6*C$15)*('Product half-life and C flows'!L63/100)</f>
        <v>7.8746463161005691</v>
      </c>
      <c r="R202" s="142">
        <f>(C$158-C$138)*0.6*('Product half-life and C flows'!N63/100)</f>
        <v>5.0943656010643634</v>
      </c>
      <c r="S202" s="142">
        <f>(C$158-C$138)*0.6*('Product half-life and C flows'!P63/100)</f>
        <v>2.5446381623698104</v>
      </c>
      <c r="T202" s="142">
        <f t="shared" si="42"/>
        <v>4.4885484001773239</v>
      </c>
      <c r="U202" s="3"/>
      <c r="V202" s="142">
        <f t="shared" si="43"/>
        <v>1.5001095936829623</v>
      </c>
      <c r="W202" s="142">
        <f t="shared" si="44"/>
        <v>0</v>
      </c>
      <c r="X202" s="142">
        <f t="shared" si="45"/>
        <v>7.7764117579468763</v>
      </c>
      <c r="Y202" s="142">
        <f t="shared" si="46"/>
        <v>4.9627394570272001</v>
      </c>
      <c r="Z202" s="142">
        <f t="shared" si="47"/>
        <v>10.715739961859647</v>
      </c>
      <c r="AA202" s="142">
        <f t="shared" si="48"/>
        <v>3.1984091081278025</v>
      </c>
      <c r="AB202" s="142">
        <f t="shared" si="49"/>
        <v>1.5976069471167842</v>
      </c>
      <c r="AC202" s="142">
        <f t="shared" si="50"/>
        <v>6.1079717782599987</v>
      </c>
      <c r="AD202" s="40"/>
      <c r="AE202" s="142">
        <f t="shared" ref="AE202:AL202" si="67">V182</f>
        <v>3.0002191873659245</v>
      </c>
      <c r="AF202" s="142">
        <f t="shared" si="67"/>
        <v>57.850184489619735</v>
      </c>
      <c r="AG202" s="142">
        <f t="shared" si="67"/>
        <v>7.7764117579468763</v>
      </c>
      <c r="AH202" s="142">
        <f t="shared" si="67"/>
        <v>4.9627394570272001</v>
      </c>
      <c r="AI202" s="142">
        <f t="shared" si="67"/>
        <v>14.581871784567571</v>
      </c>
      <c r="AJ202" s="142">
        <f t="shared" si="67"/>
        <v>0.61841047177404773</v>
      </c>
      <c r="AK202" s="142">
        <f t="shared" si="67"/>
        <v>0.30889633954747636</v>
      </c>
      <c r="AL202" s="142">
        <f t="shared" si="67"/>
        <v>8.3116669172035156</v>
      </c>
      <c r="AM202" s="40"/>
      <c r="AN202" s="40"/>
      <c r="AO202" s="40"/>
      <c r="AP202" s="40"/>
      <c r="AQ202" s="40"/>
      <c r="AR202" s="40"/>
      <c r="AS202" s="40"/>
      <c r="AT202" s="40"/>
      <c r="AU202" s="40"/>
      <c r="AV202" s="40"/>
      <c r="AW202" s="40"/>
      <c r="AX202" s="40"/>
      <c r="CH202">
        <f t="shared" si="20"/>
        <v>44</v>
      </c>
      <c r="CI202" s="113">
        <f t="shared" si="21"/>
        <v>129.2523426706143</v>
      </c>
      <c r="CJ202" s="124">
        <f t="shared" si="51"/>
        <v>5.36030188837944</v>
      </c>
      <c r="CK202" s="124">
        <f t="shared" si="52"/>
        <v>57.850184489619735</v>
      </c>
      <c r="CL202" s="124">
        <f t="shared" si="53"/>
        <v>29.389858431097444</v>
      </c>
      <c r="CM202" s="124">
        <f t="shared" si="54"/>
        <v>15.642429252873562</v>
      </c>
      <c r="CN202" s="124">
        <f t="shared" si="55"/>
        <v>33.818537230580077</v>
      </c>
      <c r="CO202" s="124">
        <f t="shared" si="56"/>
        <v>9.7673554146587804</v>
      </c>
      <c r="CP202" s="124">
        <f t="shared" si="57"/>
        <v>4.8787989084209666</v>
      </c>
      <c r="CQ202" s="124">
        <f t="shared" si="58"/>
        <v>20.251625228832765</v>
      </c>
      <c r="CR202" s="144">
        <f t="shared" si="36"/>
        <v>176.95909084446276</v>
      </c>
    </row>
    <row r="203" spans="1:96" ht="14">
      <c r="A203">
        <f t="shared" si="61"/>
        <v>45</v>
      </c>
      <c r="B203" s="19">
        <f t="shared" si="61"/>
        <v>125</v>
      </c>
      <c r="C203" s="26">
        <f t="shared" si="31"/>
        <v>129.9553699797319</v>
      </c>
      <c r="D203" s="125">
        <f>(($C$39*$C$118*0.72)*D$40)*('Product half-life and C flows'!B104/100)</f>
        <v>0.10617408931543555</v>
      </c>
      <c r="E203" s="26"/>
      <c r="F203" s="54">
        <f t="shared" si="64"/>
        <v>6.0606231572568161</v>
      </c>
      <c r="G203" s="54">
        <f t="shared" si="64"/>
        <v>0.7542108817919595</v>
      </c>
      <c r="H203" s="125">
        <f>(H$118)*('Product half-life and C flows'!L104/100)</f>
        <v>0.63640063129528102</v>
      </c>
      <c r="I203" s="125">
        <f>(($C$39*$C$118*0.28)*H$41)*('Product half-life and C flows'!N104/100)</f>
        <v>0.86111444133944859</v>
      </c>
      <c r="J203" s="125">
        <f>(($C$39*$C$118*0.28)*H$41)*(+'Product half-life and C flows'!P104/100)</f>
        <v>0.43012709357614803</v>
      </c>
      <c r="K203" s="54">
        <f t="shared" si="60"/>
        <v>1.3434381331919276</v>
      </c>
      <c r="L203" s="26"/>
      <c r="M203" s="142">
        <f>(C$158-C$138)*(0.4*D$14)*('Product half-life and C flows'!B64/100)</f>
        <v>0.72450517695353112</v>
      </c>
      <c r="N203" s="83"/>
      <c r="O203" s="143">
        <f t="shared" si="40"/>
        <v>7.7764117579468763</v>
      </c>
      <c r="P203" s="142">
        <f t="shared" si="41"/>
        <v>4.9627394570272001</v>
      </c>
      <c r="Q203" s="142">
        <f>(C$158-C$138)*(0.6*C$15)*('Product half-life and C flows'!L64/100)</f>
        <v>7.7542804016050004</v>
      </c>
      <c r="R203" s="142">
        <f>(C$158-C$138)*0.6*('Product half-life and C flows'!N64/100)</f>
        <v>5.1746897880044065</v>
      </c>
      <c r="S203" s="142">
        <f>(C$158-C$138)*0.6*('Product half-life and C flows'!P64/100)</f>
        <v>2.5847601338683335</v>
      </c>
      <c r="T203" s="142">
        <f t="shared" si="42"/>
        <v>4.4199398289148499</v>
      </c>
      <c r="U203" s="3"/>
      <c r="V203" s="142">
        <f t="shared" si="43"/>
        <v>1.4490103539070622</v>
      </c>
      <c r="W203" s="142">
        <f t="shared" si="44"/>
        <v>0</v>
      </c>
      <c r="X203" s="142">
        <f t="shared" si="45"/>
        <v>7.7764117579468763</v>
      </c>
      <c r="Y203" s="142">
        <f t="shared" si="46"/>
        <v>4.9627394570272001</v>
      </c>
      <c r="Z203" s="142">
        <f t="shared" si="47"/>
        <v>10.551947229052235</v>
      </c>
      <c r="AA203" s="142">
        <f t="shared" si="48"/>
        <v>3.3077134584879491</v>
      </c>
      <c r="AB203" s="142">
        <f t="shared" si="49"/>
        <v>1.6522045247192549</v>
      </c>
      <c r="AC203" s="142">
        <f t="shared" si="50"/>
        <v>6.0146099205597734</v>
      </c>
      <c r="AD203" s="40"/>
      <c r="AE203" s="142">
        <f t="shared" ref="AE203:AL203" si="68">V183</f>
        <v>2.8980207078141245</v>
      </c>
      <c r="AF203" s="142">
        <f t="shared" si="68"/>
        <v>59.573357912198624</v>
      </c>
      <c r="AG203" s="142">
        <f t="shared" si="68"/>
        <v>7.7764117579468763</v>
      </c>
      <c r="AH203" s="142">
        <f t="shared" si="68"/>
        <v>4.9627394570272001</v>
      </c>
      <c r="AI203" s="142">
        <f t="shared" si="68"/>
        <v>14.35898427166201</v>
      </c>
      <c r="AJ203" s="142">
        <f t="shared" si="68"/>
        <v>0.76715073871969297</v>
      </c>
      <c r="AK203" s="142">
        <f t="shared" si="68"/>
        <v>0.38319217718266385</v>
      </c>
      <c r="AL203" s="142">
        <f t="shared" si="68"/>
        <v>8.1846210348473445</v>
      </c>
      <c r="AM203" s="40"/>
      <c r="AN203" s="40"/>
      <c r="AO203" s="40"/>
      <c r="AP203" s="40"/>
      <c r="AQ203" s="40"/>
      <c r="AR203" s="40"/>
      <c r="AS203" s="40"/>
      <c r="AT203" s="40"/>
      <c r="AU203" s="40"/>
      <c r="AV203" s="40"/>
      <c r="AW203" s="40"/>
      <c r="AX203" s="40"/>
      <c r="CH203">
        <f t="shared" si="20"/>
        <v>45</v>
      </c>
      <c r="CI203" s="113">
        <f t="shared" si="21"/>
        <v>129.9553699797319</v>
      </c>
      <c r="CJ203" s="124">
        <f t="shared" si="51"/>
        <v>5.1777103279901535</v>
      </c>
      <c r="CK203" s="124">
        <f t="shared" si="52"/>
        <v>59.573357912198624</v>
      </c>
      <c r="CL203" s="124">
        <f t="shared" si="53"/>
        <v>29.389858431097444</v>
      </c>
      <c r="CM203" s="124">
        <f t="shared" si="54"/>
        <v>15.642429252873562</v>
      </c>
      <c r="CN203" s="124">
        <f t="shared" si="55"/>
        <v>33.301612533614531</v>
      </c>
      <c r="CO203" s="124">
        <f t="shared" si="56"/>
        <v>10.110668426551497</v>
      </c>
      <c r="CP203" s="124">
        <f t="shared" si="57"/>
        <v>5.050283929346401</v>
      </c>
      <c r="CQ203" s="124">
        <f t="shared" si="58"/>
        <v>19.962608917513897</v>
      </c>
      <c r="CR203" s="144">
        <f t="shared" si="36"/>
        <v>178.2085297311861</v>
      </c>
    </row>
    <row r="204" spans="1:96" ht="14">
      <c r="A204">
        <f t="shared" si="61"/>
        <v>46</v>
      </c>
      <c r="B204" s="19">
        <f t="shared" si="61"/>
        <v>126</v>
      </c>
      <c r="C204" s="26">
        <f t="shared" si="31"/>
        <v>130.6469459561647</v>
      </c>
      <c r="D204" s="125">
        <f>(($C$39*$C$118*0.72)*D$40)*('Product half-life and C flows'!B105/100)</f>
        <v>0.10255741006029047</v>
      </c>
      <c r="E204" s="26"/>
      <c r="F204" s="54">
        <f t="shared" si="64"/>
        <v>6.0606231572568161</v>
      </c>
      <c r="G204" s="54">
        <f t="shared" si="64"/>
        <v>0.7542108817919595</v>
      </c>
      <c r="H204" s="125">
        <f>(H$118)*('Product half-life and C flows'!L105/100)</f>
        <v>0.62667309041324881</v>
      </c>
      <c r="I204" s="125">
        <f>(($C$39*$C$118*0.28)*H$41)*('Product half-life and C flows'!N105/100)</f>
        <v>0.8659830755509057</v>
      </c>
      <c r="J204" s="125">
        <f>(($C$39*$C$118*0.28)*H$41)*(+'Product half-life and C flows'!P105/100)</f>
        <v>0.43255897879665611</v>
      </c>
      <c r="K204" s="54">
        <f t="shared" si="60"/>
        <v>1.3434381331919276</v>
      </c>
      <c r="L204" s="26"/>
      <c r="M204" s="142">
        <f>(C$158-C$138)*(0.4*D$14)*('Product half-life and C flows'!B65/100)</f>
        <v>0.69982587091353965</v>
      </c>
      <c r="N204" s="83"/>
      <c r="O204" s="143">
        <f t="shared" si="40"/>
        <v>7.7764117579468763</v>
      </c>
      <c r="P204" s="142">
        <f t="shared" si="41"/>
        <v>4.9627394570272001</v>
      </c>
      <c r="Q204" s="142">
        <f>(C$158-C$138)*(0.6*C$15)*('Product half-life and C flows'!L65/100)</f>
        <v>7.6357543098507712</v>
      </c>
      <c r="R204" s="142">
        <f>(C$158-C$138)*0.6*('Product half-life and C flows'!N65/100)</f>
        <v>5.2537861999017288</v>
      </c>
      <c r="S204" s="142">
        <f>(C$158-C$138)*0.6*('Product half-life and C flows'!P65/100)</f>
        <v>2.6242688311197431</v>
      </c>
      <c r="T204" s="142">
        <f t="shared" si="42"/>
        <v>4.3523799566149393</v>
      </c>
      <c r="U204" s="3"/>
      <c r="V204" s="142">
        <f t="shared" si="43"/>
        <v>1.3996517418270789</v>
      </c>
      <c r="W204" s="142">
        <f t="shared" si="44"/>
        <v>0</v>
      </c>
      <c r="X204" s="142">
        <f t="shared" si="45"/>
        <v>7.7764117579468763</v>
      </c>
      <c r="Y204" s="142">
        <f t="shared" si="46"/>
        <v>4.9627394570272001</v>
      </c>
      <c r="Z204" s="142">
        <f t="shared" si="47"/>
        <v>10.390658108633332</v>
      </c>
      <c r="AA204" s="142">
        <f t="shared" si="48"/>
        <v>3.4153470648474982</v>
      </c>
      <c r="AB204" s="142">
        <f t="shared" si="49"/>
        <v>1.7059675648588901</v>
      </c>
      <c r="AC204" s="142">
        <f t="shared" si="50"/>
        <v>5.9226751219209985</v>
      </c>
      <c r="AD204" s="40"/>
      <c r="AE204" s="142">
        <f t="shared" ref="AE204:AL204" si="69">V184</f>
        <v>2.7993034836541577</v>
      </c>
      <c r="AF204" s="142">
        <f t="shared" si="69"/>
        <v>61.296531334777512</v>
      </c>
      <c r="AG204" s="142">
        <f t="shared" si="69"/>
        <v>7.7764117579468763</v>
      </c>
      <c r="AH204" s="142">
        <f t="shared" si="69"/>
        <v>4.9627394570272001</v>
      </c>
      <c r="AI204" s="142">
        <f t="shared" si="69"/>
        <v>14.139503649459039</v>
      </c>
      <c r="AJ204" s="142">
        <f t="shared" si="69"/>
        <v>0.91361747393647497</v>
      </c>
      <c r="AK204" s="142">
        <f t="shared" si="69"/>
        <v>0.4563523845836539</v>
      </c>
      <c r="AL204" s="142">
        <f t="shared" si="69"/>
        <v>8.059517080191652</v>
      </c>
      <c r="AM204" s="40"/>
      <c r="AN204" s="40"/>
      <c r="AO204" s="40"/>
      <c r="AP204" s="40"/>
      <c r="AQ204" s="40"/>
      <c r="AR204" s="40"/>
      <c r="AS204" s="40"/>
      <c r="AT204" s="40"/>
      <c r="AU204" s="40"/>
      <c r="AV204" s="40"/>
      <c r="AW204" s="40"/>
      <c r="AX204" s="40"/>
      <c r="CH204">
        <f t="shared" si="20"/>
        <v>46</v>
      </c>
      <c r="CI204" s="113">
        <f t="shared" si="21"/>
        <v>130.6469459561647</v>
      </c>
      <c r="CJ204" s="124">
        <f t="shared" si="51"/>
        <v>5.0013385064550668</v>
      </c>
      <c r="CK204" s="124">
        <f t="shared" si="52"/>
        <v>61.296531334777512</v>
      </c>
      <c r="CL204" s="124">
        <f t="shared" si="53"/>
        <v>29.389858431097444</v>
      </c>
      <c r="CM204" s="124">
        <f t="shared" si="54"/>
        <v>15.642429252873562</v>
      </c>
      <c r="CN204" s="124">
        <f t="shared" si="55"/>
        <v>32.792589158356392</v>
      </c>
      <c r="CO204" s="124">
        <f t="shared" si="56"/>
        <v>10.448733814236608</v>
      </c>
      <c r="CP204" s="124">
        <f t="shared" si="57"/>
        <v>5.2191477593589424</v>
      </c>
      <c r="CQ204" s="124">
        <f t="shared" si="58"/>
        <v>19.67801029191952</v>
      </c>
      <c r="CR204" s="144">
        <f t="shared" si="36"/>
        <v>179.46863854907505</v>
      </c>
    </row>
    <row r="205" spans="1:96" ht="14">
      <c r="A205">
        <f t="shared" si="61"/>
        <v>47</v>
      </c>
      <c r="B205" s="19">
        <f t="shared" si="61"/>
        <v>127</v>
      </c>
      <c r="C205" s="26">
        <f t="shared" si="31"/>
        <v>131.32720472148327</v>
      </c>
      <c r="D205" s="125">
        <f>(($C$39*$C$118*0.72)*D$40)*('Product half-life and C flows'!B106/100)</f>
        <v>9.9063928177677063E-2</v>
      </c>
      <c r="E205" s="26"/>
      <c r="F205" s="54">
        <f t="shared" si="64"/>
        <v>6.0606231572568161</v>
      </c>
      <c r="G205" s="54">
        <f t="shared" si="64"/>
        <v>0.7542108817919595</v>
      </c>
      <c r="H205" s="125">
        <f>(H$118)*('Product half-life and C flows'!L106/100)</f>
        <v>0.61709423739693892</v>
      </c>
      <c r="I205" s="125">
        <f>(($C$39*$C$118*0.28)*H$41)*('Product half-life and C flows'!N106/100)</f>
        <v>0.87077729148556882</v>
      </c>
      <c r="J205" s="125">
        <f>(($C$39*$C$118*0.28)*H$41)*(+'Product half-life and C flows'!P106/100)</f>
        <v>0.43495369205073353</v>
      </c>
      <c r="K205" s="54">
        <f t="shared" si="60"/>
        <v>1.3434381331919276</v>
      </c>
      <c r="L205" s="26"/>
      <c r="M205" s="142">
        <f>(C$158-C$138)*(0.4*D$14)*('Product half-life and C flows'!B66/100)</f>
        <v>0.67598723263685712</v>
      </c>
      <c r="N205" s="83"/>
      <c r="O205" s="143">
        <f t="shared" si="40"/>
        <v>7.7764117579468763</v>
      </c>
      <c r="P205" s="142">
        <f t="shared" si="41"/>
        <v>4.9627394570272001</v>
      </c>
      <c r="Q205" s="142">
        <f>(C$158-C$138)*(0.6*C$15)*('Product half-life and C flows'!L66/100)</f>
        <v>7.5190399186927204</v>
      </c>
      <c r="R205" s="142">
        <f>(C$158-C$138)*0.6*('Product half-life and C flows'!N66/100)</f>
        <v>5.3316736036012013</v>
      </c>
      <c r="S205" s="142">
        <f>(C$158-C$138)*0.6*('Product half-life and C flows'!P66/100)</f>
        <v>2.6631736281724274</v>
      </c>
      <c r="T205" s="142">
        <f t="shared" si="42"/>
        <v>4.2858527536548499</v>
      </c>
      <c r="U205" s="3"/>
      <c r="V205" s="142">
        <f t="shared" si="43"/>
        <v>1.3519744652737142</v>
      </c>
      <c r="W205" s="142">
        <f t="shared" si="44"/>
        <v>0</v>
      </c>
      <c r="X205" s="142">
        <f t="shared" si="45"/>
        <v>7.7764117579468763</v>
      </c>
      <c r="Y205" s="142">
        <f t="shared" si="46"/>
        <v>4.9627394570272001</v>
      </c>
      <c r="Z205" s="142">
        <f t="shared" si="47"/>
        <v>10.231834332269013</v>
      </c>
      <c r="AA205" s="142">
        <f t="shared" si="48"/>
        <v>3.5213354649412865</v>
      </c>
      <c r="AB205" s="142">
        <f t="shared" si="49"/>
        <v>1.7589088236469963</v>
      </c>
      <c r="AC205" s="142">
        <f t="shared" si="50"/>
        <v>5.8321455693933375</v>
      </c>
      <c r="AD205" s="40"/>
      <c r="AE205" s="142">
        <f t="shared" ref="AE205:AL205" si="70">V185</f>
        <v>2.7039489305474285</v>
      </c>
      <c r="AF205" s="142">
        <f t="shared" si="70"/>
        <v>63.019704757356401</v>
      </c>
      <c r="AG205" s="142">
        <f t="shared" si="70"/>
        <v>7.7764117579468763</v>
      </c>
      <c r="AH205" s="142">
        <f t="shared" si="70"/>
        <v>4.9627394570272001</v>
      </c>
      <c r="AI205" s="142">
        <f t="shared" si="70"/>
        <v>13.923377842792547</v>
      </c>
      <c r="AJ205" s="142">
        <f t="shared" si="70"/>
        <v>1.0578454289185806</v>
      </c>
      <c r="AK205" s="142">
        <f t="shared" si="70"/>
        <v>0.52839432013915122</v>
      </c>
      <c r="AL205" s="142">
        <f t="shared" si="70"/>
        <v>7.9363253703917511</v>
      </c>
      <c r="AM205" s="40"/>
      <c r="AN205" s="40"/>
      <c r="AO205" s="40"/>
      <c r="AP205" s="40"/>
      <c r="AQ205" s="40"/>
      <c r="AR205" s="40"/>
      <c r="AS205" s="40"/>
      <c r="AT205" s="40"/>
      <c r="AU205" s="40"/>
      <c r="AV205" s="40"/>
      <c r="AW205" s="40"/>
      <c r="AX205" s="40"/>
      <c r="CH205">
        <f t="shared" si="20"/>
        <v>47</v>
      </c>
      <c r="CI205" s="113">
        <f t="shared" si="21"/>
        <v>131.32720472148327</v>
      </c>
      <c r="CJ205" s="124">
        <f t="shared" si="51"/>
        <v>4.8309745566356774</v>
      </c>
      <c r="CK205" s="124">
        <f t="shared" si="52"/>
        <v>63.019704757356401</v>
      </c>
      <c r="CL205" s="124">
        <f t="shared" si="53"/>
        <v>29.389858431097444</v>
      </c>
      <c r="CM205" s="124">
        <f t="shared" si="54"/>
        <v>15.642429252873562</v>
      </c>
      <c r="CN205" s="124">
        <f t="shared" si="55"/>
        <v>32.291346331151217</v>
      </c>
      <c r="CO205" s="124">
        <f t="shared" si="56"/>
        <v>10.781631788946637</v>
      </c>
      <c r="CP205" s="124">
        <f t="shared" si="57"/>
        <v>5.3854304640093087</v>
      </c>
      <c r="CQ205" s="124">
        <f t="shared" si="58"/>
        <v>19.397761826631864</v>
      </c>
      <c r="CR205" s="144">
        <f t="shared" si="36"/>
        <v>180.73913740870211</v>
      </c>
    </row>
    <row r="206" spans="1:96" ht="14">
      <c r="A206">
        <f t="shared" si="61"/>
        <v>48</v>
      </c>
      <c r="B206" s="19">
        <f t="shared" si="61"/>
        <v>128</v>
      </c>
      <c r="C206" s="26">
        <f t="shared" si="31"/>
        <v>131.99628112883832</v>
      </c>
      <c r="D206" s="125">
        <f>(($C$39*$C$118*0.72)*D$40)*('Product half-life and C flows'!B107/100)</f>
        <v>9.5689447112819903E-2</v>
      </c>
      <c r="E206" s="26"/>
      <c r="F206" s="54">
        <f t="shared" si="64"/>
        <v>6.0606231572568161</v>
      </c>
      <c r="G206" s="54">
        <f t="shared" si="64"/>
        <v>0.7542108817919595</v>
      </c>
      <c r="H206" s="125">
        <f>(H$118)*('Product half-life and C flows'!L107/100)</f>
        <v>0.60766179951558796</v>
      </c>
      <c r="I206" s="125">
        <f>(($C$39*$C$118*0.28)*H$41)*('Product half-life and C flows'!N107/100)</f>
        <v>0.87549822664518506</v>
      </c>
      <c r="J206" s="125">
        <f>(($C$39*$C$118*0.28)*H$41)*(+'Product half-life and C flows'!P107/100)</f>
        <v>0.4373118015210713</v>
      </c>
      <c r="K206" s="54">
        <f t="shared" si="60"/>
        <v>1.3434381331919276</v>
      </c>
      <c r="L206" s="26"/>
      <c r="M206" s="142">
        <f>(C$158-C$138)*(0.4*D$14)*('Product half-life and C flows'!B67/100)</f>
        <v>0.65296062589331128</v>
      </c>
      <c r="N206" s="83"/>
      <c r="O206" s="143">
        <f t="shared" si="40"/>
        <v>7.7764117579468763</v>
      </c>
      <c r="P206" s="142">
        <f t="shared" si="41"/>
        <v>4.9627394570272001</v>
      </c>
      <c r="Q206" s="142">
        <f>(C$158-C$138)*(0.6*C$15)*('Product half-life and C flows'!L67/100)</f>
        <v>7.4041095358396269</v>
      </c>
      <c r="R206" s="142">
        <f>(C$158-C$138)*0.6*('Product half-life and C flows'!N67/100)</f>
        <v>5.4083704790918317</v>
      </c>
      <c r="S206" s="142">
        <f>(C$158-C$138)*0.6*('Product half-life and C flows'!P67/100)</f>
        <v>2.7014837557901243</v>
      </c>
      <c r="T206" s="142">
        <f t="shared" si="42"/>
        <v>4.220342435428587</v>
      </c>
      <c r="U206" s="3"/>
      <c r="V206" s="142">
        <f t="shared" si="43"/>
        <v>1.3059212517866228</v>
      </c>
      <c r="W206" s="142">
        <f t="shared" si="44"/>
        <v>0</v>
      </c>
      <c r="X206" s="142">
        <f t="shared" si="45"/>
        <v>7.7764117579468763</v>
      </c>
      <c r="Y206" s="142">
        <f t="shared" si="46"/>
        <v>4.9627394570272001</v>
      </c>
      <c r="Z206" s="142">
        <f t="shared" si="47"/>
        <v>10.075438216566313</v>
      </c>
      <c r="AA206" s="142">
        <f t="shared" si="48"/>
        <v>3.6257038061535538</v>
      </c>
      <c r="AB206" s="142">
        <f t="shared" si="49"/>
        <v>1.8110408622145622</v>
      </c>
      <c r="AC206" s="142">
        <f t="shared" si="50"/>
        <v>5.7429997834427979</v>
      </c>
      <c r="AD206" s="40"/>
      <c r="AE206" s="142">
        <f t="shared" ref="AE206:AL206" si="71">V186</f>
        <v>2.6118425035732455</v>
      </c>
      <c r="AF206" s="142">
        <f t="shared" si="71"/>
        <v>64.742878179935289</v>
      </c>
      <c r="AG206" s="142">
        <f t="shared" si="71"/>
        <v>7.7764117579468763</v>
      </c>
      <c r="AH206" s="142">
        <f t="shared" si="71"/>
        <v>4.9627394570272001</v>
      </c>
      <c r="AI206" s="142">
        <f t="shared" si="71"/>
        <v>13.710555572478198</v>
      </c>
      <c r="AJ206" s="142">
        <f t="shared" si="71"/>
        <v>1.1998688239750228</v>
      </c>
      <c r="AK206" s="142">
        <f t="shared" si="71"/>
        <v>0.59933507691060084</v>
      </c>
      <c r="AL206" s="142">
        <f t="shared" si="71"/>
        <v>7.8150166763125721</v>
      </c>
      <c r="AM206" s="40"/>
      <c r="AN206" s="40"/>
      <c r="AO206" s="40"/>
      <c r="AP206" s="40"/>
      <c r="AQ206" s="40"/>
      <c r="AR206" s="40"/>
      <c r="AS206" s="40"/>
      <c r="AT206" s="40"/>
      <c r="AU206" s="40"/>
      <c r="AV206" s="40"/>
      <c r="AW206" s="40"/>
      <c r="AX206" s="40"/>
      <c r="CH206">
        <f t="shared" ref="CH206:CH269" si="72">A206</f>
        <v>48</v>
      </c>
      <c r="CI206" s="113">
        <f t="shared" ref="CI206:CI269" si="73">C206</f>
        <v>131.99628112883832</v>
      </c>
      <c r="CJ206" s="124">
        <f t="shared" si="51"/>
        <v>4.6664138283659993</v>
      </c>
      <c r="CK206" s="124">
        <f t="shared" si="52"/>
        <v>64.742878179935289</v>
      </c>
      <c r="CL206" s="124">
        <f t="shared" si="53"/>
        <v>29.389858431097444</v>
      </c>
      <c r="CM206" s="124">
        <f t="shared" si="54"/>
        <v>15.642429252873562</v>
      </c>
      <c r="CN206" s="124">
        <f t="shared" si="55"/>
        <v>31.797765124399724</v>
      </c>
      <c r="CO206" s="124">
        <f t="shared" si="56"/>
        <v>11.109441335865593</v>
      </c>
      <c r="CP206" s="124">
        <f t="shared" si="57"/>
        <v>5.5491714964363581</v>
      </c>
      <c r="CQ206" s="124">
        <f t="shared" si="58"/>
        <v>19.121797028375887</v>
      </c>
      <c r="CR206" s="144">
        <f t="shared" si="36"/>
        <v>182.01975467734988</v>
      </c>
    </row>
    <row r="207" spans="1:96" ht="14">
      <c r="A207">
        <f t="shared" si="61"/>
        <v>49</v>
      </c>
      <c r="B207" s="19">
        <f t="shared" si="61"/>
        <v>129</v>
      </c>
      <c r="C207" s="26">
        <f t="shared" si="31"/>
        <v>132.65431062990476</v>
      </c>
      <c r="D207" s="125">
        <f>(($C$39*$C$118*0.72)*D$40)*('Product half-life and C flows'!B108/100)</f>
        <v>9.2429913261005414E-2</v>
      </c>
      <c r="E207" s="26"/>
      <c r="F207" s="54">
        <f t="shared" si="64"/>
        <v>6.0606231572568161</v>
      </c>
      <c r="G207" s="54">
        <f t="shared" si="64"/>
        <v>0.7542108817919595</v>
      </c>
      <c r="H207" s="125">
        <f>(H$118)*('Product half-life and C flows'!L108/100)</f>
        <v>0.59837353877768396</v>
      </c>
      <c r="I207" s="125">
        <f>(($C$39*$C$118*0.28)*H$41)*('Product half-life and C flows'!N108/100)</f>
        <v>0.88014700114450595</v>
      </c>
      <c r="J207" s="125">
        <f>(($C$39*$C$118*0.28)*H$41)*(+'Product half-life and C flows'!P108/100)</f>
        <v>0.43963386670554727</v>
      </c>
      <c r="K207" s="54">
        <f t="shared" si="60"/>
        <v>1.3434381331919276</v>
      </c>
      <c r="L207" s="26"/>
      <c r="M207" s="142">
        <f>(C$158-C$138)*(0.4*D$14)*('Product half-life and C flows'!B68/100)</f>
        <v>0.63071838990785456</v>
      </c>
      <c r="N207" s="83"/>
      <c r="O207" s="143">
        <f t="shared" si="40"/>
        <v>7.7764117579468763</v>
      </c>
      <c r="P207" s="142">
        <f t="shared" si="41"/>
        <v>4.9627394570272001</v>
      </c>
      <c r="Q207" s="142">
        <f>(C$158-C$138)*(0.6*C$15)*('Product half-life and C flows'!L68/100)</f>
        <v>7.2909358922837857</v>
      </c>
      <c r="R207" s="142">
        <f>(C$158-C$138)*0.6*('Product half-life and C flows'!N68/100)</f>
        <v>5.4838950238914306</v>
      </c>
      <c r="S207" s="142">
        <f>(C$158-C$138)*0.6*('Product half-life and C flows'!P68/100)</f>
        <v>2.7392083036420716</v>
      </c>
      <c r="T207" s="142">
        <f t="shared" si="42"/>
        <v>4.1558334586017578</v>
      </c>
      <c r="U207" s="3"/>
      <c r="V207" s="142">
        <f t="shared" si="43"/>
        <v>1.2614367798157096</v>
      </c>
      <c r="W207" s="142">
        <f t="shared" si="44"/>
        <v>0</v>
      </c>
      <c r="X207" s="142">
        <f t="shared" si="45"/>
        <v>7.7764117579468763</v>
      </c>
      <c r="Y207" s="142">
        <f t="shared" si="46"/>
        <v>4.9627394570272001</v>
      </c>
      <c r="Z207" s="142">
        <f t="shared" si="47"/>
        <v>9.9214326541322233</v>
      </c>
      <c r="AA207" s="142">
        <f t="shared" si="48"/>
        <v>3.728476851484571</v>
      </c>
      <c r="AB207" s="142">
        <f t="shared" si="49"/>
        <v>1.8623760496925927</v>
      </c>
      <c r="AC207" s="142">
        <f t="shared" si="50"/>
        <v>5.6552166128553667</v>
      </c>
      <c r="AD207" s="40"/>
      <c r="AE207" s="142">
        <f t="shared" ref="AE207:AL207" si="74">V187</f>
        <v>2.5228735596314182</v>
      </c>
      <c r="AF207" s="142">
        <f t="shared" si="74"/>
        <v>66.466051602514185</v>
      </c>
      <c r="AG207" s="142">
        <f t="shared" si="74"/>
        <v>7.7764117579468763</v>
      </c>
      <c r="AH207" s="142">
        <f t="shared" si="74"/>
        <v>4.9627394570272001</v>
      </c>
      <c r="AI207" s="142">
        <f t="shared" si="74"/>
        <v>13.500986343146657</v>
      </c>
      <c r="AJ207" s="142">
        <f t="shared" si="74"/>
        <v>1.3397213563489379</v>
      </c>
      <c r="AK207" s="142">
        <f t="shared" si="74"/>
        <v>0.66919148668778117</v>
      </c>
      <c r="AL207" s="142">
        <f t="shared" si="74"/>
        <v>7.6955622155935934</v>
      </c>
      <c r="AM207" s="40"/>
      <c r="AN207" s="40"/>
      <c r="AO207" s="40"/>
      <c r="AP207" s="40"/>
      <c r="AQ207" s="40"/>
      <c r="AR207" s="40"/>
      <c r="AS207" s="40"/>
      <c r="AT207" s="40"/>
      <c r="AU207" s="40"/>
      <c r="AV207" s="40"/>
      <c r="AW207" s="40"/>
      <c r="AX207" s="40"/>
      <c r="CH207">
        <f t="shared" si="72"/>
        <v>49</v>
      </c>
      <c r="CI207" s="113">
        <f t="shared" si="73"/>
        <v>132.65431062990476</v>
      </c>
      <c r="CJ207" s="124">
        <f t="shared" si="51"/>
        <v>4.5074586426159877</v>
      </c>
      <c r="CK207" s="124">
        <f t="shared" si="52"/>
        <v>66.466051602514185</v>
      </c>
      <c r="CL207" s="124">
        <f t="shared" si="53"/>
        <v>29.389858431097444</v>
      </c>
      <c r="CM207" s="124">
        <f t="shared" si="54"/>
        <v>15.642429252873562</v>
      </c>
      <c r="CN207" s="124">
        <f t="shared" si="55"/>
        <v>31.311728428340352</v>
      </c>
      <c r="CO207" s="124">
        <f t="shared" si="56"/>
        <v>11.432240232869447</v>
      </c>
      <c r="CP207" s="124">
        <f t="shared" si="57"/>
        <v>5.7104097067279929</v>
      </c>
      <c r="CQ207" s="124">
        <f t="shared" si="58"/>
        <v>18.850050420242646</v>
      </c>
      <c r="CR207" s="144">
        <f t="shared" si="36"/>
        <v>183.31022671728164</v>
      </c>
    </row>
    <row r="208" spans="1:96" ht="14">
      <c r="A208">
        <f t="shared" ref="A208:B223" si="75">A207+1</f>
        <v>50</v>
      </c>
      <c r="B208" s="19">
        <f t="shared" si="75"/>
        <v>130</v>
      </c>
      <c r="C208" s="26">
        <f t="shared" si="31"/>
        <v>133.30142914827974</v>
      </c>
      <c r="D208" s="125">
        <f>(($C$39*$C$118*0.72)*D$40)*('Product half-life and C flows'!B109/100)</f>
        <v>8.9281411098177471E-2</v>
      </c>
      <c r="E208" s="26"/>
      <c r="F208" s="54">
        <f t="shared" si="64"/>
        <v>6.0606231572568161</v>
      </c>
      <c r="G208" s="54">
        <f t="shared" si="64"/>
        <v>0.7542108817919595</v>
      </c>
      <c r="H208" s="125">
        <f>(H$118)*('Product half-life and C flows'!L109/100)</f>
        <v>0.58922725139996834</v>
      </c>
      <c r="I208" s="125">
        <f>(($C$39*$C$118*0.28)*H$41)*('Product half-life and C flows'!N109/100)</f>
        <v>0.88472471797705254</v>
      </c>
      <c r="J208" s="125">
        <f>(($C$39*$C$118*0.28)*H$41)*(+'Product half-life and C flows'!P109/100)</f>
        <v>0.4419204385499762</v>
      </c>
      <c r="K208" s="54">
        <f t="shared" si="60"/>
        <v>1.3434381331919276</v>
      </c>
      <c r="L208" s="26"/>
      <c r="M208" s="142">
        <f>(C$158-C$138)*(0.4*D$14)*('Product half-life and C flows'!B69/100)</f>
        <v>0.6092338061329825</v>
      </c>
      <c r="N208" s="83"/>
      <c r="O208" s="143">
        <f t="shared" si="40"/>
        <v>7.7764117579468763</v>
      </c>
      <c r="P208" s="142">
        <f t="shared" si="41"/>
        <v>4.9627394570272001</v>
      </c>
      <c r="Q208" s="142">
        <f>(C$158-C$138)*(0.6*C$15)*('Product half-life and C flows'!L69/100)</f>
        <v>7.1794921358310049</v>
      </c>
      <c r="R208" s="142">
        <f>(C$158-C$138)*0.6*('Product half-life and C flows'!N69/100)</f>
        <v>5.5582651573642528</v>
      </c>
      <c r="S208" s="142">
        <f>(C$158-C$138)*0.6*('Product half-life and C flows'!P69/100)</f>
        <v>2.7763562224596656</v>
      </c>
      <c r="T208" s="142">
        <f t="shared" si="42"/>
        <v>4.0923105174236722</v>
      </c>
      <c r="U208" s="3"/>
      <c r="V208" s="142">
        <f t="shared" si="43"/>
        <v>1.218467612265965</v>
      </c>
      <c r="W208" s="142">
        <f t="shared" si="44"/>
        <v>0</v>
      </c>
      <c r="X208" s="142">
        <f t="shared" si="45"/>
        <v>7.7764117579468763</v>
      </c>
      <c r="Y208" s="142">
        <f t="shared" si="46"/>
        <v>4.9627394570272001</v>
      </c>
      <c r="Z208" s="142">
        <f t="shared" si="47"/>
        <v>9.769781104769411</v>
      </c>
      <c r="AA208" s="142">
        <f t="shared" si="48"/>
        <v>3.8296789854260211</v>
      </c>
      <c r="AB208" s="142">
        <f t="shared" si="49"/>
        <v>1.9129265661468633</v>
      </c>
      <c r="AC208" s="142">
        <f t="shared" si="50"/>
        <v>5.5687752297185638</v>
      </c>
      <c r="AD208" s="40"/>
      <c r="AE208" s="142">
        <f t="shared" ref="AE208:AL208" si="76">V188</f>
        <v>2.43693522453193</v>
      </c>
      <c r="AF208" s="142">
        <f t="shared" si="76"/>
        <v>68.18922502509308</v>
      </c>
      <c r="AG208" s="142">
        <f t="shared" si="76"/>
        <v>7.7764117579468763</v>
      </c>
      <c r="AH208" s="142">
        <f t="shared" si="76"/>
        <v>4.9627394570272001</v>
      </c>
      <c r="AI208" s="142">
        <f t="shared" si="76"/>
        <v>13.294620431262789</v>
      </c>
      <c r="AJ208" s="142">
        <f t="shared" si="76"/>
        <v>1.4774362082127719</v>
      </c>
      <c r="AK208" s="142">
        <f t="shared" si="76"/>
        <v>0.73798012398240365</v>
      </c>
      <c r="AL208" s="142">
        <f t="shared" si="76"/>
        <v>7.5779336458197895</v>
      </c>
      <c r="AM208" s="40"/>
      <c r="AN208" s="40"/>
      <c r="AO208" s="40"/>
      <c r="AP208" s="40"/>
      <c r="AQ208" s="40"/>
      <c r="AR208" s="40"/>
      <c r="AS208" s="40"/>
      <c r="AT208" s="40"/>
      <c r="AU208" s="40"/>
      <c r="AV208" s="40"/>
      <c r="AW208" s="40"/>
      <c r="AX208" s="40"/>
      <c r="CH208">
        <f t="shared" si="72"/>
        <v>50</v>
      </c>
      <c r="CI208" s="113">
        <f t="shared" si="73"/>
        <v>133.30142914827974</v>
      </c>
      <c r="CJ208" s="124">
        <f t="shared" si="51"/>
        <v>4.3539180540290552</v>
      </c>
      <c r="CK208" s="124">
        <f t="shared" si="52"/>
        <v>68.18922502509308</v>
      </c>
      <c r="CL208" s="124">
        <f t="shared" si="53"/>
        <v>29.389858431097444</v>
      </c>
      <c r="CM208" s="124">
        <f t="shared" si="54"/>
        <v>15.642429252873562</v>
      </c>
      <c r="CN208" s="124">
        <f t="shared" si="55"/>
        <v>30.833120923263174</v>
      </c>
      <c r="CO208" s="124">
        <f t="shared" si="56"/>
        <v>11.750105068980098</v>
      </c>
      <c r="CP208" s="124">
        <f t="shared" si="57"/>
        <v>5.8691833511389087</v>
      </c>
      <c r="CQ208" s="124">
        <f t="shared" si="58"/>
        <v>18.582457526153952</v>
      </c>
      <c r="CR208" s="144">
        <f t="shared" si="36"/>
        <v>184.61029763262928</v>
      </c>
    </row>
    <row r="209" spans="1:96" ht="14">
      <c r="A209">
        <f t="shared" si="75"/>
        <v>51</v>
      </c>
      <c r="B209" s="19">
        <f t="shared" si="75"/>
        <v>131</v>
      </c>
      <c r="C209" s="26">
        <f t="shared" si="31"/>
        <v>133.9377729591053</v>
      </c>
      <c r="D209" s="125">
        <f>(($C$39*$C$118*0.72)*D$40)*('Product half-life and C flows'!B110/100)</f>
        <v>8.6240158477403517E-2</v>
      </c>
      <c r="E209" s="26"/>
      <c r="F209" s="54">
        <f t="shared" si="64"/>
        <v>6.0606231572568161</v>
      </c>
      <c r="G209" s="54">
        <f t="shared" si="64"/>
        <v>0.7542108817919595</v>
      </c>
      <c r="H209" s="125">
        <f>(H$118)*('Product half-life and C flows'!L110/100)</f>
        <v>0.58022076728455385</v>
      </c>
      <c r="I209" s="125">
        <f>(($C$39*$C$118*0.28)*H$41)*('Product half-life and C flows'!N110/100)</f>
        <v>0.88923246327681749</v>
      </c>
      <c r="J209" s="125">
        <f>(($C$39*$C$118*0.28)*H$41)*(+'Product half-life and C flows'!P110/100)</f>
        <v>0.44417205957882983</v>
      </c>
      <c r="K209" s="54">
        <f t="shared" si="60"/>
        <v>1.3434381331919276</v>
      </c>
      <c r="L209" s="26"/>
      <c r="M209" s="142">
        <f>(C$158-C$138)*(0.4*D$14)*('Product half-life and C flows'!B70/100)</f>
        <v>0.58848106615300433</v>
      </c>
      <c r="N209" s="83"/>
      <c r="O209" s="143">
        <f t="shared" si="40"/>
        <v>7.7764117579468763</v>
      </c>
      <c r="P209" s="142">
        <f t="shared" si="41"/>
        <v>4.9627394570272001</v>
      </c>
      <c r="Q209" s="142">
        <f>(C$158-C$138)*(0.6*C$15)*('Product half-life and C flows'!L70/100)</f>
        <v>7.0697518247295204</v>
      </c>
      <c r="R209" s="142">
        <f>(C$158-C$138)*0.6*('Product half-life and C flows'!N70/100)</f>
        <v>5.6314985249726428</v>
      </c>
      <c r="S209" s="142">
        <f>(C$158-C$138)*0.6*('Product half-life and C flows'!P70/100)</f>
        <v>2.8129363261601599</v>
      </c>
      <c r="T209" s="142">
        <f t="shared" si="42"/>
        <v>4.029758540095826</v>
      </c>
      <c r="U209" s="3"/>
      <c r="V209" s="142">
        <f t="shared" si="43"/>
        <v>1.1769621323060084</v>
      </c>
      <c r="W209" s="142">
        <f t="shared" si="44"/>
        <v>0</v>
      </c>
      <c r="X209" s="142">
        <f t="shared" si="45"/>
        <v>7.7764117579468763</v>
      </c>
      <c r="Y209" s="142">
        <f t="shared" si="46"/>
        <v>4.9627394570272001</v>
      </c>
      <c r="Z209" s="142">
        <f t="shared" si="47"/>
        <v>9.6204475868064847</v>
      </c>
      <c r="AA209" s="142">
        <f t="shared" si="48"/>
        <v>3.9293342197466132</v>
      </c>
      <c r="AB209" s="142">
        <f t="shared" si="49"/>
        <v>1.9627044054678384</v>
      </c>
      <c r="AC209" s="142">
        <f t="shared" si="50"/>
        <v>5.4836551244796956</v>
      </c>
      <c r="AD209" s="40"/>
      <c r="AE209" s="142">
        <f t="shared" ref="AE209:AL209" si="77">V189</f>
        <v>2.3539242646120164</v>
      </c>
      <c r="AF209" s="142">
        <f t="shared" si="77"/>
        <v>69.912398447671976</v>
      </c>
      <c r="AG209" s="142">
        <f t="shared" si="77"/>
        <v>7.7764117579468763</v>
      </c>
      <c r="AH209" s="142">
        <f t="shared" si="77"/>
        <v>4.9627394570272001</v>
      </c>
      <c r="AI209" s="142">
        <f t="shared" si="77"/>
        <v>13.091408873327982</v>
      </c>
      <c r="AJ209" s="142">
        <f t="shared" si="77"/>
        <v>1.6130460545412677</v>
      </c>
      <c r="AK209" s="142">
        <f t="shared" si="77"/>
        <v>0.80571730996067314</v>
      </c>
      <c r="AL209" s="142">
        <f t="shared" si="77"/>
        <v>7.4621030577969494</v>
      </c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CH209">
        <f t="shared" si="72"/>
        <v>51</v>
      </c>
      <c r="CI209" s="113">
        <f t="shared" si="73"/>
        <v>133.9377729591053</v>
      </c>
      <c r="CJ209" s="124">
        <f t="shared" si="51"/>
        <v>4.2056076215484328</v>
      </c>
      <c r="CK209" s="124">
        <f t="shared" si="52"/>
        <v>69.912398447671976</v>
      </c>
      <c r="CL209" s="124">
        <f t="shared" si="53"/>
        <v>29.389858431097444</v>
      </c>
      <c r="CM209" s="124">
        <f t="shared" si="54"/>
        <v>15.642429252873562</v>
      </c>
      <c r="CN209" s="124">
        <f t="shared" si="55"/>
        <v>30.36182905214854</v>
      </c>
      <c r="CO209" s="124">
        <f t="shared" si="56"/>
        <v>12.063111262537342</v>
      </c>
      <c r="CP209" s="124">
        <f t="shared" si="57"/>
        <v>6.0255301011675009</v>
      </c>
      <c r="CQ209" s="124">
        <f t="shared" si="58"/>
        <v>18.3189548555644</v>
      </c>
      <c r="CR209" s="144">
        <f t="shared" si="36"/>
        <v>185.91971902460921</v>
      </c>
    </row>
    <row r="210" spans="1:96" ht="14">
      <c r="A210">
        <f t="shared" si="75"/>
        <v>52</v>
      </c>
      <c r="B210" s="19">
        <f t="shared" si="75"/>
        <v>132</v>
      </c>
      <c r="C210" s="26">
        <f t="shared" si="31"/>
        <v>134.56347857469208</v>
      </c>
      <c r="D210" s="125">
        <f>(($C$39*$C$118*0.72)*D$40)*('Product half-life and C flows'!B111/100)</f>
        <v>8.3302502085560073E-2</v>
      </c>
      <c r="E210" s="26"/>
      <c r="F210" s="54">
        <f t="shared" si="64"/>
        <v>6.0606231572568161</v>
      </c>
      <c r="G210" s="54">
        <f t="shared" si="64"/>
        <v>0.7542108817919595</v>
      </c>
      <c r="H210" s="125">
        <f>(H$118)*('Product half-life and C flows'!L111/100)</f>
        <v>0.57135194950403567</v>
      </c>
      <c r="I210" s="125">
        <f>(($C$39*$C$118*0.28)*H$41)*('Product half-life and C flows'!N111/100)</f>
        <v>0.89367130657596683</v>
      </c>
      <c r="J210" s="125">
        <f>(($C$39*$C$118*0.28)*H$41)*(+'Product half-life and C flows'!P111/100)</f>
        <v>0.44638926402395934</v>
      </c>
      <c r="K210" s="54">
        <f t="shared" si="60"/>
        <v>1.3434381331919276</v>
      </c>
      <c r="L210" s="26"/>
      <c r="M210" s="142">
        <f>(C$158-C$138)*(0.4*D$14)*('Product half-life and C flows'!B71/100)</f>
        <v>0.56843524068161189</v>
      </c>
      <c r="N210" s="83"/>
      <c r="O210" s="143">
        <f t="shared" ref="O210:O241" si="78">(C$158-C$138)*((0.4*B$14))-(C$158*0.03)</f>
        <v>7.7764117579468763</v>
      </c>
      <c r="P210" s="142">
        <f t="shared" ref="P210:P241" si="79">(C$158-C$138)*((0.6*B$15))</f>
        <v>4.9627394570272001</v>
      </c>
      <c r="Q210" s="142">
        <f>(C$158-C$138)*(0.6*C$15)*('Product half-life and C flows'!L71/100)</f>
        <v>6.9616889213962736</v>
      </c>
      <c r="R210" s="142">
        <f>(C$158-C$138)*0.6*('Product half-life and C flows'!N71/100)</f>
        <v>5.7036125024636961</v>
      </c>
      <c r="S210" s="142">
        <f>(C$158-C$138)*0.6*('Product half-life and C flows'!P71/100)</f>
        <v>2.8489572939379091</v>
      </c>
      <c r="T210" s="142">
        <f t="shared" si="42"/>
        <v>3.9681626851958756</v>
      </c>
      <c r="U210" s="3"/>
      <c r="V210" s="142">
        <f t="shared" si="43"/>
        <v>1.136870481363224</v>
      </c>
      <c r="W210" s="142">
        <f t="shared" si="44"/>
        <v>0</v>
      </c>
      <c r="X210" s="142">
        <f t="shared" si="45"/>
        <v>7.7764117579468763</v>
      </c>
      <c r="Y210" s="142">
        <f t="shared" si="46"/>
        <v>4.9627394570272001</v>
      </c>
      <c r="Z210" s="142">
        <f t="shared" si="47"/>
        <v>9.4733966685607935</v>
      </c>
      <c r="AA210" s="142">
        <f t="shared" si="48"/>
        <v>4.027466199189238</v>
      </c>
      <c r="AB210" s="142">
        <f t="shared" si="49"/>
        <v>2.0117213782164023</v>
      </c>
      <c r="AC210" s="142">
        <f t="shared" si="50"/>
        <v>5.3998361010796518</v>
      </c>
      <c r="AD210" s="40"/>
      <c r="AE210" s="142">
        <f t="shared" ref="AE210:AL210" si="80">V190</f>
        <v>2.2737409627264475</v>
      </c>
      <c r="AF210" s="142">
        <f t="shared" si="80"/>
        <v>71.635571870250871</v>
      </c>
      <c r="AG210" s="142">
        <f t="shared" si="80"/>
        <v>7.7764117579468763</v>
      </c>
      <c r="AH210" s="142">
        <f t="shared" si="80"/>
        <v>4.9627394570272001</v>
      </c>
      <c r="AI210" s="142">
        <f t="shared" si="80"/>
        <v>12.891303454262784</v>
      </c>
      <c r="AJ210" s="142">
        <f t="shared" si="80"/>
        <v>1.7465830708641092</v>
      </c>
      <c r="AK210" s="142">
        <f t="shared" si="80"/>
        <v>0.87241911631573887</v>
      </c>
      <c r="AL210" s="142">
        <f t="shared" si="80"/>
        <v>7.3480429689297866</v>
      </c>
      <c r="AM210" s="40"/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CH210">
        <f t="shared" si="72"/>
        <v>52</v>
      </c>
      <c r="CI210" s="113">
        <f t="shared" si="73"/>
        <v>134.56347857469208</v>
      </c>
      <c r="CJ210" s="124">
        <f t="shared" si="51"/>
        <v>4.062349186856844</v>
      </c>
      <c r="CK210" s="124">
        <f t="shared" si="52"/>
        <v>71.635571870250871</v>
      </c>
      <c r="CL210" s="124">
        <f t="shared" si="53"/>
        <v>29.389858431097444</v>
      </c>
      <c r="CM210" s="124">
        <f t="shared" si="54"/>
        <v>15.642429252873562</v>
      </c>
      <c r="CN210" s="124">
        <f t="shared" si="55"/>
        <v>29.897740993723886</v>
      </c>
      <c r="CO210" s="124">
        <f t="shared" si="56"/>
        <v>12.371333079093009</v>
      </c>
      <c r="CP210" s="124">
        <f t="shared" si="57"/>
        <v>6.17948705249401</v>
      </c>
      <c r="CQ210" s="124">
        <f t="shared" si="58"/>
        <v>18.059479888397242</v>
      </c>
      <c r="CR210" s="144">
        <f t="shared" si="36"/>
        <v>187.23824975478689</v>
      </c>
    </row>
    <row r="211" spans="1:96" ht="14">
      <c r="A211">
        <f t="shared" si="75"/>
        <v>53</v>
      </c>
      <c r="B211" s="19">
        <f t="shared" si="75"/>
        <v>133</v>
      </c>
      <c r="C211" s="26">
        <f t="shared" si="31"/>
        <v>135.17868263592746</v>
      </c>
      <c r="D211" s="125">
        <f>(($C$39*$C$118*0.72)*D$40)*('Product half-life and C flows'!B112/100)</f>
        <v>8.0464913054780152E-2</v>
      </c>
      <c r="E211" s="26"/>
      <c r="F211" s="54">
        <f t="shared" si="64"/>
        <v>6.0606231572568161</v>
      </c>
      <c r="G211" s="54">
        <f t="shared" si="64"/>
        <v>0.7542108817919595</v>
      </c>
      <c r="H211" s="125">
        <f>(H$118)*('Product half-life and C flows'!L112/100)</f>
        <v>0.56261869379447194</v>
      </c>
      <c r="I211" s="125">
        <f>(($C$39*$C$118*0.28)*H$41)*('Product half-life and C flows'!N112/100)</f>
        <v>0.8980423010586035</v>
      </c>
      <c r="J211" s="125">
        <f>(($C$39*$C$118*0.28)*H$41)*(+'Product half-life and C flows'!P112/100)</f>
        <v>0.44857257795135025</v>
      </c>
      <c r="K211" s="54">
        <f t="shared" si="60"/>
        <v>1.3434381331919276</v>
      </c>
      <c r="L211" s="26"/>
      <c r="M211" s="142">
        <f>(C$158-C$138)*(0.4*D$14)*('Product half-life and C flows'!B72/100)</f>
        <v>0.54907224961550738</v>
      </c>
      <c r="N211" s="83"/>
      <c r="O211" s="143">
        <f t="shared" si="78"/>
        <v>7.7764117579468763</v>
      </c>
      <c r="P211" s="142">
        <f t="shared" si="79"/>
        <v>4.9627394570272001</v>
      </c>
      <c r="Q211" s="142">
        <f>(C$158-C$138)*(0.6*C$15)*('Product half-life and C flows'!L72/100)</f>
        <v>6.8552777862390979</v>
      </c>
      <c r="R211" s="142">
        <f>(C$158-C$138)*0.6*('Product half-life and C flows'!N72/100)</f>
        <v>5.7746241999919183</v>
      </c>
      <c r="S211" s="142">
        <f>(C$158-C$138)*0.6*('Product half-life and C flows'!P72/100)</f>
        <v>2.8844276723236346</v>
      </c>
      <c r="T211" s="142">
        <f t="shared" si="42"/>
        <v>3.9075083381562856</v>
      </c>
      <c r="U211" s="3"/>
      <c r="V211" s="142">
        <f t="shared" si="43"/>
        <v>1.0981444992310145</v>
      </c>
      <c r="W211" s="142">
        <f t="shared" si="44"/>
        <v>0</v>
      </c>
      <c r="X211" s="142">
        <f t="shared" si="45"/>
        <v>7.7764117579468763</v>
      </c>
      <c r="Y211" s="142">
        <f t="shared" si="46"/>
        <v>4.9627394570272001</v>
      </c>
      <c r="Z211" s="142">
        <f t="shared" si="47"/>
        <v>9.3285934599317049</v>
      </c>
      <c r="AA211" s="142">
        <f t="shared" si="48"/>
        <v>4.1240982070810492</v>
      </c>
      <c r="AB211" s="142">
        <f t="shared" si="49"/>
        <v>2.0599891144260982</v>
      </c>
      <c r="AC211" s="142">
        <f t="shared" si="50"/>
        <v>5.3172982721610715</v>
      </c>
      <c r="AD211" s="40"/>
      <c r="AE211" s="142">
        <f t="shared" ref="AE211:AL211" si="81">V191</f>
        <v>2.1962889984620291</v>
      </c>
      <c r="AF211" s="142">
        <f t="shared" si="81"/>
        <v>73.358745292829767</v>
      </c>
      <c r="AG211" s="142">
        <f t="shared" si="81"/>
        <v>7.7764117579468763</v>
      </c>
      <c r="AH211" s="142">
        <f t="shared" si="81"/>
        <v>4.9627394570272001</v>
      </c>
      <c r="AI211" s="142">
        <f t="shared" si="81"/>
        <v>12.694256695967157</v>
      </c>
      <c r="AJ211" s="142">
        <f t="shared" si="81"/>
        <v>1.8780789409000571</v>
      </c>
      <c r="AK211" s="142">
        <f t="shared" si="81"/>
        <v>0.93810136908094788</v>
      </c>
      <c r="AL211" s="142">
        <f t="shared" si="81"/>
        <v>7.2357263167012791</v>
      </c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CH211">
        <f t="shared" si="72"/>
        <v>53</v>
      </c>
      <c r="CI211" s="113">
        <f t="shared" si="73"/>
        <v>135.17868263592746</v>
      </c>
      <c r="CJ211" s="124">
        <f t="shared" si="51"/>
        <v>3.9239706603633309</v>
      </c>
      <c r="CK211" s="124">
        <f t="shared" si="52"/>
        <v>73.358745292829767</v>
      </c>
      <c r="CL211" s="124">
        <f t="shared" si="53"/>
        <v>29.389858431097444</v>
      </c>
      <c r="CM211" s="124">
        <f t="shared" si="54"/>
        <v>15.642429252873562</v>
      </c>
      <c r="CN211" s="124">
        <f t="shared" si="55"/>
        <v>29.440746635932435</v>
      </c>
      <c r="CO211" s="124">
        <f t="shared" si="56"/>
        <v>12.674843649031628</v>
      </c>
      <c r="CP211" s="124">
        <f t="shared" si="57"/>
        <v>6.3310907337820312</v>
      </c>
      <c r="CQ211" s="124">
        <f t="shared" si="58"/>
        <v>17.803971060210564</v>
      </c>
      <c r="CR211" s="144">
        <f t="shared" si="36"/>
        <v>188.56565571612077</v>
      </c>
    </row>
    <row r="212" spans="1:96" ht="14">
      <c r="A212">
        <f t="shared" si="75"/>
        <v>54</v>
      </c>
      <c r="B212" s="19">
        <f t="shared" si="75"/>
        <v>134</v>
      </c>
      <c r="C212" s="26">
        <f t="shared" si="31"/>
        <v>135.78352180925319</v>
      </c>
      <c r="D212" s="125">
        <f>(($C$39*$C$118*0.72)*D$40)*('Product half-life and C flows'!B113/100)</f>
        <v>7.7723982723391219E-2</v>
      </c>
      <c r="E212" s="26"/>
      <c r="F212" s="54">
        <f t="shared" si="64"/>
        <v>6.0606231572568161</v>
      </c>
      <c r="G212" s="54">
        <f t="shared" si="64"/>
        <v>0.7542108817919595</v>
      </c>
      <c r="H212" s="125">
        <f>(H$118)*('Product half-life and C flows'!L113/100)</f>
        <v>0.55401892805611597</v>
      </c>
      <c r="I212" s="125">
        <f>(($C$39*$C$118*0.28)*H$41)*('Product half-life and C flows'!N113/100)</f>
        <v>0.90234648381065075</v>
      </c>
      <c r="J212" s="125">
        <f>(($C$39*$C$118*0.28)*H$41)*(+'Product half-life and C flows'!P113/100)</f>
        <v>0.45072251938593932</v>
      </c>
      <c r="K212" s="54">
        <f t="shared" si="60"/>
        <v>1.3434381331919276</v>
      </c>
      <c r="L212" s="26"/>
      <c r="M212" s="142">
        <f>(C$158-C$138)*(0.4*D$14)*('Product half-life and C flows'!B73/100)</f>
        <v>0.53036883310810956</v>
      </c>
      <c r="N212" s="83"/>
      <c r="O212" s="143">
        <f t="shared" si="78"/>
        <v>7.7764117579468763</v>
      </c>
      <c r="P212" s="142">
        <f t="shared" si="79"/>
        <v>4.9627394570272001</v>
      </c>
      <c r="Q212" s="142">
        <f>(C$158-C$138)*(0.6*C$15)*('Product half-life and C flows'!L73/100)</f>
        <v>6.7504931715733285</v>
      </c>
      <c r="R212" s="142">
        <f>(C$158-C$138)*0.6*('Product half-life and C flows'!N73/100)</f>
        <v>5.8445504661788741</v>
      </c>
      <c r="S212" s="142">
        <f>(C$158-C$138)*0.6*('Product half-life and C flows'!P73/100)</f>
        <v>2.9193558772122241</v>
      </c>
      <c r="T212" s="142">
        <f t="shared" si="42"/>
        <v>3.8477811077967967</v>
      </c>
      <c r="U212" s="3"/>
      <c r="V212" s="142">
        <f t="shared" si="43"/>
        <v>1.0607376662162191</v>
      </c>
      <c r="W212" s="142">
        <f t="shared" si="44"/>
        <v>0</v>
      </c>
      <c r="X212" s="142">
        <f t="shared" si="45"/>
        <v>7.7764117579468763</v>
      </c>
      <c r="Y212" s="142">
        <f t="shared" si="46"/>
        <v>4.9627394570272001</v>
      </c>
      <c r="Z212" s="142">
        <f t="shared" si="47"/>
        <v>9.1860036041224014</v>
      </c>
      <c r="AA212" s="142">
        <f t="shared" si="48"/>
        <v>4.2192531708577921</v>
      </c>
      <c r="AB212" s="142">
        <f t="shared" si="49"/>
        <v>2.1075190663625332</v>
      </c>
      <c r="AC212" s="142">
        <f t="shared" si="50"/>
        <v>5.2360220543497684</v>
      </c>
      <c r="AD212" s="40"/>
      <c r="AE212" s="142">
        <f t="shared" ref="AE212:AL212" si="82">V192</f>
        <v>2.1214753324324382</v>
      </c>
      <c r="AF212" s="142">
        <f t="shared" si="82"/>
        <v>75.081918715408662</v>
      </c>
      <c r="AG212" s="142">
        <f t="shared" si="82"/>
        <v>7.7764117579468763</v>
      </c>
      <c r="AH212" s="142">
        <f t="shared" si="82"/>
        <v>4.9627394570272001</v>
      </c>
      <c r="AI212" s="142">
        <f t="shared" si="82"/>
        <v>12.500221846055549</v>
      </c>
      <c r="AJ212" s="142">
        <f t="shared" si="82"/>
        <v>2.0075648640744035</v>
      </c>
      <c r="AK212" s="142">
        <f t="shared" si="82"/>
        <v>1.0027796523848169</v>
      </c>
      <c r="AL212" s="142">
        <f t="shared" si="82"/>
        <v>7.1251264522516626</v>
      </c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  <c r="AW212" s="40"/>
      <c r="AX212" s="40"/>
      <c r="CH212">
        <f t="shared" si="72"/>
        <v>54</v>
      </c>
      <c r="CI212" s="113">
        <f t="shared" si="73"/>
        <v>135.78352180925319</v>
      </c>
      <c r="CJ212" s="124">
        <f t="shared" si="51"/>
        <v>3.790305814480158</v>
      </c>
      <c r="CK212" s="124">
        <f t="shared" si="52"/>
        <v>75.081918715408662</v>
      </c>
      <c r="CL212" s="124">
        <f t="shared" si="53"/>
        <v>29.389858431097444</v>
      </c>
      <c r="CM212" s="124">
        <f t="shared" si="54"/>
        <v>15.642429252873562</v>
      </c>
      <c r="CN212" s="124">
        <f t="shared" si="55"/>
        <v>28.990737549807395</v>
      </c>
      <c r="CO212" s="124">
        <f t="shared" si="56"/>
        <v>12.97371498492172</v>
      </c>
      <c r="CP212" s="124">
        <f t="shared" si="57"/>
        <v>6.4803771153455134</v>
      </c>
      <c r="CQ212" s="124">
        <f t="shared" si="58"/>
        <v>17.552367747590157</v>
      </c>
      <c r="CR212" s="144">
        <f t="shared" si="36"/>
        <v>189.90170961152461</v>
      </c>
    </row>
    <row r="213" spans="1:96" ht="14">
      <c r="A213">
        <f t="shared" si="75"/>
        <v>55</v>
      </c>
      <c r="B213" s="19">
        <f t="shared" si="75"/>
        <v>135</v>
      </c>
      <c r="C213" s="26">
        <f t="shared" si="31"/>
        <v>136.37813268900979</v>
      </c>
      <c r="D213" s="125">
        <f>(($C$39*$C$118*0.72)*D$40)*('Product half-life and C flows'!B114/100)</f>
        <v>7.5076418541250634E-2</v>
      </c>
      <c r="E213" s="26"/>
      <c r="F213" s="54">
        <f t="shared" si="64"/>
        <v>6.0606231572568161</v>
      </c>
      <c r="G213" s="54">
        <f t="shared" si="64"/>
        <v>0.7542108817919595</v>
      </c>
      <c r="H213" s="125">
        <f>(H$118)*('Product half-life and C flows'!L114/100)</f>
        <v>0.54555061186177667</v>
      </c>
      <c r="I213" s="125">
        <f>(($C$39*$C$118*0.28)*H$41)*('Product half-life and C flows'!N114/100)</f>
        <v>0.90658487606591753</v>
      </c>
      <c r="J213" s="125">
        <f>(($C$39*$C$118*0.28)*H$41)*(+'Product half-life and C flows'!P114/100)</f>
        <v>0.45283959843452415</v>
      </c>
      <c r="K213" s="54">
        <f t="shared" si="60"/>
        <v>1.3434381331919276</v>
      </c>
      <c r="L213" s="26"/>
      <c r="M213" s="142">
        <f>(C$158-C$138)*(0.4*D$14)*('Product half-life and C flows'!B74/100)</f>
        <v>0.5123025236286014</v>
      </c>
      <c r="N213" s="83"/>
      <c r="O213" s="143">
        <f t="shared" si="78"/>
        <v>7.7764117579468763</v>
      </c>
      <c r="P213" s="142">
        <f t="shared" si="79"/>
        <v>4.9627394570272001</v>
      </c>
      <c r="Q213" s="142">
        <f>(C$158-C$138)*(0.6*C$15)*('Product half-life and C flows'!L74/100)</f>
        <v>6.6473102156313946</v>
      </c>
      <c r="R213" s="142">
        <f>(C$158-C$138)*0.6*('Product half-life and C flows'!N74/100)</f>
        <v>5.9134078921107918</v>
      </c>
      <c r="S213" s="142">
        <f>(C$158-C$138)*0.6*('Product half-life and C flows'!P74/100)</f>
        <v>2.9537501958595356</v>
      </c>
      <c r="T213" s="142">
        <f t="shared" si="42"/>
        <v>3.7889668229098947</v>
      </c>
      <c r="U213" s="3"/>
      <c r="V213" s="142">
        <f t="shared" si="43"/>
        <v>1.024605047257203</v>
      </c>
      <c r="W213" s="142">
        <f t="shared" si="44"/>
        <v>0</v>
      </c>
      <c r="X213" s="142">
        <f t="shared" si="45"/>
        <v>7.7764117579468763</v>
      </c>
      <c r="Y213" s="142">
        <f t="shared" si="46"/>
        <v>4.9627394570272001</v>
      </c>
      <c r="Z213" s="142">
        <f t="shared" si="47"/>
        <v>9.0455932694881849</v>
      </c>
      <c r="AA213" s="142">
        <f t="shared" si="48"/>
        <v>4.3129536675036926</v>
      </c>
      <c r="AB213" s="142">
        <f t="shared" si="49"/>
        <v>2.1543225112406055</v>
      </c>
      <c r="AC213" s="142">
        <f t="shared" si="50"/>
        <v>5.1559881636082645</v>
      </c>
      <c r="AD213" s="40"/>
      <c r="AE213" s="142">
        <f t="shared" ref="AE213:AL213" si="83">V193</f>
        <v>2.0492100945144056</v>
      </c>
      <c r="AF213" s="142">
        <f t="shared" si="83"/>
        <v>76.805092137987558</v>
      </c>
      <c r="AG213" s="142">
        <f t="shared" si="83"/>
        <v>7.7764117579468763</v>
      </c>
      <c r="AH213" s="142">
        <f t="shared" si="83"/>
        <v>4.9627394570272001</v>
      </c>
      <c r="AI213" s="142">
        <f t="shared" si="83"/>
        <v>12.309152866764171</v>
      </c>
      <c r="AJ213" s="142">
        <f t="shared" si="83"/>
        <v>2.1350715629215169</v>
      </c>
      <c r="AK213" s="142">
        <f t="shared" si="83"/>
        <v>1.0664693121486097</v>
      </c>
      <c r="AL213" s="142">
        <f t="shared" si="83"/>
        <v>7.0162171340555766</v>
      </c>
      <c r="AM213" s="40"/>
      <c r="AN213" s="40"/>
      <c r="AO213" s="40"/>
      <c r="AP213" s="40"/>
      <c r="AQ213" s="40"/>
      <c r="AR213" s="40"/>
      <c r="AS213" s="40"/>
      <c r="AT213" s="40"/>
      <c r="AU213" s="40"/>
      <c r="AV213" s="40"/>
      <c r="AW213" s="40"/>
      <c r="AX213" s="40"/>
      <c r="CH213">
        <f t="shared" si="72"/>
        <v>55</v>
      </c>
      <c r="CI213" s="113">
        <f t="shared" si="73"/>
        <v>136.37813268900979</v>
      </c>
      <c r="CJ213" s="124">
        <f t="shared" si="51"/>
        <v>3.661194083941461</v>
      </c>
      <c r="CK213" s="124">
        <f t="shared" si="52"/>
        <v>76.805092137987558</v>
      </c>
      <c r="CL213" s="124">
        <f t="shared" si="53"/>
        <v>29.389858431097444</v>
      </c>
      <c r="CM213" s="124">
        <f t="shared" si="54"/>
        <v>15.642429252873562</v>
      </c>
      <c r="CN213" s="124">
        <f t="shared" si="55"/>
        <v>28.54760696374553</v>
      </c>
      <c r="CO213" s="124">
        <f t="shared" si="56"/>
        <v>13.26801799860192</v>
      </c>
      <c r="CP213" s="124">
        <f t="shared" si="57"/>
        <v>6.6273816176832749</v>
      </c>
      <c r="CQ213" s="124">
        <f t="shared" si="58"/>
        <v>17.304610253765663</v>
      </c>
      <c r="CR213" s="144">
        <f t="shared" si="36"/>
        <v>191.24619073969643</v>
      </c>
    </row>
    <row r="214" spans="1:96" ht="14">
      <c r="A214">
        <f t="shared" si="75"/>
        <v>56</v>
      </c>
      <c r="B214" s="19">
        <f t="shared" si="75"/>
        <v>136</v>
      </c>
      <c r="C214" s="26">
        <f t="shared" si="31"/>
        <v>136.96265170494351</v>
      </c>
      <c r="D214" s="125">
        <f>(($C$39*$C$118*0.72)*D$40)*('Product half-life and C flows'!B115/100)</f>
        <v>7.2519040114560854E-2</v>
      </c>
      <c r="E214" s="26"/>
      <c r="F214" s="54">
        <f t="shared" si="64"/>
        <v>6.0606231572568161</v>
      </c>
      <c r="G214" s="54">
        <f t="shared" si="64"/>
        <v>0.7542108817919595</v>
      </c>
      <c r="H214" s="125">
        <f>(H$118)*('Product half-life and C flows'!L115/100)</f>
        <v>0.53721173597269722</v>
      </c>
      <c r="I214" s="125">
        <f>(($C$39*$C$118*0.28)*H$41)*('Product half-life and C flows'!N115/100)</f>
        <v>0.9107584834484016</v>
      </c>
      <c r="J214" s="125">
        <f>(($C$39*$C$118*0.28)*H$41)*(+'Product half-life and C flows'!P115/100)</f>
        <v>0.45492431740679395</v>
      </c>
      <c r="K214" s="54">
        <f t="shared" si="60"/>
        <v>1.3434381331919276</v>
      </c>
      <c r="L214" s="26"/>
      <c r="M214" s="142">
        <f>(C$158-C$138)*(0.4*D$14)*('Product half-life and C flows'!B75/100)</f>
        <v>0.49485161897274532</v>
      </c>
      <c r="N214" s="83"/>
      <c r="O214" s="143">
        <f t="shared" si="78"/>
        <v>7.7764117579468763</v>
      </c>
      <c r="P214" s="142">
        <f t="shared" si="79"/>
        <v>4.9627394570272001</v>
      </c>
      <c r="Q214" s="142">
        <f>(C$158-C$138)*(0.6*C$15)*('Product half-life and C flows'!L75/100)</f>
        <v>6.5457044366639909</v>
      </c>
      <c r="R214" s="142">
        <f>(C$158-C$138)*0.6*('Product half-life and C flows'!N75/100)</f>
        <v>5.9812128152750397</v>
      </c>
      <c r="S214" s="142">
        <f>(C$158-C$138)*0.6*('Product half-life and C flows'!P75/100)</f>
        <v>2.9876187888486698</v>
      </c>
      <c r="T214" s="142">
        <f t="shared" si="42"/>
        <v>3.7310515288984747</v>
      </c>
      <c r="U214" s="3"/>
      <c r="V214" s="142">
        <f t="shared" si="43"/>
        <v>0.98970323794549042</v>
      </c>
      <c r="W214" s="142">
        <f t="shared" si="44"/>
        <v>0</v>
      </c>
      <c r="X214" s="142">
        <f t="shared" si="45"/>
        <v>7.7764117579468763</v>
      </c>
      <c r="Y214" s="142">
        <f t="shared" si="46"/>
        <v>4.9627394570272001</v>
      </c>
      <c r="Z214" s="142">
        <f t="shared" si="47"/>
        <v>8.9073291415094129</v>
      </c>
      <c r="AA214" s="142">
        <f t="shared" si="48"/>
        <v>4.4052219289081931</v>
      </c>
      <c r="AB214" s="142">
        <f t="shared" si="49"/>
        <v>2.2004105539001961</v>
      </c>
      <c r="AC214" s="142">
        <f t="shared" si="50"/>
        <v>5.0771776106603648</v>
      </c>
      <c r="AD214" s="40"/>
      <c r="AE214" s="142">
        <f t="shared" ref="AE214:AL214" si="84">V194</f>
        <v>1.9794064758909808</v>
      </c>
      <c r="AF214" s="142">
        <f t="shared" si="84"/>
        <v>78.528265560566453</v>
      </c>
      <c r="AG214" s="142">
        <f t="shared" si="84"/>
        <v>7.7764117579468763</v>
      </c>
      <c r="AH214" s="142">
        <f t="shared" si="84"/>
        <v>4.9627394570272001</v>
      </c>
      <c r="AI214" s="142">
        <f t="shared" si="84"/>
        <v>12.121004424027827</v>
      </c>
      <c r="AJ214" s="142">
        <f t="shared" si="84"/>
        <v>2.2606292903742373</v>
      </c>
      <c r="AK214" s="142">
        <f t="shared" si="84"/>
        <v>1.1291854597273911</v>
      </c>
      <c r="AL214" s="142">
        <f t="shared" si="84"/>
        <v>6.9089725216958611</v>
      </c>
      <c r="AM214" s="40"/>
      <c r="AN214" s="40"/>
      <c r="AO214" s="40"/>
      <c r="AP214" s="40"/>
      <c r="AQ214" s="40"/>
      <c r="AR214" s="40"/>
      <c r="AS214" s="40"/>
      <c r="AT214" s="40"/>
      <c r="AU214" s="40"/>
      <c r="AV214" s="40"/>
      <c r="AW214" s="40"/>
      <c r="AX214" s="40"/>
      <c r="CH214">
        <f t="shared" si="72"/>
        <v>56</v>
      </c>
      <c r="CI214" s="113">
        <f t="shared" si="73"/>
        <v>136.96265170494351</v>
      </c>
      <c r="CJ214" s="124">
        <f t="shared" ref="CJ214:CJ245" si="85">D214+M214+V214+AE214+AN214+AW214+BF214+BO214+BX214</f>
        <v>3.5364803729237773</v>
      </c>
      <c r="CK214" s="124">
        <f t="shared" ref="CK214:CK245" si="86">E214+N214+W214+AF214+AO214+AX214+BG214+BP214+BY214</f>
        <v>78.528265560566453</v>
      </c>
      <c r="CL214" s="124">
        <f t="shared" ref="CL214:CL245" si="87">F214+O214+X214+AG214+AP214+AY214+BH214+BQ214+BZ214</f>
        <v>29.389858431097444</v>
      </c>
      <c r="CM214" s="124">
        <f t="shared" ref="CM214:CM245" si="88">G214+P214+Y214+AH214+AQ214+AZ214+BI214+BR214+CA214</f>
        <v>15.642429252873562</v>
      </c>
      <c r="CN214" s="124">
        <f t="shared" ref="CN214:CN245" si="89">H214+Q214+Z214+AI214+AR214+BA214+BJ214+BS214+CB214</f>
        <v>28.111249738173928</v>
      </c>
      <c r="CO214" s="124">
        <f t="shared" ref="CO214:CO245" si="90">I214+R214+AA214+AJ214+AS214+BB214+BK214+BT214+CC214</f>
        <v>13.557822518005871</v>
      </c>
      <c r="CP214" s="124">
        <f t="shared" ref="CP214:CP245" si="91">J214+S214+AB214+AK214+AT214+BC214+BL214+BU214+CD214</f>
        <v>6.7721391198830512</v>
      </c>
      <c r="CQ214" s="124">
        <f t="shared" ref="CQ214:CQ245" si="92">K214+T214+AC214+AL214+AU214+BD214+BM214+BV214+CE214</f>
        <v>17.060639794446629</v>
      </c>
      <c r="CR214" s="144">
        <f t="shared" si="36"/>
        <v>192.59888478797075</v>
      </c>
    </row>
    <row r="215" spans="1:96" ht="14">
      <c r="A215">
        <f t="shared" si="75"/>
        <v>57</v>
      </c>
      <c r="B215" s="19">
        <f t="shared" si="75"/>
        <v>137</v>
      </c>
      <c r="C215" s="26">
        <f t="shared" si="31"/>
        <v>137.5372150346831</v>
      </c>
      <c r="D215" s="125">
        <f>(($C$39*$C$118*0.72)*D$40)*('Product half-life and C flows'!B116/100)</f>
        <v>7.0048775385412543E-2</v>
      </c>
      <c r="E215" s="26"/>
      <c r="F215" s="54">
        <f t="shared" si="64"/>
        <v>6.0606231572568161</v>
      </c>
      <c r="G215" s="54">
        <f t="shared" si="64"/>
        <v>0.7542108817919595</v>
      </c>
      <c r="H215" s="125">
        <f>(H$118)*('Product half-life and C flows'!L116/100)</f>
        <v>0.52900032186183155</v>
      </c>
      <c r="I215" s="125">
        <f>(($C$39*$C$118*0.28)*H$41)*('Product half-life and C flows'!N116/100)</f>
        <v>0.91486829621088983</v>
      </c>
      <c r="J215" s="125">
        <f>(($C$39*$C$118*0.28)*H$41)*(+'Product half-life and C flows'!P116/100)</f>
        <v>0.4569771709345104</v>
      </c>
      <c r="K215" s="54">
        <f t="shared" si="60"/>
        <v>1.3434381331919276</v>
      </c>
      <c r="L215" s="26"/>
      <c r="M215" s="142">
        <f>(C$158-C$138)*(0.4*D$14)*('Product half-life and C flows'!B76/100)</f>
        <v>0.47799515619304994</v>
      </c>
      <c r="N215" s="83"/>
      <c r="O215" s="143">
        <f t="shared" si="78"/>
        <v>7.7764117579468763</v>
      </c>
      <c r="P215" s="142">
        <f t="shared" si="79"/>
        <v>4.9627394570272001</v>
      </c>
      <c r="Q215" s="142">
        <f>(C$158-C$138)*(0.6*C$15)*('Product half-life and C flows'!L76/100)</f>
        <v>6.4456517271313922</v>
      </c>
      <c r="R215" s="142">
        <f>(C$158-C$138)*0.6*('Product half-life and C flows'!N76/100)</f>
        <v>6.0479813234364608</v>
      </c>
      <c r="S215" s="142">
        <f>(C$158-C$138)*0.6*('Product half-life and C flows'!P76/100)</f>
        <v>3.020969692026203</v>
      </c>
      <c r="T215" s="142">
        <f t="shared" si="42"/>
        <v>3.6740214844648933</v>
      </c>
      <c r="U215" s="3"/>
      <c r="V215" s="142">
        <f t="shared" si="43"/>
        <v>0.95599031238609988</v>
      </c>
      <c r="W215" s="142">
        <f t="shared" si="44"/>
        <v>0</v>
      </c>
      <c r="X215" s="142">
        <f t="shared" si="45"/>
        <v>7.7764117579468763</v>
      </c>
      <c r="Y215" s="142">
        <f t="shared" si="46"/>
        <v>4.9627394570272001</v>
      </c>
      <c r="Z215" s="142">
        <f t="shared" si="47"/>
        <v>8.7711784148871015</v>
      </c>
      <c r="AA215" s="142">
        <f t="shared" si="48"/>
        <v>4.4960798471408161</v>
      </c>
      <c r="AB215" s="142">
        <f t="shared" si="49"/>
        <v>2.2457941294409669</v>
      </c>
      <c r="AC215" s="142">
        <f t="shared" si="50"/>
        <v>4.9995716964856474</v>
      </c>
      <c r="AD215" s="40"/>
      <c r="AE215" s="142">
        <f t="shared" ref="AE215:AL215" si="93">V195</f>
        <v>1.9119806247721998</v>
      </c>
      <c r="AF215" s="142">
        <f t="shared" si="93"/>
        <v>80.251438983145349</v>
      </c>
      <c r="AG215" s="142">
        <f t="shared" si="93"/>
        <v>7.7764117579468763</v>
      </c>
      <c r="AH215" s="142">
        <f t="shared" si="93"/>
        <v>4.9627394570272001</v>
      </c>
      <c r="AI215" s="142">
        <f t="shared" si="93"/>
        <v>11.935731876723709</v>
      </c>
      <c r="AJ215" s="142">
        <f t="shared" si="93"/>
        <v>2.3842678369418517</v>
      </c>
      <c r="AK215" s="142">
        <f t="shared" si="93"/>
        <v>1.1909429754954304</v>
      </c>
      <c r="AL215" s="142">
        <f t="shared" si="93"/>
        <v>6.803367169732514</v>
      </c>
      <c r="AM215" s="40"/>
      <c r="AN215" s="40"/>
      <c r="AO215" s="40"/>
      <c r="AP215" s="40"/>
      <c r="AQ215" s="40"/>
      <c r="AR215" s="40"/>
      <c r="AS215" s="40"/>
      <c r="AT215" s="40"/>
      <c r="AU215" s="40"/>
      <c r="AV215" s="40"/>
      <c r="AW215" s="40"/>
      <c r="AX215" s="40"/>
      <c r="CH215">
        <f t="shared" si="72"/>
        <v>57</v>
      </c>
      <c r="CI215" s="113">
        <f t="shared" si="73"/>
        <v>137.5372150346831</v>
      </c>
      <c r="CJ215" s="124">
        <f t="shared" si="85"/>
        <v>3.4160148687367622</v>
      </c>
      <c r="CK215" s="124">
        <f t="shared" si="86"/>
        <v>80.251438983145349</v>
      </c>
      <c r="CL215" s="124">
        <f t="shared" si="87"/>
        <v>29.389858431097444</v>
      </c>
      <c r="CM215" s="124">
        <f t="shared" si="88"/>
        <v>15.642429252873562</v>
      </c>
      <c r="CN215" s="124">
        <f t="shared" si="89"/>
        <v>27.681562340604032</v>
      </c>
      <c r="CO215" s="124">
        <f t="shared" si="90"/>
        <v>13.843197303730019</v>
      </c>
      <c r="CP215" s="124">
        <f t="shared" si="91"/>
        <v>6.9146839678971102</v>
      </c>
      <c r="CQ215" s="124">
        <f t="shared" si="92"/>
        <v>16.820398483874982</v>
      </c>
      <c r="CR215" s="144">
        <f t="shared" si="36"/>
        <v>193.95958363195925</v>
      </c>
    </row>
    <row r="216" spans="1:96" ht="14">
      <c r="A216">
        <f t="shared" si="75"/>
        <v>58</v>
      </c>
      <c r="B216" s="19">
        <f t="shared" si="75"/>
        <v>138</v>
      </c>
      <c r="C216" s="26">
        <f t="shared" si="31"/>
        <v>138.10195852099525</v>
      </c>
      <c r="D216" s="125">
        <f>(($C$39*$C$118*0.72)*D$40)*('Product half-life and C flows'!B117/100)</f>
        <v>6.7662656941466448E-2</v>
      </c>
      <c r="E216" s="26"/>
      <c r="F216" s="54">
        <f t="shared" ref="F216:G231" si="94">F215</f>
        <v>6.0606231572568161</v>
      </c>
      <c r="G216" s="54">
        <f t="shared" si="94"/>
        <v>0.7542108817919595</v>
      </c>
      <c r="H216" s="125">
        <f>(H$118)*('Product half-life and C flows'!L117/100)</f>
        <v>0.52091442124440801</v>
      </c>
      <c r="I216" s="125">
        <f>(($C$39*$C$118*0.28)*H$41)*('Product half-life and C flows'!N117/100)</f>
        <v>0.91891528946991041</v>
      </c>
      <c r="J216" s="125">
        <f>(($C$39*$C$118*0.28)*H$41)*(+'Product half-life and C flows'!P117/100)</f>
        <v>0.45899864608886631</v>
      </c>
      <c r="K216" s="54">
        <f t="shared" si="60"/>
        <v>1.3434381331919276</v>
      </c>
      <c r="L216" s="26"/>
      <c r="M216" s="142">
        <f>(C$158-C$138)*(0.4*D$14)*('Product half-life and C flows'!B77/100)</f>
        <v>0.46171288641697289</v>
      </c>
      <c r="N216" s="83"/>
      <c r="O216" s="143">
        <f t="shared" si="78"/>
        <v>7.7764117579468763</v>
      </c>
      <c r="P216" s="142">
        <f t="shared" si="79"/>
        <v>4.9627394570272001</v>
      </c>
      <c r="Q216" s="142">
        <f>(C$158-C$138)*(0.6*C$15)*('Product half-life and C flows'!L77/100)</f>
        <v>6.3471283479835785</v>
      </c>
      <c r="R216" s="142">
        <f>(C$158-C$138)*0.6*('Product half-life and C flows'!N77/100)</f>
        <v>6.1137292584544349</v>
      </c>
      <c r="S216" s="142">
        <f>(C$158-C$138)*0.6*('Product half-life and C flows'!P77/100)</f>
        <v>3.0538108184088073</v>
      </c>
      <c r="T216" s="142">
        <f t="shared" si="42"/>
        <v>3.6178631583506395</v>
      </c>
      <c r="U216" s="3"/>
      <c r="V216" s="142">
        <f t="shared" si="43"/>
        <v>0.92342577283394556</v>
      </c>
      <c r="W216" s="142">
        <f t="shared" si="44"/>
        <v>0</v>
      </c>
      <c r="X216" s="142">
        <f t="shared" si="45"/>
        <v>7.7764117579468763</v>
      </c>
      <c r="Y216" s="142">
        <f t="shared" si="46"/>
        <v>4.9627394570272001</v>
      </c>
      <c r="Z216" s="142">
        <f t="shared" si="47"/>
        <v>8.6371087857593665</v>
      </c>
      <c r="AA216" s="142">
        <f t="shared" si="48"/>
        <v>4.5855489796453908</v>
      </c>
      <c r="AB216" s="142">
        <f t="shared" si="49"/>
        <v>2.2904840058168778</v>
      </c>
      <c r="AC216" s="142">
        <f t="shared" si="50"/>
        <v>4.9231520078828384</v>
      </c>
      <c r="AD216" s="40"/>
      <c r="AE216" s="142">
        <f t="shared" ref="AE216:AL216" si="95">V196</f>
        <v>1.8468515456678911</v>
      </c>
      <c r="AF216" s="142">
        <f t="shared" si="95"/>
        <v>81.974612405724244</v>
      </c>
      <c r="AG216" s="142">
        <f t="shared" si="95"/>
        <v>7.7764117579468763</v>
      </c>
      <c r="AH216" s="142">
        <f t="shared" si="95"/>
        <v>4.9627394570272001</v>
      </c>
      <c r="AI216" s="142">
        <f t="shared" si="95"/>
        <v>11.753291266079604</v>
      </c>
      <c r="AJ216" s="142">
        <f t="shared" si="95"/>
        <v>2.5060165377783514</v>
      </c>
      <c r="AK216" s="142">
        <f t="shared" si="95"/>
        <v>1.2517565123767991</v>
      </c>
      <c r="AL216" s="142">
        <f t="shared" si="95"/>
        <v>6.6993760216653735</v>
      </c>
      <c r="AM216" s="40"/>
      <c r="AN216" s="40"/>
      <c r="AO216" s="40"/>
      <c r="AP216" s="40"/>
      <c r="AQ216" s="40"/>
      <c r="AR216" s="40"/>
      <c r="AS216" s="40"/>
      <c r="AT216" s="40"/>
      <c r="AU216" s="40"/>
      <c r="AV216" s="40"/>
      <c r="AW216" s="40"/>
      <c r="AX216" s="40"/>
      <c r="CH216">
        <f t="shared" si="72"/>
        <v>58</v>
      </c>
      <c r="CI216" s="113">
        <f t="shared" si="73"/>
        <v>138.10195852099525</v>
      </c>
      <c r="CJ216" s="124">
        <f t="shared" si="85"/>
        <v>3.2996528618602756</v>
      </c>
      <c r="CK216" s="124">
        <f t="shared" si="86"/>
        <v>81.974612405724244</v>
      </c>
      <c r="CL216" s="124">
        <f t="shared" si="87"/>
        <v>29.389858431097444</v>
      </c>
      <c r="CM216" s="124">
        <f t="shared" si="88"/>
        <v>15.642429252873562</v>
      </c>
      <c r="CN216" s="124">
        <f t="shared" si="89"/>
        <v>27.258442821066957</v>
      </c>
      <c r="CO216" s="124">
        <f t="shared" si="90"/>
        <v>14.124210065348088</v>
      </c>
      <c r="CP216" s="124">
        <f t="shared" si="91"/>
        <v>7.0550499826913509</v>
      </c>
      <c r="CQ216" s="124">
        <f t="shared" si="92"/>
        <v>16.583829321090779</v>
      </c>
      <c r="CR216" s="144">
        <f t="shared" si="36"/>
        <v>195.32808514175269</v>
      </c>
    </row>
    <row r="217" spans="1:96" ht="14">
      <c r="A217">
        <f t="shared" si="75"/>
        <v>59</v>
      </c>
      <c r="B217" s="19">
        <f t="shared" si="75"/>
        <v>139</v>
      </c>
      <c r="C217" s="26">
        <f t="shared" si="31"/>
        <v>138.65701759363526</v>
      </c>
      <c r="D217" s="125">
        <f>(($C$39*$C$118*0.72)*D$40)*('Product half-life and C flows'!B118/100)</f>
        <v>6.5357818451341324E-2</v>
      </c>
      <c r="E217" s="26"/>
      <c r="F217" s="54">
        <f t="shared" si="94"/>
        <v>6.0606231572568161</v>
      </c>
      <c r="G217" s="54">
        <f t="shared" si="94"/>
        <v>0.7542108817919595</v>
      </c>
      <c r="H217" s="125">
        <f>(H$118)*('Product half-life and C flows'!L118/100)</f>
        <v>0.51295211561566934</v>
      </c>
      <c r="I217" s="125">
        <f>(($C$39*$C$118*0.28)*H$41)*('Product half-life and C flows'!N118/100)</f>
        <v>0.92290042343709422</v>
      </c>
      <c r="J217" s="125">
        <f>(($C$39*$C$118*0.28)*H$41)*(+'Product half-life and C flows'!P118/100)</f>
        <v>0.46098922249605095</v>
      </c>
      <c r="K217" s="54">
        <f t="shared" si="60"/>
        <v>1.3434381331919276</v>
      </c>
      <c r="L217" s="26"/>
      <c r="M217" s="142">
        <f>(C$158-C$138)*(0.4*D$14)*('Product half-life and C flows'!B78/100)</f>
        <v>0.44598525052290477</v>
      </c>
      <c r="N217" s="83"/>
      <c r="O217" s="143">
        <f t="shared" si="78"/>
        <v>7.7764117579468763</v>
      </c>
      <c r="P217" s="142">
        <f t="shared" si="79"/>
        <v>4.9627394570272001</v>
      </c>
      <c r="Q217" s="142">
        <f>(C$158-C$138)*(0.6*C$15)*('Product half-life and C flows'!L78/100)</f>
        <v>6.2501109230277745</v>
      </c>
      <c r="R217" s="142">
        <f>(C$158-C$138)*0.6*('Product half-life and C flows'!N78/100)</f>
        <v>6.1784722200416082</v>
      </c>
      <c r="S217" s="142">
        <f>(C$158-C$138)*0.6*('Product half-life and C flows'!P78/100)</f>
        <v>3.0861499600607418</v>
      </c>
      <c r="T217" s="142">
        <f t="shared" si="42"/>
        <v>3.5625632261258313</v>
      </c>
      <c r="U217" s="3"/>
      <c r="V217" s="142">
        <f t="shared" si="43"/>
        <v>0.89197050104580988</v>
      </c>
      <c r="W217" s="142">
        <f t="shared" si="44"/>
        <v>0</v>
      </c>
      <c r="X217" s="142">
        <f t="shared" si="45"/>
        <v>7.7764117579468763</v>
      </c>
      <c r="Y217" s="142">
        <f t="shared" si="46"/>
        <v>4.9627394570272001</v>
      </c>
      <c r="Z217" s="142">
        <f t="shared" si="47"/>
        <v>8.5050884440368399</v>
      </c>
      <c r="AA217" s="142">
        <f t="shared" si="48"/>
        <v>4.6736505543548903</v>
      </c>
      <c r="AB217" s="142">
        <f t="shared" si="49"/>
        <v>2.3344907863910538</v>
      </c>
      <c r="AC217" s="142">
        <f t="shared" si="50"/>
        <v>4.847900413100998</v>
      </c>
      <c r="AD217" s="40"/>
      <c r="AE217" s="142">
        <f t="shared" ref="AE217:AL217" si="96">V197</f>
        <v>1.7839410020916198</v>
      </c>
      <c r="AF217" s="142">
        <f t="shared" si="96"/>
        <v>83.69778582830314</v>
      </c>
      <c r="AG217" s="142">
        <f t="shared" si="96"/>
        <v>7.7764117579468763</v>
      </c>
      <c r="AH217" s="142">
        <f t="shared" si="96"/>
        <v>4.9627394570272001</v>
      </c>
      <c r="AI217" s="142">
        <f t="shared" si="96"/>
        <v>11.573639305243985</v>
      </c>
      <c r="AJ217" s="142">
        <f t="shared" si="96"/>
        <v>2.6259042796426555</v>
      </c>
      <c r="AK217" s="142">
        <f t="shared" si="96"/>
        <v>1.3116404993220057</v>
      </c>
      <c r="AL217" s="142">
        <f t="shared" si="96"/>
        <v>6.596974403989071</v>
      </c>
      <c r="AM217" s="40"/>
      <c r="AN217" s="40"/>
      <c r="AO217" s="40"/>
      <c r="AP217" s="40"/>
      <c r="AQ217" s="40"/>
      <c r="AR217" s="40"/>
      <c r="AS217" s="40"/>
      <c r="AT217" s="40"/>
      <c r="AU217" s="40"/>
      <c r="AV217" s="40"/>
      <c r="AW217" s="40"/>
      <c r="AX217" s="40"/>
      <c r="CH217">
        <f t="shared" si="72"/>
        <v>59</v>
      </c>
      <c r="CI217" s="113">
        <f t="shared" si="73"/>
        <v>138.65701759363526</v>
      </c>
      <c r="CJ217" s="124">
        <f t="shared" si="85"/>
        <v>3.1872545721116756</v>
      </c>
      <c r="CK217" s="124">
        <f t="shared" si="86"/>
        <v>83.69778582830314</v>
      </c>
      <c r="CL217" s="124">
        <f t="shared" si="87"/>
        <v>29.389858431097444</v>
      </c>
      <c r="CM217" s="124">
        <f t="shared" si="88"/>
        <v>15.642429252873562</v>
      </c>
      <c r="CN217" s="124">
        <f t="shared" si="89"/>
        <v>26.841790787924268</v>
      </c>
      <c r="CO217" s="124">
        <f t="shared" si="90"/>
        <v>14.40092747747625</v>
      </c>
      <c r="CP217" s="124">
        <f t="shared" si="91"/>
        <v>7.1932704682698523</v>
      </c>
      <c r="CQ217" s="124">
        <f t="shared" si="92"/>
        <v>16.35087617640783</v>
      </c>
      <c r="CR217" s="144">
        <f t="shared" si="36"/>
        <v>196.70419299446399</v>
      </c>
    </row>
    <row r="218" spans="1:96" s="137" customFormat="1" ht="14">
      <c r="A218" s="137">
        <f t="shared" si="75"/>
        <v>60</v>
      </c>
      <c r="B218" s="145">
        <f t="shared" si="75"/>
        <v>140</v>
      </c>
      <c r="C218" s="139">
        <f t="shared" si="31"/>
        <v>139.20252719561401</v>
      </c>
      <c r="D218" s="140">
        <f>(($C$39*$C$118*0.72)*D$40)*('Product half-life and C flows'!B119/100)</f>
        <v>6.3131491221425168E-2</v>
      </c>
      <c r="E218" s="139"/>
      <c r="F218" s="141">
        <f t="shared" si="94"/>
        <v>6.0606231572568161</v>
      </c>
      <c r="G218" s="141">
        <f t="shared" si="94"/>
        <v>0.7542108817919595</v>
      </c>
      <c r="H218" s="140">
        <f>(H$118)*('Product half-life and C flows'!L119/100)</f>
        <v>0.5051115157956777</v>
      </c>
      <c r="I218" s="140">
        <f>(($C$39*$C$118*0.28)*H$41)*('Product half-life and C flows'!N119/100)</f>
        <v>0.9268246436469999</v>
      </c>
      <c r="J218" s="140">
        <f>(($C$39*$C$118*0.28)*H$41)*(+'Product half-life and C flows'!P119/100)</f>
        <v>0.46294937245104889</v>
      </c>
      <c r="K218" s="141">
        <f t="shared" si="60"/>
        <v>1.3434381331919276</v>
      </c>
      <c r="L218" s="139"/>
      <c r="M218" s="142">
        <f>(C$158-C$138)*(0.4*D$14)*('Product half-life and C flows'!B79/100)</f>
        <v>0.43079335564472232</v>
      </c>
      <c r="N218" s="142"/>
      <c r="O218" s="143">
        <f t="shared" si="78"/>
        <v>7.7764117579468763</v>
      </c>
      <c r="P218" s="142">
        <f t="shared" si="79"/>
        <v>4.9627394570272001</v>
      </c>
      <c r="Q218" s="142">
        <f>(C$158-C$138)*(0.6*C$15)*('Product half-life and C flows'!L79/100)</f>
        <v>6.1545764333820854</v>
      </c>
      <c r="R218" s="142">
        <f>(C$158-C$138)*0.6*('Product half-life and C flows'!N79/100)</f>
        <v>6.2422255694651652</v>
      </c>
      <c r="S218" s="142">
        <f>(C$158-C$138)*0.6*('Product half-life and C flows'!P79/100)</f>
        <v>3.1179947899426383</v>
      </c>
      <c r="T218" s="142">
        <f t="shared" si="42"/>
        <v>3.5081085670277883</v>
      </c>
      <c r="U218" s="144"/>
      <c r="V218" s="142">
        <f t="shared" si="43"/>
        <v>0.86158671128944464</v>
      </c>
      <c r="W218" s="142">
        <f t="shared" si="44"/>
        <v>0</v>
      </c>
      <c r="X218" s="142">
        <f t="shared" si="45"/>
        <v>7.7764117579468763</v>
      </c>
      <c r="Y218" s="142">
        <f t="shared" si="46"/>
        <v>4.9627394570272001</v>
      </c>
      <c r="Z218" s="142">
        <f t="shared" si="47"/>
        <v>8.3750860658552231</v>
      </c>
      <c r="AA218" s="142">
        <f t="shared" si="48"/>
        <v>4.7604054747280893</v>
      </c>
      <c r="AB218" s="142">
        <f t="shared" si="49"/>
        <v>2.3778249124515924</v>
      </c>
      <c r="AC218" s="142">
        <f t="shared" si="50"/>
        <v>4.7737990575374765</v>
      </c>
      <c r="AE218" s="142">
        <f t="shared" ref="AE218:AL218" si="97">V198</f>
        <v>1.7231734225788893</v>
      </c>
      <c r="AF218" s="142">
        <f t="shared" si="97"/>
        <v>0</v>
      </c>
      <c r="AG218" s="142">
        <f t="shared" si="97"/>
        <v>7.7764117579468763</v>
      </c>
      <c r="AH218" s="142">
        <f t="shared" si="97"/>
        <v>4.9627394570272001</v>
      </c>
      <c r="AI218" s="142">
        <f t="shared" si="97"/>
        <v>11.396733369015552</v>
      </c>
      <c r="AJ218" s="142">
        <f t="shared" si="97"/>
        <v>2.7439595077524288</v>
      </c>
      <c r="AK218" s="142">
        <f t="shared" si="97"/>
        <v>1.370609144731483</v>
      </c>
      <c r="AL218" s="142">
        <f t="shared" si="97"/>
        <v>6.4961380203388641</v>
      </c>
      <c r="AN218" s="144">
        <f>AE198</f>
        <v>3.4463468451577786</v>
      </c>
      <c r="AO218" s="144">
        <f t="shared" ref="AO218:AU218" si="98">AF198</f>
        <v>50.957490799304182</v>
      </c>
      <c r="AP218" s="144">
        <f t="shared" si="98"/>
        <v>7.7764117579468763</v>
      </c>
      <c r="AQ218" s="144">
        <f t="shared" si="98"/>
        <v>4.9627394570272001</v>
      </c>
      <c r="AR218" s="144">
        <f t="shared" si="98"/>
        <v>15.508560803210001</v>
      </c>
      <c r="AS218" s="144">
        <f t="shared" si="98"/>
        <v>0</v>
      </c>
      <c r="AT218" s="144">
        <f t="shared" si="98"/>
        <v>0</v>
      </c>
      <c r="AU218" s="144">
        <f t="shared" si="98"/>
        <v>8.8398796578296999</v>
      </c>
      <c r="CH218" s="137">
        <f t="shared" si="72"/>
        <v>60</v>
      </c>
      <c r="CI218" s="144">
        <f t="shared" si="73"/>
        <v>139.20252719561401</v>
      </c>
      <c r="CJ218" s="124">
        <f t="shared" si="85"/>
        <v>6.5250318258922597</v>
      </c>
      <c r="CK218" s="124">
        <f t="shared" si="86"/>
        <v>50.957490799304182</v>
      </c>
      <c r="CL218" s="124">
        <f t="shared" si="87"/>
        <v>37.166270189044319</v>
      </c>
      <c r="CM218" s="124">
        <f t="shared" si="88"/>
        <v>20.605168709900763</v>
      </c>
      <c r="CN218" s="124">
        <f t="shared" si="89"/>
        <v>41.940068187258539</v>
      </c>
      <c r="CO218" s="124">
        <f t="shared" si="90"/>
        <v>14.673415195592682</v>
      </c>
      <c r="CP218" s="124">
        <f t="shared" si="91"/>
        <v>7.3293782195767623</v>
      </c>
      <c r="CQ218" s="124">
        <f t="shared" si="92"/>
        <v>24.961363435925755</v>
      </c>
      <c r="CR218" s="144">
        <f t="shared" si="36"/>
        <v>204.15818656249525</v>
      </c>
    </row>
    <row r="219" spans="1:96" ht="14">
      <c r="A219">
        <f t="shared" si="75"/>
        <v>61</v>
      </c>
      <c r="B219" s="19">
        <f t="shared" si="75"/>
        <v>141</v>
      </c>
      <c r="C219" s="26">
        <f t="shared" si="31"/>
        <v>139.73862171370757</v>
      </c>
      <c r="D219" s="125">
        <f>(($C$39*$C$118*0.72)*D$40)*('Product half-life and C flows'!B120/100)</f>
        <v>6.0981000869974565E-2</v>
      </c>
      <c r="E219" s="26"/>
      <c r="F219" s="54">
        <f t="shared" si="94"/>
        <v>6.0606231572568161</v>
      </c>
      <c r="G219" s="54">
        <f t="shared" si="94"/>
        <v>0.7542108817919595</v>
      </c>
      <c r="H219" s="125">
        <f>(H$118)*('Product half-life and C flows'!L120/100)</f>
        <v>0.49739076148107692</v>
      </c>
      <c r="I219" s="125">
        <f>(($C$39*$C$118*0.28)*H$41)*('Product half-life and C flows'!N120/100)</f>
        <v>0.93068888118145765</v>
      </c>
      <c r="J219" s="125">
        <f>(($C$39*$C$118*0.28)*H$41)*(+'Product half-life and C flows'!P120/100)</f>
        <v>0.46487956102969907</v>
      </c>
      <c r="K219" s="54">
        <f t="shared" si="60"/>
        <v>1.3434381331919276</v>
      </c>
      <c r="L219" s="26"/>
      <c r="M219" s="142">
        <f>(C$158-C$138)*(0.4*D$14)*('Product half-life and C flows'!B80/100)</f>
        <v>0.41611895247667857</v>
      </c>
      <c r="N219" s="83"/>
      <c r="O219" s="143">
        <f t="shared" si="78"/>
        <v>7.7764117579468763</v>
      </c>
      <c r="P219" s="142">
        <f t="shared" si="79"/>
        <v>4.9627394570272001</v>
      </c>
      <c r="Q219" s="142">
        <f>(C$158-C$138)*(0.6*C$15)*('Product half-life and C flows'!L80/100)</f>
        <v>6.0605022120139136</v>
      </c>
      <c r="R219" s="142">
        <f>(C$158-C$138)*0.6*('Product half-life and C flows'!N80/100)</f>
        <v>6.3050044331915256</v>
      </c>
      <c r="S219" s="142">
        <f>(C$158-C$138)*0.6*('Product half-life and C flows'!P80/100)</f>
        <v>3.1493528637320294</v>
      </c>
      <c r="T219" s="142">
        <f t="shared" si="42"/>
        <v>3.4544862608479305</v>
      </c>
      <c r="U219" s="3"/>
      <c r="V219" s="142">
        <f t="shared" si="43"/>
        <v>0.83223790495335714</v>
      </c>
      <c r="W219" s="142">
        <f t="shared" si="44"/>
        <v>0</v>
      </c>
      <c r="X219" s="142">
        <f t="shared" si="45"/>
        <v>7.7764117579468763</v>
      </c>
      <c r="Y219" s="142">
        <f t="shared" si="46"/>
        <v>4.9627394570272001</v>
      </c>
      <c r="Z219" s="142">
        <f t="shared" si="47"/>
        <v>8.2470708061432259</v>
      </c>
      <c r="AA219" s="142">
        <f t="shared" si="48"/>
        <v>4.8458343247092301</v>
      </c>
      <c r="AB219" s="142">
        <f t="shared" si="49"/>
        <v>2.4204966656889253</v>
      </c>
      <c r="AC219" s="142">
        <f t="shared" si="50"/>
        <v>4.7008303595016381</v>
      </c>
      <c r="AD219" s="40"/>
      <c r="AE219" s="142">
        <f t="shared" ref="AE219:AL219" si="99">V199</f>
        <v>1.6644758099067141</v>
      </c>
      <c r="AF219" s="142">
        <f t="shared" si="99"/>
        <v>0</v>
      </c>
      <c r="AG219" s="142">
        <f t="shared" si="99"/>
        <v>7.7764117579468763</v>
      </c>
      <c r="AH219" s="142">
        <f t="shared" si="99"/>
        <v>4.9627394570272001</v>
      </c>
      <c r="AI219" s="142">
        <f t="shared" si="99"/>
        <v>11.222531483729737</v>
      </c>
      <c r="AJ219" s="142">
        <f t="shared" si="99"/>
        <v>2.8602102325331629</v>
      </c>
      <c r="AK219" s="142">
        <f t="shared" si="99"/>
        <v>1.4286764398267544</v>
      </c>
      <c r="AL219" s="142">
        <f t="shared" si="99"/>
        <v>6.3968429457259495</v>
      </c>
      <c r="AM219" s="40"/>
      <c r="AN219" s="144">
        <f t="shared" ref="AN219:AU219" si="100">AE199</f>
        <v>3.3289516198134281</v>
      </c>
      <c r="AO219" s="144">
        <f t="shared" si="100"/>
        <v>52.68066422188307</v>
      </c>
      <c r="AP219" s="144">
        <f t="shared" si="100"/>
        <v>7.7764117579468763</v>
      </c>
      <c r="AQ219" s="144">
        <f t="shared" si="100"/>
        <v>4.9627394570272001</v>
      </c>
      <c r="AR219" s="144">
        <f t="shared" si="100"/>
        <v>15.271508619701541</v>
      </c>
      <c r="AS219" s="144">
        <f t="shared" si="100"/>
        <v>0.15819282379464625</v>
      </c>
      <c r="AT219" s="144">
        <f t="shared" si="100"/>
        <v>7.9017394502820304E-2</v>
      </c>
      <c r="AU219" s="144">
        <f t="shared" si="100"/>
        <v>8.7047599132298767</v>
      </c>
      <c r="AV219" s="40"/>
      <c r="AW219" s="40"/>
      <c r="AX219" s="40"/>
      <c r="CH219">
        <f t="shared" si="72"/>
        <v>61</v>
      </c>
      <c r="CI219" s="113">
        <f t="shared" si="73"/>
        <v>139.73862171370757</v>
      </c>
      <c r="CJ219" s="124">
        <f t="shared" si="85"/>
        <v>6.3027652880201526</v>
      </c>
      <c r="CK219" s="124">
        <f t="shared" si="86"/>
        <v>52.68066422188307</v>
      </c>
      <c r="CL219" s="124">
        <f t="shared" si="87"/>
        <v>37.166270189044319</v>
      </c>
      <c r="CM219" s="124">
        <f t="shared" si="88"/>
        <v>20.605168709900763</v>
      </c>
      <c r="CN219" s="124">
        <f t="shared" si="89"/>
        <v>41.299003883069496</v>
      </c>
      <c r="CO219" s="124">
        <f t="shared" si="90"/>
        <v>15.099930695410023</v>
      </c>
      <c r="CP219" s="124">
        <f t="shared" si="91"/>
        <v>7.5424229247802277</v>
      </c>
      <c r="CQ219" s="124">
        <f t="shared" si="92"/>
        <v>24.600357612497326</v>
      </c>
      <c r="CR219" s="144">
        <f t="shared" si="36"/>
        <v>205.29658352460538</v>
      </c>
    </row>
    <row r="220" spans="1:96" ht="14">
      <c r="A220">
        <f t="shared" si="75"/>
        <v>62</v>
      </c>
      <c r="B220" s="19">
        <f t="shared" si="75"/>
        <v>142</v>
      </c>
      <c r="C220" s="26">
        <f t="shared" si="31"/>
        <v>140.26543491304204</v>
      </c>
      <c r="D220" s="125">
        <f>(($C$39*$C$118*0.72)*D$40)*('Product half-life and C flows'!B121/100)</f>
        <v>5.8903764114506048E-2</v>
      </c>
      <c r="E220" s="26"/>
      <c r="F220" s="54">
        <f t="shared" si="94"/>
        <v>6.0606231572568161</v>
      </c>
      <c r="G220" s="54">
        <f t="shared" si="94"/>
        <v>0.7542108817919595</v>
      </c>
      <c r="H220" s="125">
        <f>(H$118)*('Product half-life and C flows'!L121/100)</f>
        <v>0.48978802080370726</v>
      </c>
      <c r="I220" s="125">
        <f>(($C$39*$C$118*0.28)*H$41)*('Product half-life and C flows'!N121/100)</f>
        <v>0.93449405289048115</v>
      </c>
      <c r="J220" s="125">
        <f>(($C$39*$C$118*0.28)*H$41)*(+'Product half-life and C flows'!P121/100)</f>
        <v>0.4667802461990414</v>
      </c>
      <c r="K220" s="54">
        <f t="shared" si="60"/>
        <v>1.3434381331919276</v>
      </c>
      <c r="L220" s="26"/>
      <c r="M220" s="142">
        <f>(C$158-C$138)*(0.4*D$14)*('Product half-life and C flows'!B81/100)</f>
        <v>0.4019444133513751</v>
      </c>
      <c r="N220" s="83"/>
      <c r="O220" s="143">
        <f t="shared" si="78"/>
        <v>7.7764117579468763</v>
      </c>
      <c r="P220" s="142">
        <f t="shared" si="79"/>
        <v>4.9627394570272001</v>
      </c>
      <c r="Q220" s="142">
        <f>(C$158-C$138)*(0.6*C$15)*('Product half-life and C flows'!L81/100)</f>
        <v>5.9678659383618546</v>
      </c>
      <c r="R220" s="142">
        <f>(C$158-C$138)*0.6*('Product half-life and C flows'!N81/100)</f>
        <v>6.3668237064753317</v>
      </c>
      <c r="S220" s="142">
        <f>(C$158-C$138)*0.6*('Product half-life and C flows'!P81/100)</f>
        <v>3.1802316216160484</v>
      </c>
      <c r="T220" s="142">
        <f t="shared" si="42"/>
        <v>3.401683584866257</v>
      </c>
      <c r="U220" s="3"/>
      <c r="V220" s="142">
        <f t="shared" si="43"/>
        <v>0.80388882670275008</v>
      </c>
      <c r="W220" s="142">
        <f t="shared" si="44"/>
        <v>0</v>
      </c>
      <c r="X220" s="142">
        <f t="shared" si="45"/>
        <v>7.7764117579468763</v>
      </c>
      <c r="Y220" s="142">
        <f t="shared" si="46"/>
        <v>4.9627394570272001</v>
      </c>
      <c r="Z220" s="142">
        <f t="shared" si="47"/>
        <v>8.1210122913040852</v>
      </c>
      <c r="AA220" s="142">
        <f t="shared" si="48"/>
        <v>4.9299573736118827</v>
      </c>
      <c r="AB220" s="142">
        <f t="shared" si="49"/>
        <v>2.4625161706353049</v>
      </c>
      <c r="AC220" s="142">
        <f t="shared" si="50"/>
        <v>4.6289770060433284</v>
      </c>
      <c r="AD220" s="40"/>
      <c r="AE220" s="142">
        <f t="shared" ref="AE220:AL220" si="101">V200</f>
        <v>1.6077776534055002</v>
      </c>
      <c r="AF220" s="142">
        <f t="shared" si="101"/>
        <v>0</v>
      </c>
      <c r="AG220" s="142">
        <f t="shared" si="101"/>
        <v>7.7764117579468763</v>
      </c>
      <c r="AH220" s="142">
        <f t="shared" si="101"/>
        <v>4.9627394570272001</v>
      </c>
      <c r="AI220" s="142">
        <f t="shared" si="101"/>
        <v>11.050992317299807</v>
      </c>
      <c r="AJ220" s="142">
        <f t="shared" si="101"/>
        <v>2.9746840362640703</v>
      </c>
      <c r="AK220" s="142">
        <f t="shared" si="101"/>
        <v>1.485856161970065</v>
      </c>
      <c r="AL220" s="142">
        <f t="shared" si="101"/>
        <v>6.2990656208608895</v>
      </c>
      <c r="AM220" s="40"/>
      <c r="AN220" s="144">
        <f t="shared" ref="AN220:AU220" si="102">AE200</f>
        <v>3.2155553068110003</v>
      </c>
      <c r="AO220" s="144">
        <f t="shared" si="102"/>
        <v>54.403837644461959</v>
      </c>
      <c r="AP220" s="144">
        <f t="shared" si="102"/>
        <v>7.7764117579468763</v>
      </c>
      <c r="AQ220" s="144">
        <f t="shared" si="102"/>
        <v>4.9627394570272001</v>
      </c>
      <c r="AR220" s="144">
        <f t="shared" si="102"/>
        <v>15.038079837385441</v>
      </c>
      <c r="AS220" s="144">
        <f t="shared" si="102"/>
        <v>0.3139676311935905</v>
      </c>
      <c r="AT220" s="144">
        <f t="shared" si="102"/>
        <v>0.15682698860818706</v>
      </c>
      <c r="AU220" s="144">
        <f t="shared" si="102"/>
        <v>8.5717055073096997</v>
      </c>
      <c r="AV220" s="40"/>
      <c r="AW220" s="40"/>
      <c r="AX220" s="40"/>
      <c r="CH220">
        <f t="shared" si="72"/>
        <v>62</v>
      </c>
      <c r="CI220" s="113">
        <f t="shared" si="73"/>
        <v>140.26543491304204</v>
      </c>
      <c r="CJ220" s="124">
        <f t="shared" si="85"/>
        <v>6.0880699643851317</v>
      </c>
      <c r="CK220" s="124">
        <f t="shared" si="86"/>
        <v>54.403837644461959</v>
      </c>
      <c r="CL220" s="124">
        <f t="shared" si="87"/>
        <v>37.166270189044319</v>
      </c>
      <c r="CM220" s="124">
        <f t="shared" si="88"/>
        <v>20.605168709900763</v>
      </c>
      <c r="CN220" s="124">
        <f t="shared" si="89"/>
        <v>40.667738405154893</v>
      </c>
      <c r="CO220" s="124">
        <f t="shared" si="90"/>
        <v>15.519926800435357</v>
      </c>
      <c r="CP220" s="124">
        <f t="shared" si="91"/>
        <v>7.7522111890286469</v>
      </c>
      <c r="CQ220" s="124">
        <f t="shared" si="92"/>
        <v>24.244869852272103</v>
      </c>
      <c r="CR220" s="144">
        <f t="shared" si="36"/>
        <v>206.44809275468322</v>
      </c>
    </row>
    <row r="221" spans="1:96" ht="14">
      <c r="A221">
        <f t="shared" si="75"/>
        <v>63</v>
      </c>
      <c r="B221" s="19">
        <f t="shared" si="75"/>
        <v>143</v>
      </c>
      <c r="C221" s="26">
        <f t="shared" si="31"/>
        <v>140.78309987558936</v>
      </c>
      <c r="D221" s="125">
        <f>(($C$39*$C$118*0.72)*D$40)*('Product half-life and C flows'!B122/100)</f>
        <v>5.6897285668620998E-2</v>
      </c>
      <c r="E221" s="26"/>
      <c r="F221" s="54">
        <f t="shared" si="94"/>
        <v>6.0606231572568161</v>
      </c>
      <c r="G221" s="54">
        <f t="shared" si="94"/>
        <v>0.7542108817919595</v>
      </c>
      <c r="H221" s="125">
        <f>(H$118)*('Product half-life and C flows'!L122/100)</f>
        <v>0.48230148989596666</v>
      </c>
      <c r="I221" s="125">
        <f>(($C$39*$C$118*0.28)*H$41)*('Product half-life and C flows'!N122/100)</f>
        <v>0.93824106160980525</v>
      </c>
      <c r="J221" s="125">
        <f>(($C$39*$C$118*0.28)*H$41)*(+'Product half-life and C flows'!P122/100)</f>
        <v>0.46865187892597659</v>
      </c>
      <c r="K221" s="54">
        <f t="shared" si="60"/>
        <v>1.3434381331919276</v>
      </c>
      <c r="L221" s="26"/>
      <c r="M221" s="142">
        <f>(C$158-C$138)*(0.4*D$14)*('Product half-life and C flows'!B82/100)</f>
        <v>0.38825271106447801</v>
      </c>
      <c r="N221" s="83"/>
      <c r="O221" s="143">
        <f t="shared" si="78"/>
        <v>7.7764117579468763</v>
      </c>
      <c r="P221" s="142">
        <f t="shared" si="79"/>
        <v>4.9627394570272001</v>
      </c>
      <c r="Q221" s="142">
        <f>(C$158-C$138)*(0.6*C$15)*('Product half-life and C flows'!L82/100)</f>
        <v>5.8766456330398018</v>
      </c>
      <c r="R221" s="142">
        <f>(C$158-C$138)*0.6*('Product half-life and C flows'!N82/100)</f>
        <v>6.4276980568935826</v>
      </c>
      <c r="S221" s="142">
        <f>(C$158-C$138)*0.6*('Product half-life and C flows'!P82/100)</f>
        <v>3.210638390056733</v>
      </c>
      <c r="T221" s="142">
        <f t="shared" si="42"/>
        <v>3.3496880108326867</v>
      </c>
      <c r="U221" s="3"/>
      <c r="V221" s="142">
        <f t="shared" si="43"/>
        <v>0.7765054221289559</v>
      </c>
      <c r="W221" s="142">
        <f t="shared" si="44"/>
        <v>0</v>
      </c>
      <c r="X221" s="142">
        <f t="shared" si="45"/>
        <v>7.7764117579468763</v>
      </c>
      <c r="Y221" s="142">
        <f t="shared" si="46"/>
        <v>4.9627394570272001</v>
      </c>
      <c r="Z221" s="142">
        <f t="shared" si="47"/>
        <v>7.9968806120089821</v>
      </c>
      <c r="AA221" s="142">
        <f t="shared" si="48"/>
        <v>5.0127945809281487</v>
      </c>
      <c r="AB221" s="142">
        <f t="shared" si="49"/>
        <v>2.5038933970670061</v>
      </c>
      <c r="AC221" s="142">
        <f t="shared" si="50"/>
        <v>4.5582219488451194</v>
      </c>
      <c r="AD221" s="40"/>
      <c r="AE221" s="142">
        <f t="shared" ref="AE221:AL221" si="103">V201</f>
        <v>1.5530108442579118</v>
      </c>
      <c r="AF221" s="142">
        <f t="shared" si="103"/>
        <v>0</v>
      </c>
      <c r="AG221" s="142">
        <f t="shared" si="103"/>
        <v>7.7764117579468763</v>
      </c>
      <c r="AH221" s="142">
        <f t="shared" si="103"/>
        <v>4.9627394570272001</v>
      </c>
      <c r="AI221" s="142">
        <f t="shared" si="103"/>
        <v>10.882075169410175</v>
      </c>
      <c r="AJ221" s="142">
        <f t="shared" si="103"/>
        <v>3.0874080796224175</v>
      </c>
      <c r="AK221" s="142">
        <f t="shared" si="103"/>
        <v>1.5421618779332751</v>
      </c>
      <c r="AL221" s="142">
        <f t="shared" si="103"/>
        <v>6.2027828465637995</v>
      </c>
      <c r="AM221" s="40"/>
      <c r="AN221" s="144">
        <f t="shared" ref="AN221:AU221" si="104">AE201</f>
        <v>3.1060216885158232</v>
      </c>
      <c r="AO221" s="144">
        <f t="shared" si="104"/>
        <v>56.127011067040847</v>
      </c>
      <c r="AP221" s="144">
        <f t="shared" si="104"/>
        <v>7.7764117579468763</v>
      </c>
      <c r="AQ221" s="144">
        <f t="shared" si="104"/>
        <v>4.9627394570272001</v>
      </c>
      <c r="AR221" s="144">
        <f t="shared" si="104"/>
        <v>14.808219071679254</v>
      </c>
      <c r="AS221" s="144">
        <f t="shared" si="104"/>
        <v>0.46736138217485096</v>
      </c>
      <c r="AT221" s="144">
        <f t="shared" si="104"/>
        <v>0.23344724384358187</v>
      </c>
      <c r="AU221" s="144">
        <f t="shared" si="104"/>
        <v>8.440684870857174</v>
      </c>
      <c r="AV221" s="40"/>
      <c r="AW221" s="40"/>
      <c r="AX221" s="40"/>
      <c r="CH221">
        <f t="shared" si="72"/>
        <v>63</v>
      </c>
      <c r="CI221" s="113">
        <f t="shared" si="73"/>
        <v>140.78309987558936</v>
      </c>
      <c r="CJ221" s="124">
        <f t="shared" si="85"/>
        <v>5.8806879516357897</v>
      </c>
      <c r="CK221" s="124">
        <f t="shared" si="86"/>
        <v>56.127011067040847</v>
      </c>
      <c r="CL221" s="124">
        <f t="shared" si="87"/>
        <v>37.166270189044319</v>
      </c>
      <c r="CM221" s="124">
        <f t="shared" si="88"/>
        <v>20.605168709900763</v>
      </c>
      <c r="CN221" s="124">
        <f t="shared" si="89"/>
        <v>40.046121976034179</v>
      </c>
      <c r="CO221" s="124">
        <f t="shared" si="90"/>
        <v>15.933503161228803</v>
      </c>
      <c r="CP221" s="124">
        <f t="shared" si="91"/>
        <v>7.9587927878265727</v>
      </c>
      <c r="CQ221" s="124">
        <f t="shared" si="92"/>
        <v>23.894815810290709</v>
      </c>
      <c r="CR221" s="144">
        <f t="shared" si="36"/>
        <v>207.61237165300199</v>
      </c>
    </row>
    <row r="222" spans="1:96" ht="14">
      <c r="A222">
        <f t="shared" si="75"/>
        <v>64</v>
      </c>
      <c r="B222" s="19">
        <f t="shared" si="75"/>
        <v>144</v>
      </c>
      <c r="C222" s="26">
        <f t="shared" ref="C222:C285" si="105">B$8*(1-EXP(-B$9*$B222))^3</f>
        <v>141.29174894241757</v>
      </c>
      <c r="D222" s="125">
        <f>(($C$39*$C$118*0.72)*D$40)*('Product half-life and C flows'!B123/100)</f>
        <v>5.4959155244535998E-2</v>
      </c>
      <c r="E222" s="26"/>
      <c r="F222" s="54">
        <f t="shared" si="94"/>
        <v>6.0606231572568161</v>
      </c>
      <c r="G222" s="54">
        <f t="shared" si="94"/>
        <v>0.7542108817919595</v>
      </c>
      <c r="H222" s="125">
        <f>(H$118)*('Product half-life and C flows'!L123/100)</f>
        <v>0.4749293924628149</v>
      </c>
      <c r="I222" s="125">
        <f>(($C$39*$C$118*0.28)*H$41)*('Product half-life and C flows'!N123/100)</f>
        <v>0.94193079637509769</v>
      </c>
      <c r="J222" s="125">
        <f>(($C$39*$C$118*0.28)*H$41)*(+'Product half-life and C flows'!P123/100)</f>
        <v>0.47049490328426452</v>
      </c>
      <c r="K222" s="54">
        <f t="shared" si="60"/>
        <v>1.3434381331919276</v>
      </c>
      <c r="L222" s="26"/>
      <c r="M222" s="142">
        <f>(C$158-C$138)*(0.4*D$14)*('Product half-life and C flows'!B83/100)</f>
        <v>0.37502739842074062</v>
      </c>
      <c r="N222" s="83"/>
      <c r="O222" s="143">
        <f t="shared" si="78"/>
        <v>7.7764117579468763</v>
      </c>
      <c r="P222" s="142">
        <f t="shared" si="79"/>
        <v>4.9627394570272001</v>
      </c>
      <c r="Q222" s="142">
        <f>(C$158-C$138)*(0.6*C$15)*('Product half-life and C flows'!L83/100)</f>
        <v>5.7868196526219924</v>
      </c>
      <c r="R222" s="142">
        <f>(C$158-C$138)*0.6*('Product half-life and C flows'!N83/100)</f>
        <v>6.4876419278257336</v>
      </c>
      <c r="S222" s="142">
        <f>(C$158-C$138)*0.6*('Product half-life and C flows'!P83/100)</f>
        <v>3.2405803835293363</v>
      </c>
      <c r="T222" s="142">
        <f t="shared" si="42"/>
        <v>3.2984872019945355</v>
      </c>
      <c r="U222" s="3"/>
      <c r="V222" s="142">
        <f t="shared" si="43"/>
        <v>0.75005479684148113</v>
      </c>
      <c r="W222" s="142">
        <f t="shared" si="44"/>
        <v>0</v>
      </c>
      <c r="X222" s="142">
        <f t="shared" si="45"/>
        <v>7.7764117579468763</v>
      </c>
      <c r="Y222" s="142">
        <f t="shared" si="46"/>
        <v>4.9627394570272001</v>
      </c>
      <c r="Z222" s="142">
        <f t="shared" si="47"/>
        <v>7.8746463161005691</v>
      </c>
      <c r="AA222" s="142">
        <f t="shared" si="48"/>
        <v>5.0943656010643634</v>
      </c>
      <c r="AB222" s="142">
        <f t="shared" si="49"/>
        <v>2.5446381623698104</v>
      </c>
      <c r="AC222" s="142">
        <f t="shared" si="50"/>
        <v>4.4885484001773239</v>
      </c>
      <c r="AD222" s="40"/>
      <c r="AE222" s="142">
        <f t="shared" ref="AE222:AL222" si="106">V202</f>
        <v>1.5001095936829623</v>
      </c>
      <c r="AF222" s="142">
        <f t="shared" si="106"/>
        <v>0</v>
      </c>
      <c r="AG222" s="142">
        <f t="shared" si="106"/>
        <v>7.7764117579468763</v>
      </c>
      <c r="AH222" s="142">
        <f t="shared" si="106"/>
        <v>4.9627394570272001</v>
      </c>
      <c r="AI222" s="142">
        <f t="shared" si="106"/>
        <v>10.715739961859647</v>
      </c>
      <c r="AJ222" s="142">
        <f t="shared" si="106"/>
        <v>3.1984091081278025</v>
      </c>
      <c r="AK222" s="142">
        <f t="shared" si="106"/>
        <v>1.5976069471167842</v>
      </c>
      <c r="AL222" s="142">
        <f t="shared" si="106"/>
        <v>6.1079717782599987</v>
      </c>
      <c r="AM222" s="40"/>
      <c r="AN222" s="144">
        <f t="shared" ref="AN222:AU222" si="107">AE202</f>
        <v>3.0002191873659245</v>
      </c>
      <c r="AO222" s="144">
        <f t="shared" si="107"/>
        <v>57.850184489619735</v>
      </c>
      <c r="AP222" s="144">
        <f t="shared" si="107"/>
        <v>7.7764117579468763</v>
      </c>
      <c r="AQ222" s="144">
        <f t="shared" si="107"/>
        <v>4.9627394570272001</v>
      </c>
      <c r="AR222" s="144">
        <f t="shared" si="107"/>
        <v>14.581871784567571</v>
      </c>
      <c r="AS222" s="144">
        <f t="shared" si="107"/>
        <v>0.61841047177404773</v>
      </c>
      <c r="AT222" s="144">
        <f t="shared" si="107"/>
        <v>0.30889633954747636</v>
      </c>
      <c r="AU222" s="144">
        <f t="shared" si="107"/>
        <v>8.3116669172035156</v>
      </c>
      <c r="AV222" s="40"/>
      <c r="AW222" s="40"/>
      <c r="AX222" s="40"/>
      <c r="CH222">
        <f t="shared" si="72"/>
        <v>64</v>
      </c>
      <c r="CI222" s="113">
        <f t="shared" si="73"/>
        <v>141.29174894241757</v>
      </c>
      <c r="CJ222" s="124">
        <f t="shared" si="85"/>
        <v>5.6803701315556445</v>
      </c>
      <c r="CK222" s="124">
        <f t="shared" si="86"/>
        <v>57.850184489619735</v>
      </c>
      <c r="CL222" s="124">
        <f t="shared" si="87"/>
        <v>37.166270189044319</v>
      </c>
      <c r="CM222" s="124">
        <f t="shared" si="88"/>
        <v>20.605168709900763</v>
      </c>
      <c r="CN222" s="124">
        <f t="shared" si="89"/>
        <v>39.434007107612594</v>
      </c>
      <c r="CO222" s="124">
        <f t="shared" si="90"/>
        <v>16.340757905167045</v>
      </c>
      <c r="CP222" s="124">
        <f t="shared" si="91"/>
        <v>8.1622167358476716</v>
      </c>
      <c r="CQ222" s="124">
        <f t="shared" si="92"/>
        <v>23.550112430827298</v>
      </c>
      <c r="CR222" s="144">
        <f t="shared" si="36"/>
        <v>208.78908769957508</v>
      </c>
    </row>
    <row r="223" spans="1:96" ht="14">
      <c r="A223">
        <f t="shared" si="75"/>
        <v>65</v>
      </c>
      <c r="B223" s="19">
        <f t="shared" si="75"/>
        <v>145</v>
      </c>
      <c r="C223" s="26">
        <f t="shared" si="105"/>
        <v>141.79151365954192</v>
      </c>
      <c r="D223" s="125">
        <f>(($C$39*$C$118*0.72)*D$40)*('Product half-life and C flows'!B124/100)</f>
        <v>5.3087044657717769E-2</v>
      </c>
      <c r="E223" s="26"/>
      <c r="F223" s="54">
        <f t="shared" si="94"/>
        <v>6.0606231572568161</v>
      </c>
      <c r="G223" s="54">
        <f t="shared" si="94"/>
        <v>0.7542108817919595</v>
      </c>
      <c r="H223" s="125">
        <f>(H$118)*('Product half-life and C flows'!L124/100)</f>
        <v>0.46766997936032023</v>
      </c>
      <c r="I223" s="125">
        <f>(($C$39*$C$118*0.28)*H$41)*('Product half-life and C flows'!N124/100)</f>
        <v>0.94556413263289629</v>
      </c>
      <c r="J223" s="125">
        <f>(($C$39*$C$118*0.28)*H$41)*(+'Product half-life and C flows'!P124/100)</f>
        <v>0.47230975655988816</v>
      </c>
      <c r="K223" s="54">
        <f t="shared" si="60"/>
        <v>1.3434381331919276</v>
      </c>
      <c r="L223" s="26"/>
      <c r="M223" s="142">
        <f>(C$158-C$138)*(0.4*D$14)*('Product half-life and C flows'!B84/100)</f>
        <v>0.36225258847676561</v>
      </c>
      <c r="N223" s="83"/>
      <c r="O223" s="143">
        <f t="shared" si="78"/>
        <v>7.7764117579468763</v>
      </c>
      <c r="P223" s="142">
        <f t="shared" si="79"/>
        <v>4.9627394570272001</v>
      </c>
      <c r="Q223" s="142">
        <f>(C$158-C$138)*(0.6*C$15)*('Product half-life and C flows'!L84/100)</f>
        <v>5.6983666845077758</v>
      </c>
      <c r="R223" s="142">
        <f>(C$158-C$138)*0.6*('Product half-life and C flows'!N84/100)</f>
        <v>6.54666954188062</v>
      </c>
      <c r="S223" s="142">
        <f>(C$158-C$138)*0.6*('Product half-life and C flows'!P84/100)</f>
        <v>3.2700647062340749</v>
      </c>
      <c r="T223" s="142">
        <f t="shared" ref="T223:T286" si="108">(Q223*T$42)</f>
        <v>3.2480690101694321</v>
      </c>
      <c r="U223" s="3"/>
      <c r="V223" s="142">
        <f t="shared" si="43"/>
        <v>0.72450517695353112</v>
      </c>
      <c r="W223" s="142">
        <f t="shared" si="44"/>
        <v>0</v>
      </c>
      <c r="X223" s="142">
        <f t="shared" si="45"/>
        <v>7.7764117579468763</v>
      </c>
      <c r="Y223" s="142">
        <f t="shared" si="46"/>
        <v>4.9627394570272001</v>
      </c>
      <c r="Z223" s="142">
        <f t="shared" si="47"/>
        <v>7.7542804016050004</v>
      </c>
      <c r="AA223" s="142">
        <f t="shared" si="48"/>
        <v>5.1746897880044065</v>
      </c>
      <c r="AB223" s="142">
        <f t="shared" si="49"/>
        <v>2.5847601338683335</v>
      </c>
      <c r="AC223" s="142">
        <f t="shared" si="50"/>
        <v>4.4199398289148499</v>
      </c>
      <c r="AD223" s="40"/>
      <c r="AE223" s="142">
        <f t="shared" ref="AE223:AL223" si="109">V203</f>
        <v>1.4490103539070622</v>
      </c>
      <c r="AF223" s="142">
        <f t="shared" si="109"/>
        <v>0</v>
      </c>
      <c r="AG223" s="142">
        <f t="shared" si="109"/>
        <v>7.7764117579468763</v>
      </c>
      <c r="AH223" s="142">
        <f t="shared" si="109"/>
        <v>4.9627394570272001</v>
      </c>
      <c r="AI223" s="142">
        <f t="shared" si="109"/>
        <v>10.551947229052235</v>
      </c>
      <c r="AJ223" s="142">
        <f t="shared" si="109"/>
        <v>3.3077134584879491</v>
      </c>
      <c r="AK223" s="142">
        <f t="shared" si="109"/>
        <v>1.6522045247192549</v>
      </c>
      <c r="AL223" s="142">
        <f t="shared" si="109"/>
        <v>6.0146099205597734</v>
      </c>
      <c r="AM223" s="40"/>
      <c r="AN223" s="144">
        <f t="shared" ref="AN223:AU223" si="110">AE203</f>
        <v>2.8980207078141245</v>
      </c>
      <c r="AO223" s="144">
        <f t="shared" si="110"/>
        <v>59.573357912198624</v>
      </c>
      <c r="AP223" s="144">
        <f t="shared" si="110"/>
        <v>7.7764117579468763</v>
      </c>
      <c r="AQ223" s="144">
        <f t="shared" si="110"/>
        <v>4.9627394570272001</v>
      </c>
      <c r="AR223" s="144">
        <f t="shared" si="110"/>
        <v>14.35898427166201</v>
      </c>
      <c r="AS223" s="144">
        <f t="shared" si="110"/>
        <v>0.76715073871969297</v>
      </c>
      <c r="AT223" s="144">
        <f t="shared" si="110"/>
        <v>0.38319217718266385</v>
      </c>
      <c r="AU223" s="144">
        <f t="shared" si="110"/>
        <v>8.1846210348473445</v>
      </c>
      <c r="AV223" s="40"/>
      <c r="AW223" s="40"/>
      <c r="AX223" s="40"/>
      <c r="CH223">
        <f t="shared" si="72"/>
        <v>65</v>
      </c>
      <c r="CI223" s="113">
        <f t="shared" si="73"/>
        <v>141.79151365954192</v>
      </c>
      <c r="CJ223" s="124">
        <f t="shared" si="85"/>
        <v>5.4868758718092012</v>
      </c>
      <c r="CK223" s="124">
        <f t="shared" si="86"/>
        <v>59.573357912198624</v>
      </c>
      <c r="CL223" s="124">
        <f t="shared" si="87"/>
        <v>37.166270189044319</v>
      </c>
      <c r="CM223" s="124">
        <f t="shared" si="88"/>
        <v>20.605168709900763</v>
      </c>
      <c r="CN223" s="124">
        <f t="shared" si="89"/>
        <v>38.831248566187341</v>
      </c>
      <c r="CO223" s="124">
        <f t="shared" si="90"/>
        <v>16.741787659725563</v>
      </c>
      <c r="CP223" s="124">
        <f t="shared" si="91"/>
        <v>8.3625312985642157</v>
      </c>
      <c r="CQ223" s="124">
        <f t="shared" si="92"/>
        <v>23.210677927683328</v>
      </c>
      <c r="CR223" s="144">
        <f t="shared" ref="CR223:CR286" si="111">SUM(CJ223:CQ223)</f>
        <v>209.97791813511336</v>
      </c>
    </row>
    <row r="224" spans="1:96" ht="14">
      <c r="A224">
        <f t="shared" ref="A224:B238" si="112">A223+1</f>
        <v>66</v>
      </c>
      <c r="B224" s="19">
        <f t="shared" si="112"/>
        <v>146</v>
      </c>
      <c r="C224" s="26">
        <f t="shared" si="105"/>
        <v>142.28252472722863</v>
      </c>
      <c r="D224" s="125">
        <f>(($C$39*$C$118*0.72)*D$40)*('Product half-life and C flows'!B125/100)</f>
        <v>5.1278705030145262E-2</v>
      </c>
      <c r="E224" s="26"/>
      <c r="F224" s="54">
        <f t="shared" si="94"/>
        <v>6.0606231572568161</v>
      </c>
      <c r="G224" s="54">
        <f t="shared" si="94"/>
        <v>0.7542108817919595</v>
      </c>
      <c r="H224" s="125">
        <f>(H$118)*('Product half-life and C flows'!L125/100)</f>
        <v>0.46052152818064823</v>
      </c>
      <c r="I224" s="125">
        <f>(($C$39*$C$118*0.28)*H$41)*('Product half-life and C flows'!N125/100)</f>
        <v>0.94914193244832212</v>
      </c>
      <c r="J224" s="125">
        <f>(($C$39*$C$118*0.28)*H$41)*(+'Product half-life and C flows'!P125/100)</f>
        <v>0.47409686935480616</v>
      </c>
      <c r="K224" s="54">
        <f t="shared" si="60"/>
        <v>1.3434381331919276</v>
      </c>
      <c r="L224" s="26"/>
      <c r="M224" s="142">
        <f>(C$158-C$138)*(0.4*D$14)*('Product half-life and C flows'!B85/100)</f>
        <v>0.34991293545676982</v>
      </c>
      <c r="N224" s="83"/>
      <c r="O224" s="143">
        <f t="shared" si="78"/>
        <v>7.7764117579468763</v>
      </c>
      <c r="P224" s="142">
        <f t="shared" si="79"/>
        <v>4.9627394570272001</v>
      </c>
      <c r="Q224" s="142">
        <f>(C$158-C$138)*(0.6*C$15)*('Product half-life and C flows'!L85/100)</f>
        <v>5.6112657418648686</v>
      </c>
      <c r="R224" s="142">
        <f>(C$158-C$138)*0.6*('Product half-life and C flows'!N85/100)</f>
        <v>6.604794904270987</v>
      </c>
      <c r="S224" s="142">
        <f>(C$158-C$138)*0.6*('Product half-life and C flows'!P85/100)</f>
        <v>3.2990983537817109</v>
      </c>
      <c r="T224" s="142">
        <f t="shared" si="108"/>
        <v>3.1984214728629747</v>
      </c>
      <c r="U224" s="3"/>
      <c r="V224" s="142">
        <f t="shared" si="43"/>
        <v>0.69982587091353965</v>
      </c>
      <c r="W224" s="142">
        <f t="shared" si="44"/>
        <v>0</v>
      </c>
      <c r="X224" s="142">
        <f t="shared" si="45"/>
        <v>7.7764117579468763</v>
      </c>
      <c r="Y224" s="142">
        <f t="shared" si="46"/>
        <v>4.9627394570272001</v>
      </c>
      <c r="Z224" s="142">
        <f t="shared" si="47"/>
        <v>7.6357543098507712</v>
      </c>
      <c r="AA224" s="142">
        <f t="shared" si="48"/>
        <v>5.2537861999017288</v>
      </c>
      <c r="AB224" s="142">
        <f t="shared" si="49"/>
        <v>2.6242688311197431</v>
      </c>
      <c r="AC224" s="142">
        <f t="shared" si="50"/>
        <v>4.3523799566149393</v>
      </c>
      <c r="AD224" s="40"/>
      <c r="AE224" s="142">
        <f t="shared" ref="AE224:AL224" si="113">V204</f>
        <v>1.3996517418270789</v>
      </c>
      <c r="AF224" s="142">
        <f t="shared" si="113"/>
        <v>0</v>
      </c>
      <c r="AG224" s="142">
        <f t="shared" si="113"/>
        <v>7.7764117579468763</v>
      </c>
      <c r="AH224" s="142">
        <f t="shared" si="113"/>
        <v>4.9627394570272001</v>
      </c>
      <c r="AI224" s="142">
        <f t="shared" si="113"/>
        <v>10.390658108633332</v>
      </c>
      <c r="AJ224" s="142">
        <f t="shared" si="113"/>
        <v>3.4153470648474982</v>
      </c>
      <c r="AK224" s="142">
        <f t="shared" si="113"/>
        <v>1.7059675648588901</v>
      </c>
      <c r="AL224" s="142">
        <f t="shared" si="113"/>
        <v>5.9226751219209985</v>
      </c>
      <c r="AM224" s="40"/>
      <c r="AN224" s="144">
        <f t="shared" ref="AN224:AU224" si="114">AE204</f>
        <v>2.7993034836541577</v>
      </c>
      <c r="AO224" s="144">
        <f t="shared" si="114"/>
        <v>61.296531334777512</v>
      </c>
      <c r="AP224" s="144">
        <f t="shared" si="114"/>
        <v>7.7764117579468763</v>
      </c>
      <c r="AQ224" s="144">
        <f t="shared" si="114"/>
        <v>4.9627394570272001</v>
      </c>
      <c r="AR224" s="144">
        <f t="shared" si="114"/>
        <v>14.139503649459039</v>
      </c>
      <c r="AS224" s="144">
        <f t="shared" si="114"/>
        <v>0.91361747393647497</v>
      </c>
      <c r="AT224" s="144">
        <f t="shared" si="114"/>
        <v>0.4563523845836539</v>
      </c>
      <c r="AU224" s="144">
        <f t="shared" si="114"/>
        <v>8.059517080191652</v>
      </c>
      <c r="AV224" s="40"/>
      <c r="AW224" s="40"/>
      <c r="AX224" s="40"/>
      <c r="CH224">
        <f t="shared" si="72"/>
        <v>66</v>
      </c>
      <c r="CI224" s="113">
        <f t="shared" si="73"/>
        <v>142.28252472722863</v>
      </c>
      <c r="CJ224" s="124">
        <f t="shared" si="85"/>
        <v>5.2999727368816911</v>
      </c>
      <c r="CK224" s="124">
        <f t="shared" si="86"/>
        <v>61.296531334777512</v>
      </c>
      <c r="CL224" s="124">
        <f t="shared" si="87"/>
        <v>37.166270189044319</v>
      </c>
      <c r="CM224" s="124">
        <f t="shared" si="88"/>
        <v>20.605168709900763</v>
      </c>
      <c r="CN224" s="124">
        <f t="shared" si="89"/>
        <v>38.237703337988656</v>
      </c>
      <c r="CO224" s="124">
        <f t="shared" si="90"/>
        <v>17.136687575405013</v>
      </c>
      <c r="CP224" s="124">
        <f t="shared" si="91"/>
        <v>8.5597840036988053</v>
      </c>
      <c r="CQ224" s="124">
        <f t="shared" si="92"/>
        <v>22.876431764782495</v>
      </c>
      <c r="CR224" s="144">
        <f t="shared" si="111"/>
        <v>211.17854965247923</v>
      </c>
    </row>
    <row r="225" spans="1:96" ht="14">
      <c r="A225">
        <f t="shared" si="112"/>
        <v>67</v>
      </c>
      <c r="B225" s="19">
        <f t="shared" si="112"/>
        <v>147</v>
      </c>
      <c r="C225" s="26">
        <f t="shared" si="105"/>
        <v>142.76491195260849</v>
      </c>
      <c r="D225" s="125">
        <f>(($C$39*$C$118*0.72)*D$40)*('Product half-life and C flows'!B126/100)</f>
        <v>4.9531964088838532E-2</v>
      </c>
      <c r="E225" s="26"/>
      <c r="F225" s="54">
        <f t="shared" si="94"/>
        <v>6.0606231572568161</v>
      </c>
      <c r="G225" s="54">
        <f t="shared" si="94"/>
        <v>0.7542108817919595</v>
      </c>
      <c r="H225" s="125">
        <f>(H$118)*('Product half-life and C flows'!L126/100)</f>
        <v>0.45348234284339384</v>
      </c>
      <c r="I225" s="125">
        <f>(($C$39*$C$118*0.28)*H$41)*('Product half-life and C flows'!N126/100)</f>
        <v>0.95266504470961788</v>
      </c>
      <c r="J225" s="125">
        <f>(($C$39*$C$118*0.28)*H$41)*(+'Product half-life and C flows'!P126/100)</f>
        <v>0.47585666568911972</v>
      </c>
      <c r="K225" s="54">
        <f t="shared" si="60"/>
        <v>1.3434381331919276</v>
      </c>
      <c r="L225" s="26"/>
      <c r="M225" s="142">
        <f>(C$158-C$138)*(0.4*D$14)*('Product half-life and C flows'!B86/100)</f>
        <v>0.33799361631842861</v>
      </c>
      <c r="N225" s="83"/>
      <c r="O225" s="143">
        <f t="shared" si="78"/>
        <v>7.7764117579468763</v>
      </c>
      <c r="P225" s="142">
        <f t="shared" si="79"/>
        <v>4.9627394570272001</v>
      </c>
      <c r="Q225" s="142">
        <f>(C$158-C$138)*(0.6*C$15)*('Product half-life and C flows'!L86/100)</f>
        <v>5.5254961586499034</v>
      </c>
      <c r="R225" s="142">
        <f>(C$158-C$138)*0.6*('Product half-life and C flows'!N86/100)</f>
        <v>6.662031806136441</v>
      </c>
      <c r="S225" s="142">
        <f>(C$158-C$138)*0.6*('Product half-life and C flows'!P86/100)</f>
        <v>3.327688214853366</v>
      </c>
      <c r="T225" s="142">
        <f t="shared" si="108"/>
        <v>3.1495328104304448</v>
      </c>
      <c r="U225" s="3"/>
      <c r="V225" s="142">
        <f t="shared" si="43"/>
        <v>0.67598723263685712</v>
      </c>
      <c r="W225" s="142">
        <f t="shared" si="44"/>
        <v>0</v>
      </c>
      <c r="X225" s="142">
        <f t="shared" si="45"/>
        <v>7.7764117579468763</v>
      </c>
      <c r="Y225" s="142">
        <f t="shared" si="46"/>
        <v>4.9627394570272001</v>
      </c>
      <c r="Z225" s="142">
        <f t="shared" si="47"/>
        <v>7.5190399186927204</v>
      </c>
      <c r="AA225" s="142">
        <f t="shared" si="48"/>
        <v>5.3316736036012013</v>
      </c>
      <c r="AB225" s="142">
        <f t="shared" si="49"/>
        <v>2.6631736281724274</v>
      </c>
      <c r="AC225" s="142">
        <f t="shared" si="50"/>
        <v>4.2858527536548499</v>
      </c>
      <c r="AD225" s="40"/>
      <c r="AE225" s="142">
        <f t="shared" ref="AE225:AL225" si="115">V205</f>
        <v>1.3519744652737142</v>
      </c>
      <c r="AF225" s="142">
        <f t="shared" si="115"/>
        <v>0</v>
      </c>
      <c r="AG225" s="142">
        <f t="shared" si="115"/>
        <v>7.7764117579468763</v>
      </c>
      <c r="AH225" s="142">
        <f t="shared" si="115"/>
        <v>4.9627394570272001</v>
      </c>
      <c r="AI225" s="142">
        <f t="shared" si="115"/>
        <v>10.231834332269013</v>
      </c>
      <c r="AJ225" s="142">
        <f t="shared" si="115"/>
        <v>3.5213354649412865</v>
      </c>
      <c r="AK225" s="142">
        <f t="shared" si="115"/>
        <v>1.7589088236469963</v>
      </c>
      <c r="AL225" s="142">
        <f t="shared" si="115"/>
        <v>5.8321455693933375</v>
      </c>
      <c r="AM225" s="40"/>
      <c r="AN225" s="144">
        <f t="shared" ref="AN225:AU225" si="116">AE205</f>
        <v>2.7039489305474285</v>
      </c>
      <c r="AO225" s="144">
        <f t="shared" si="116"/>
        <v>63.019704757356401</v>
      </c>
      <c r="AP225" s="144">
        <f t="shared" si="116"/>
        <v>7.7764117579468763</v>
      </c>
      <c r="AQ225" s="144">
        <f t="shared" si="116"/>
        <v>4.9627394570272001</v>
      </c>
      <c r="AR225" s="144">
        <f t="shared" si="116"/>
        <v>13.923377842792547</v>
      </c>
      <c r="AS225" s="144">
        <f t="shared" si="116"/>
        <v>1.0578454289185806</v>
      </c>
      <c r="AT225" s="144">
        <f t="shared" si="116"/>
        <v>0.52839432013915122</v>
      </c>
      <c r="AU225" s="144">
        <f t="shared" si="116"/>
        <v>7.9363253703917511</v>
      </c>
      <c r="AV225" s="40"/>
      <c r="AW225" s="40"/>
      <c r="AX225" s="40"/>
      <c r="CH225">
        <f t="shared" si="72"/>
        <v>67</v>
      </c>
      <c r="CI225" s="113">
        <f t="shared" si="73"/>
        <v>142.76491195260849</v>
      </c>
      <c r="CJ225" s="124">
        <f t="shared" si="85"/>
        <v>5.1194362088652667</v>
      </c>
      <c r="CK225" s="124">
        <f t="shared" si="86"/>
        <v>63.019704757356401</v>
      </c>
      <c r="CL225" s="124">
        <f t="shared" si="87"/>
        <v>37.166270189044319</v>
      </c>
      <c r="CM225" s="124">
        <f t="shared" si="88"/>
        <v>20.605168709900763</v>
      </c>
      <c r="CN225" s="124">
        <f t="shared" si="89"/>
        <v>37.653230595247578</v>
      </c>
      <c r="CO225" s="124">
        <f t="shared" si="90"/>
        <v>17.525551348307125</v>
      </c>
      <c r="CP225" s="124">
        <f t="shared" si="91"/>
        <v>8.754021652501061</v>
      </c>
      <c r="CQ225" s="124">
        <f t="shared" si="92"/>
        <v>22.547294637062308</v>
      </c>
      <c r="CR225" s="144">
        <f t="shared" si="111"/>
        <v>212.39067809828481</v>
      </c>
    </row>
    <row r="226" spans="1:96" ht="14">
      <c r="A226">
        <f t="shared" si="112"/>
        <v>68</v>
      </c>
      <c r="B226" s="19">
        <f t="shared" si="112"/>
        <v>148</v>
      </c>
      <c r="C226" s="26">
        <f t="shared" si="105"/>
        <v>143.23880420546197</v>
      </c>
      <c r="D226" s="125">
        <f>(($C$39*$C$118*0.72)*D$40)*('Product half-life and C flows'!B127/100)</f>
        <v>4.7844723556409945E-2</v>
      </c>
      <c r="E226" s="26"/>
      <c r="F226" s="54">
        <f t="shared" si="94"/>
        <v>6.0606231572568161</v>
      </c>
      <c r="G226" s="54">
        <f t="shared" si="94"/>
        <v>0.7542108817919595</v>
      </c>
      <c r="H226" s="125">
        <f>(H$118)*('Product half-life and C flows'!L127/100)</f>
        <v>0.44655075319315957</v>
      </c>
      <c r="I226" s="125">
        <f>(($C$39*$C$118*0.28)*H$41)*('Product half-life and C flows'!N127/100)</f>
        <v>0.95613430532956012</v>
      </c>
      <c r="J226" s="125">
        <f>(($C$39*$C$118*0.28)*H$41)*(+'Product half-life and C flows'!P127/100)</f>
        <v>0.47758956310167827</v>
      </c>
      <c r="K226" s="54">
        <f t="shared" si="60"/>
        <v>1.3434381331919276</v>
      </c>
      <c r="L226" s="26"/>
      <c r="M226" s="142">
        <f>(C$158-C$138)*(0.4*D$14)*('Product half-life and C flows'!B87/100)</f>
        <v>0.32648031294665569</v>
      </c>
      <c r="N226" s="83"/>
      <c r="O226" s="143">
        <f t="shared" si="78"/>
        <v>7.7764117579468763</v>
      </c>
      <c r="P226" s="142">
        <f t="shared" si="79"/>
        <v>4.9627394570272001</v>
      </c>
      <c r="Q226" s="142">
        <f>(C$158-C$138)*(0.6*C$15)*('Product half-life and C flows'!L87/100)</f>
        <v>5.4410375847050894</v>
      </c>
      <c r="R226" s="142">
        <f>(C$158-C$138)*0.6*('Product half-life and C flows'!N87/100)</f>
        <v>6.7183938278156141</v>
      </c>
      <c r="S226" s="142">
        <f>(C$158-C$138)*0.6*('Product half-life and C flows'!P87/100)</f>
        <v>3.3558410728349708</v>
      </c>
      <c r="T226" s="142">
        <f t="shared" si="108"/>
        <v>3.1013914232819007</v>
      </c>
      <c r="U226" s="3"/>
      <c r="V226" s="142">
        <f t="shared" si="43"/>
        <v>0.65296062589331128</v>
      </c>
      <c r="W226" s="142">
        <f t="shared" si="44"/>
        <v>0</v>
      </c>
      <c r="X226" s="142">
        <f t="shared" si="45"/>
        <v>7.7764117579468763</v>
      </c>
      <c r="Y226" s="142">
        <f t="shared" si="46"/>
        <v>4.9627394570272001</v>
      </c>
      <c r="Z226" s="142">
        <f t="shared" si="47"/>
        <v>7.4041095358396269</v>
      </c>
      <c r="AA226" s="142">
        <f t="shared" si="48"/>
        <v>5.4083704790918317</v>
      </c>
      <c r="AB226" s="142">
        <f t="shared" si="49"/>
        <v>2.7014837557901243</v>
      </c>
      <c r="AC226" s="142">
        <f t="shared" si="50"/>
        <v>4.220342435428587</v>
      </c>
      <c r="AD226" s="40"/>
      <c r="AE226" s="142">
        <f t="shared" ref="AE226:AL226" si="117">V206</f>
        <v>1.3059212517866228</v>
      </c>
      <c r="AF226" s="142">
        <f t="shared" si="117"/>
        <v>0</v>
      </c>
      <c r="AG226" s="142">
        <f t="shared" si="117"/>
        <v>7.7764117579468763</v>
      </c>
      <c r="AH226" s="142">
        <f t="shared" si="117"/>
        <v>4.9627394570272001</v>
      </c>
      <c r="AI226" s="142">
        <f t="shared" si="117"/>
        <v>10.075438216566313</v>
      </c>
      <c r="AJ226" s="142">
        <f t="shared" si="117"/>
        <v>3.6257038061535538</v>
      </c>
      <c r="AK226" s="142">
        <f t="shared" si="117"/>
        <v>1.8110408622145622</v>
      </c>
      <c r="AL226" s="142">
        <f t="shared" si="117"/>
        <v>5.7429997834427979</v>
      </c>
      <c r="AM226" s="40"/>
      <c r="AN226" s="144">
        <f t="shared" ref="AN226:AU226" si="118">AE206</f>
        <v>2.6118425035732455</v>
      </c>
      <c r="AO226" s="144">
        <f t="shared" si="118"/>
        <v>64.742878179935289</v>
      </c>
      <c r="AP226" s="144">
        <f t="shared" si="118"/>
        <v>7.7764117579468763</v>
      </c>
      <c r="AQ226" s="144">
        <f t="shared" si="118"/>
        <v>4.9627394570272001</v>
      </c>
      <c r="AR226" s="144">
        <f t="shared" si="118"/>
        <v>13.710555572478198</v>
      </c>
      <c r="AS226" s="144">
        <f t="shared" si="118"/>
        <v>1.1998688239750228</v>
      </c>
      <c r="AT226" s="144">
        <f t="shared" si="118"/>
        <v>0.59933507691060084</v>
      </c>
      <c r="AU226" s="144">
        <f t="shared" si="118"/>
        <v>7.8150166763125721</v>
      </c>
      <c r="AV226" s="40"/>
      <c r="AW226" s="40"/>
      <c r="AX226" s="40"/>
      <c r="CH226">
        <f t="shared" si="72"/>
        <v>68</v>
      </c>
      <c r="CI226" s="113">
        <f t="shared" si="73"/>
        <v>143.23880420546197</v>
      </c>
      <c r="CJ226" s="124">
        <f t="shared" si="85"/>
        <v>4.9450494177562447</v>
      </c>
      <c r="CK226" s="124">
        <f t="shared" si="86"/>
        <v>64.742878179935289</v>
      </c>
      <c r="CL226" s="124">
        <f t="shared" si="87"/>
        <v>37.166270189044319</v>
      </c>
      <c r="CM226" s="124">
        <f t="shared" si="88"/>
        <v>20.605168709900763</v>
      </c>
      <c r="CN226" s="124">
        <f t="shared" si="89"/>
        <v>37.077691662782385</v>
      </c>
      <c r="CO226" s="124">
        <f t="shared" si="90"/>
        <v>17.908471242365582</v>
      </c>
      <c r="CP226" s="124">
        <f t="shared" si="91"/>
        <v>8.945290330851936</v>
      </c>
      <c r="CQ226" s="124">
        <f t="shared" si="92"/>
        <v>22.223188451657784</v>
      </c>
      <c r="CR226" s="144">
        <f t="shared" si="111"/>
        <v>213.61400818429433</v>
      </c>
    </row>
    <row r="227" spans="1:96" ht="14">
      <c r="A227">
        <f t="shared" si="112"/>
        <v>69</v>
      </c>
      <c r="B227" s="19">
        <f t="shared" si="112"/>
        <v>149</v>
      </c>
      <c r="C227" s="26">
        <f t="shared" si="105"/>
        <v>143.70432937704084</v>
      </c>
      <c r="D227" s="125">
        <f>(($C$39*$C$118*0.72)*D$40)*('Product half-life and C flows'!B128/100)</f>
        <v>4.6214956630502707E-2</v>
      </c>
      <c r="E227" s="26"/>
      <c r="F227" s="54">
        <f t="shared" si="94"/>
        <v>6.0606231572568161</v>
      </c>
      <c r="G227" s="54">
        <f t="shared" si="94"/>
        <v>0.7542108817919595</v>
      </c>
      <c r="H227" s="125">
        <f>(H$118)*('Product half-life and C flows'!L128/100)</f>
        <v>0.43972511460328639</v>
      </c>
      <c r="I227" s="125">
        <f>(($C$39*$C$118*0.28)*H$41)*('Product half-life and C flows'!N128/100)</f>
        <v>0.95955053744379171</v>
      </c>
      <c r="J227" s="125">
        <f>(($C$39*$C$118*0.28)*H$41)*(+'Product half-life and C flows'!P128/100)</f>
        <v>0.47929597274914654</v>
      </c>
      <c r="K227" s="54">
        <f t="shared" si="60"/>
        <v>1.3434381331919276</v>
      </c>
      <c r="L227" s="26"/>
      <c r="M227" s="142">
        <f>(C$158-C$138)*(0.4*D$14)*('Product half-life and C flows'!B88/100)</f>
        <v>0.31535919495392739</v>
      </c>
      <c r="N227" s="83"/>
      <c r="O227" s="143">
        <f t="shared" si="78"/>
        <v>7.7764117579468763</v>
      </c>
      <c r="P227" s="142">
        <f t="shared" si="79"/>
        <v>4.9627394570272001</v>
      </c>
      <c r="Q227" s="142">
        <f>(C$158-C$138)*(0.6*C$15)*('Product half-life and C flows'!L88/100)</f>
        <v>5.3578699809298236</v>
      </c>
      <c r="R227" s="142">
        <f>(C$158-C$138)*0.6*('Product half-life and C flows'!N88/100)</f>
        <v>6.7738943420683073</v>
      </c>
      <c r="S227" s="142">
        <f>(C$158-C$138)*0.6*('Product half-life and C flows'!P88/100)</f>
        <v>3.3835636074267259</v>
      </c>
      <c r="T227" s="142">
        <f t="shared" si="108"/>
        <v>3.0539858891299994</v>
      </c>
      <c r="U227" s="3"/>
      <c r="V227" s="142">
        <f t="shared" si="43"/>
        <v>0.63071838990785456</v>
      </c>
      <c r="W227" s="142">
        <f t="shared" si="44"/>
        <v>0</v>
      </c>
      <c r="X227" s="142">
        <f t="shared" si="45"/>
        <v>7.7764117579468763</v>
      </c>
      <c r="Y227" s="142">
        <f t="shared" si="46"/>
        <v>4.9627394570272001</v>
      </c>
      <c r="Z227" s="142">
        <f t="shared" si="47"/>
        <v>7.2909358922837857</v>
      </c>
      <c r="AA227" s="142">
        <f t="shared" si="48"/>
        <v>5.4838950238914306</v>
      </c>
      <c r="AB227" s="142">
        <f t="shared" si="49"/>
        <v>2.7392083036420716</v>
      </c>
      <c r="AC227" s="142">
        <f t="shared" si="50"/>
        <v>4.1558334586017578</v>
      </c>
      <c r="AD227" s="40"/>
      <c r="AE227" s="142">
        <f t="shared" ref="AE227:AL227" si="119">V207</f>
        <v>1.2614367798157096</v>
      </c>
      <c r="AF227" s="142">
        <f t="shared" si="119"/>
        <v>0</v>
      </c>
      <c r="AG227" s="142">
        <f t="shared" si="119"/>
        <v>7.7764117579468763</v>
      </c>
      <c r="AH227" s="142">
        <f t="shared" si="119"/>
        <v>4.9627394570272001</v>
      </c>
      <c r="AI227" s="142">
        <f t="shared" si="119"/>
        <v>9.9214326541322233</v>
      </c>
      <c r="AJ227" s="142">
        <f t="shared" si="119"/>
        <v>3.728476851484571</v>
      </c>
      <c r="AK227" s="142">
        <f t="shared" si="119"/>
        <v>1.8623760496925927</v>
      </c>
      <c r="AL227" s="142">
        <f t="shared" si="119"/>
        <v>5.6552166128553667</v>
      </c>
      <c r="AM227" s="40"/>
      <c r="AN227" s="144">
        <f t="shared" ref="AN227:AU227" si="120">AE207</f>
        <v>2.5228735596314182</v>
      </c>
      <c r="AO227" s="144">
        <f t="shared" si="120"/>
        <v>66.466051602514185</v>
      </c>
      <c r="AP227" s="144">
        <f t="shared" si="120"/>
        <v>7.7764117579468763</v>
      </c>
      <c r="AQ227" s="144">
        <f t="shared" si="120"/>
        <v>4.9627394570272001</v>
      </c>
      <c r="AR227" s="144">
        <f t="shared" si="120"/>
        <v>13.500986343146657</v>
      </c>
      <c r="AS227" s="144">
        <f t="shared" si="120"/>
        <v>1.3397213563489379</v>
      </c>
      <c r="AT227" s="144">
        <f t="shared" si="120"/>
        <v>0.66919148668778117</v>
      </c>
      <c r="AU227" s="144">
        <f t="shared" si="120"/>
        <v>7.6955622155935934</v>
      </c>
      <c r="AV227" s="40"/>
      <c r="AW227" s="40"/>
      <c r="AX227" s="40"/>
      <c r="CH227">
        <f t="shared" si="72"/>
        <v>69</v>
      </c>
      <c r="CI227" s="113">
        <f t="shared" si="73"/>
        <v>143.70432937704084</v>
      </c>
      <c r="CJ227" s="124">
        <f t="shared" si="85"/>
        <v>4.7766028809394125</v>
      </c>
      <c r="CK227" s="124">
        <f t="shared" si="86"/>
        <v>66.466051602514185</v>
      </c>
      <c r="CL227" s="124">
        <f t="shared" si="87"/>
        <v>37.166270189044319</v>
      </c>
      <c r="CM227" s="124">
        <f t="shared" si="88"/>
        <v>20.605168709900763</v>
      </c>
      <c r="CN227" s="124">
        <f t="shared" si="89"/>
        <v>36.510949985095777</v>
      </c>
      <c r="CO227" s="124">
        <f t="shared" si="90"/>
        <v>18.285538111237042</v>
      </c>
      <c r="CP227" s="124">
        <f t="shared" si="91"/>
        <v>9.1336354201983188</v>
      </c>
      <c r="CQ227" s="124">
        <f t="shared" si="92"/>
        <v>21.904036309372643</v>
      </c>
      <c r="CR227" s="144">
        <f t="shared" si="111"/>
        <v>214.84825320830242</v>
      </c>
    </row>
    <row r="228" spans="1:96" ht="14">
      <c r="A228">
        <f t="shared" si="112"/>
        <v>70</v>
      </c>
      <c r="B228" s="19">
        <f t="shared" si="112"/>
        <v>150</v>
      </c>
      <c r="C228" s="26">
        <f t="shared" si="105"/>
        <v>144.16161434179853</v>
      </c>
      <c r="D228" s="125">
        <f>(($C$39*$C$118*0.72)*D$40)*('Product half-life and C flows'!B129/100)</f>
        <v>4.4640705549088729E-2</v>
      </c>
      <c r="E228" s="26"/>
      <c r="F228" s="54">
        <f t="shared" si="94"/>
        <v>6.0606231572568161</v>
      </c>
      <c r="G228" s="54">
        <f t="shared" si="94"/>
        <v>0.7542108817919595</v>
      </c>
      <c r="H228" s="125">
        <f>(H$118)*('Product half-life and C flows'!L129/100)</f>
        <v>0.4330038075856395</v>
      </c>
      <c r="I228" s="125">
        <f>(($C$39*$C$118*0.28)*H$41)*('Product half-life and C flows'!N129/100)</f>
        <v>0.96291455160612405</v>
      </c>
      <c r="J228" s="125">
        <f>(($C$39*$C$118*0.28)*H$41)*(+'Product half-life and C flows'!P129/100)</f>
        <v>0.4809762995035583</v>
      </c>
      <c r="K228" s="54">
        <f t="shared" si="60"/>
        <v>1.3434381331919276</v>
      </c>
      <c r="L228" s="26"/>
      <c r="M228" s="142">
        <f>(C$158-C$138)*(0.4*D$14)*('Product half-life and C flows'!B89/100)</f>
        <v>0.30461690306649125</v>
      </c>
      <c r="N228" s="83"/>
      <c r="O228" s="143">
        <f t="shared" si="78"/>
        <v>7.7764117579468763</v>
      </c>
      <c r="P228" s="142">
        <f t="shared" si="79"/>
        <v>4.9627394570272001</v>
      </c>
      <c r="Q228" s="142">
        <f>(C$158-C$138)*(0.6*C$15)*('Product half-life and C flows'!L89/100)</f>
        <v>5.2759736145261176</v>
      </c>
      <c r="R228" s="142">
        <f>(C$158-C$138)*0.6*('Product half-life and C flows'!N89/100)</f>
        <v>6.8285465172483804</v>
      </c>
      <c r="S228" s="142">
        <f>(C$158-C$138)*0.6*('Product half-life and C flows'!P89/100)</f>
        <v>3.4108623962279605</v>
      </c>
      <c r="T228" s="142">
        <f t="shared" si="108"/>
        <v>3.0073049602798867</v>
      </c>
      <c r="U228" s="3"/>
      <c r="V228" s="142">
        <f t="shared" si="43"/>
        <v>0.6092338061329825</v>
      </c>
      <c r="W228" s="142">
        <f t="shared" si="44"/>
        <v>0</v>
      </c>
      <c r="X228" s="142">
        <f t="shared" si="45"/>
        <v>7.7764117579468763</v>
      </c>
      <c r="Y228" s="142">
        <f t="shared" si="46"/>
        <v>4.9627394570272001</v>
      </c>
      <c r="Z228" s="142">
        <f t="shared" si="47"/>
        <v>7.1794921358310049</v>
      </c>
      <c r="AA228" s="142">
        <f t="shared" si="48"/>
        <v>5.5582651573642528</v>
      </c>
      <c r="AB228" s="142">
        <f t="shared" si="49"/>
        <v>2.7763562224596656</v>
      </c>
      <c r="AC228" s="142">
        <f t="shared" si="50"/>
        <v>4.0923105174236722</v>
      </c>
      <c r="AD228" s="40"/>
      <c r="AE228" s="142">
        <f t="shared" ref="AE228:AL228" si="121">V208</f>
        <v>1.218467612265965</v>
      </c>
      <c r="AF228" s="142">
        <f t="shared" si="121"/>
        <v>0</v>
      </c>
      <c r="AG228" s="142">
        <f t="shared" si="121"/>
        <v>7.7764117579468763</v>
      </c>
      <c r="AH228" s="142">
        <f t="shared" si="121"/>
        <v>4.9627394570272001</v>
      </c>
      <c r="AI228" s="142">
        <f t="shared" si="121"/>
        <v>9.769781104769411</v>
      </c>
      <c r="AJ228" s="142">
        <f t="shared" si="121"/>
        <v>3.8296789854260211</v>
      </c>
      <c r="AK228" s="142">
        <f t="shared" si="121"/>
        <v>1.9129265661468633</v>
      </c>
      <c r="AL228" s="142">
        <f t="shared" si="121"/>
        <v>5.5687752297185638</v>
      </c>
      <c r="AM228" s="40"/>
      <c r="AN228" s="144">
        <f t="shared" ref="AN228:AU228" si="122">AE208</f>
        <v>2.43693522453193</v>
      </c>
      <c r="AO228" s="144">
        <f t="shared" si="122"/>
        <v>68.18922502509308</v>
      </c>
      <c r="AP228" s="144">
        <f t="shared" si="122"/>
        <v>7.7764117579468763</v>
      </c>
      <c r="AQ228" s="144">
        <f t="shared" si="122"/>
        <v>4.9627394570272001</v>
      </c>
      <c r="AR228" s="144">
        <f t="shared" si="122"/>
        <v>13.294620431262789</v>
      </c>
      <c r="AS228" s="144">
        <f t="shared" si="122"/>
        <v>1.4774362082127719</v>
      </c>
      <c r="AT228" s="144">
        <f t="shared" si="122"/>
        <v>0.73798012398240365</v>
      </c>
      <c r="AU228" s="144">
        <f t="shared" si="122"/>
        <v>7.5779336458197895</v>
      </c>
      <c r="AV228" s="40"/>
      <c r="AW228" s="40"/>
      <c r="AX228" s="40"/>
      <c r="CH228">
        <f t="shared" si="72"/>
        <v>70</v>
      </c>
      <c r="CI228" s="113">
        <f t="shared" si="73"/>
        <v>144.16161434179853</v>
      </c>
      <c r="CJ228" s="124">
        <f t="shared" si="85"/>
        <v>4.6138942515464576</v>
      </c>
      <c r="CK228" s="124">
        <f t="shared" si="86"/>
        <v>68.18922502509308</v>
      </c>
      <c r="CL228" s="124">
        <f t="shared" si="87"/>
        <v>37.166270189044319</v>
      </c>
      <c r="CM228" s="124">
        <f t="shared" si="88"/>
        <v>20.605168709900763</v>
      </c>
      <c r="CN228" s="124">
        <f t="shared" si="89"/>
        <v>35.952871093974963</v>
      </c>
      <c r="CO228" s="124">
        <f t="shared" si="90"/>
        <v>18.65684141985755</v>
      </c>
      <c r="CP228" s="124">
        <f t="shared" si="91"/>
        <v>9.3191016083204516</v>
      </c>
      <c r="CQ228" s="124">
        <f t="shared" si="92"/>
        <v>21.589762486433841</v>
      </c>
      <c r="CR228" s="144">
        <f t="shared" si="111"/>
        <v>216.09313478417144</v>
      </c>
    </row>
    <row r="229" spans="1:96" ht="14">
      <c r="A229">
        <f t="shared" si="112"/>
        <v>71</v>
      </c>
      <c r="B229" s="19">
        <f t="shared" si="112"/>
        <v>151</v>
      </c>
      <c r="C229" s="26">
        <f t="shared" si="105"/>
        <v>144.61078492190234</v>
      </c>
      <c r="D229" s="125">
        <f>(($C$39*$C$118*0.72)*D$40)*('Product half-life and C flows'!B130/100)</f>
        <v>4.3120079238701772E-2</v>
      </c>
      <c r="E229" s="26"/>
      <c r="F229" s="54">
        <f t="shared" si="94"/>
        <v>6.0606231572568161</v>
      </c>
      <c r="G229" s="54">
        <f t="shared" si="94"/>
        <v>0.7542108817919595</v>
      </c>
      <c r="H229" s="125">
        <f>(H$118)*('Product half-life and C flows'!L130/100)</f>
        <v>0.42638523740636103</v>
      </c>
      <c r="I229" s="125">
        <f>(($C$39*$C$118*0.28)*H$41)*('Product half-life and C flows'!N130/100)</f>
        <v>0.96622714598085302</v>
      </c>
      <c r="J229" s="125">
        <f>(($C$39*$C$118*0.28)*H$41)*(+'Product half-life and C flows'!P130/100)</f>
        <v>0.48263094204837798</v>
      </c>
      <c r="K229" s="54">
        <f t="shared" si="60"/>
        <v>1.3434381331919276</v>
      </c>
      <c r="L229" s="26"/>
      <c r="M229" s="142">
        <f>(C$158-C$138)*(0.4*D$14)*('Product half-life and C flows'!B90/100)</f>
        <v>0.29424053307650211</v>
      </c>
      <c r="N229" s="83"/>
      <c r="O229" s="143">
        <f t="shared" si="78"/>
        <v>7.7764117579468763</v>
      </c>
      <c r="P229" s="142">
        <f t="shared" si="79"/>
        <v>4.9627394570272001</v>
      </c>
      <c r="Q229" s="142">
        <f>(C$158-C$138)*(0.6*C$15)*('Product half-life and C flows'!L90/100)</f>
        <v>5.1953290543166659</v>
      </c>
      <c r="R229" s="142">
        <f>(C$158-C$138)*0.6*('Product half-life and C flows'!N90/100)</f>
        <v>6.8823633204281549</v>
      </c>
      <c r="S229" s="142">
        <f>(C$158-C$138)*0.6*('Product half-life and C flows'!P90/100)</f>
        <v>3.4377439162977783</v>
      </c>
      <c r="T229" s="142">
        <f t="shared" si="108"/>
        <v>2.9613375609604993</v>
      </c>
      <c r="U229" s="3"/>
      <c r="V229" s="142">
        <f t="shared" si="43"/>
        <v>0.58848106615300433</v>
      </c>
      <c r="W229" s="142">
        <f t="shared" si="44"/>
        <v>0</v>
      </c>
      <c r="X229" s="142">
        <f t="shared" si="45"/>
        <v>7.7764117579468763</v>
      </c>
      <c r="Y229" s="142">
        <f t="shared" si="46"/>
        <v>4.9627394570272001</v>
      </c>
      <c r="Z229" s="142">
        <f t="shared" si="47"/>
        <v>7.0697518247295204</v>
      </c>
      <c r="AA229" s="142">
        <f t="shared" si="48"/>
        <v>5.6314985249726428</v>
      </c>
      <c r="AB229" s="142">
        <f t="shared" si="49"/>
        <v>2.8129363261601599</v>
      </c>
      <c r="AC229" s="142">
        <f t="shared" si="50"/>
        <v>4.029758540095826</v>
      </c>
      <c r="AD229" s="40"/>
      <c r="AE229" s="142">
        <f t="shared" ref="AE229:AL229" si="123">V209</f>
        <v>1.1769621323060084</v>
      </c>
      <c r="AF229" s="142">
        <f t="shared" si="123"/>
        <v>0</v>
      </c>
      <c r="AG229" s="142">
        <f t="shared" si="123"/>
        <v>7.7764117579468763</v>
      </c>
      <c r="AH229" s="142">
        <f t="shared" si="123"/>
        <v>4.9627394570272001</v>
      </c>
      <c r="AI229" s="142">
        <f t="shared" si="123"/>
        <v>9.6204475868064847</v>
      </c>
      <c r="AJ229" s="142">
        <f t="shared" si="123"/>
        <v>3.9293342197466132</v>
      </c>
      <c r="AK229" s="142">
        <f t="shared" si="123"/>
        <v>1.9627044054678384</v>
      </c>
      <c r="AL229" s="142">
        <f t="shared" si="123"/>
        <v>5.4836551244796956</v>
      </c>
      <c r="AM229" s="40"/>
      <c r="AN229" s="144">
        <f t="shared" ref="AN229:AU229" si="124">AE209</f>
        <v>2.3539242646120164</v>
      </c>
      <c r="AO229" s="144">
        <f t="shared" si="124"/>
        <v>69.912398447671976</v>
      </c>
      <c r="AP229" s="144">
        <f t="shared" si="124"/>
        <v>7.7764117579468763</v>
      </c>
      <c r="AQ229" s="144">
        <f t="shared" si="124"/>
        <v>4.9627394570272001</v>
      </c>
      <c r="AR229" s="144">
        <f t="shared" si="124"/>
        <v>13.091408873327982</v>
      </c>
      <c r="AS229" s="144">
        <f t="shared" si="124"/>
        <v>1.6130460545412677</v>
      </c>
      <c r="AT229" s="144">
        <f t="shared" si="124"/>
        <v>0.80571730996067314</v>
      </c>
      <c r="AU229" s="144">
        <f t="shared" si="124"/>
        <v>7.4621030577969494</v>
      </c>
      <c r="AV229" s="40"/>
      <c r="AW229" s="40"/>
      <c r="AX229" s="40"/>
      <c r="CH229">
        <f t="shared" si="72"/>
        <v>71</v>
      </c>
      <c r="CI229" s="113">
        <f t="shared" si="73"/>
        <v>144.61078492190234</v>
      </c>
      <c r="CJ229" s="124">
        <f t="shared" si="85"/>
        <v>4.4567280753862324</v>
      </c>
      <c r="CK229" s="124">
        <f t="shared" si="86"/>
        <v>69.912398447671976</v>
      </c>
      <c r="CL229" s="124">
        <f t="shared" si="87"/>
        <v>37.166270189044319</v>
      </c>
      <c r="CM229" s="124">
        <f t="shared" si="88"/>
        <v>20.605168709900763</v>
      </c>
      <c r="CN229" s="124">
        <f t="shared" si="89"/>
        <v>35.403322576587016</v>
      </c>
      <c r="CO229" s="124">
        <f t="shared" si="90"/>
        <v>19.022469265669532</v>
      </c>
      <c r="CP229" s="124">
        <f t="shared" si="91"/>
        <v>9.5017328999348294</v>
      </c>
      <c r="CQ229" s="124">
        <f t="shared" si="92"/>
        <v>21.280292416524897</v>
      </c>
      <c r="CR229" s="144">
        <f t="shared" si="111"/>
        <v>217.3483825807196</v>
      </c>
    </row>
    <row r="230" spans="1:96" ht="14">
      <c r="A230">
        <f t="shared" si="112"/>
        <v>72</v>
      </c>
      <c r="B230" s="19">
        <f t="shared" si="112"/>
        <v>152</v>
      </c>
      <c r="C230" s="26">
        <f t="shared" si="105"/>
        <v>145.05196585440837</v>
      </c>
      <c r="D230" s="125">
        <f>(($C$39*$C$118*0.72)*D$40)*('Product half-life and C flows'!B131/100)</f>
        <v>4.1651251042780037E-2</v>
      </c>
      <c r="E230" s="26"/>
      <c r="F230" s="54">
        <f t="shared" si="94"/>
        <v>6.0606231572568161</v>
      </c>
      <c r="G230" s="54">
        <f t="shared" si="94"/>
        <v>0.7542108817919595</v>
      </c>
      <c r="H230" s="125">
        <f>(H$118)*('Product half-life and C flows'!L131/100)</f>
        <v>0.4198678337074937</v>
      </c>
      <c r="I230" s="125">
        <f>(($C$39*$C$118*0.28)*H$41)*('Product half-life and C flows'!N131/100)</f>
        <v>0.96948910653213605</v>
      </c>
      <c r="J230" s="125">
        <f>(($C$39*$C$118*0.28)*H$41)*(+'Product half-life and C flows'!P131/100)</f>
        <v>0.48426029297309475</v>
      </c>
      <c r="K230" s="54">
        <f t="shared" si="60"/>
        <v>1.3434381331919276</v>
      </c>
      <c r="L230" s="26"/>
      <c r="M230" s="142">
        <f>(C$158-C$138)*(0.4*D$14)*('Product half-life and C flows'!B91/100)</f>
        <v>0.284217620340806</v>
      </c>
      <c r="N230" s="83"/>
      <c r="O230" s="143">
        <f t="shared" si="78"/>
        <v>7.7764117579468763</v>
      </c>
      <c r="P230" s="142">
        <f t="shared" si="79"/>
        <v>4.9627394570272001</v>
      </c>
      <c r="Q230" s="142">
        <f>(C$158-C$138)*(0.6*C$15)*('Product half-life and C flows'!L91/100)</f>
        <v>5.1159171661345075</v>
      </c>
      <c r="R230" s="142">
        <f>(C$158-C$138)*0.6*('Product half-life and C flows'!N91/100)</f>
        <v>6.9353575204750486</v>
      </c>
      <c r="S230" s="142">
        <f>(C$158-C$138)*0.6*('Product half-life and C flows'!P91/100)</f>
        <v>3.4642145456918314</v>
      </c>
      <c r="T230" s="142">
        <f t="shared" si="108"/>
        <v>2.9160727846966692</v>
      </c>
      <c r="U230" s="3"/>
      <c r="V230" s="142">
        <f t="shared" si="43"/>
        <v>0.56843524068161189</v>
      </c>
      <c r="W230" s="142">
        <f t="shared" si="44"/>
        <v>0</v>
      </c>
      <c r="X230" s="142">
        <f t="shared" si="45"/>
        <v>7.7764117579468763</v>
      </c>
      <c r="Y230" s="142">
        <f t="shared" si="46"/>
        <v>4.9627394570272001</v>
      </c>
      <c r="Z230" s="142">
        <f t="shared" si="47"/>
        <v>6.9616889213962736</v>
      </c>
      <c r="AA230" s="142">
        <f t="shared" si="48"/>
        <v>5.7036125024636961</v>
      </c>
      <c r="AB230" s="142">
        <f t="shared" si="49"/>
        <v>2.8489572939379091</v>
      </c>
      <c r="AC230" s="142">
        <f t="shared" si="50"/>
        <v>3.9681626851958756</v>
      </c>
      <c r="AD230" s="40"/>
      <c r="AE230" s="142">
        <f t="shared" ref="AE230:AL230" si="125">V210</f>
        <v>1.136870481363224</v>
      </c>
      <c r="AF230" s="142">
        <f t="shared" si="125"/>
        <v>0</v>
      </c>
      <c r="AG230" s="142">
        <f t="shared" si="125"/>
        <v>7.7764117579468763</v>
      </c>
      <c r="AH230" s="142">
        <f t="shared" si="125"/>
        <v>4.9627394570272001</v>
      </c>
      <c r="AI230" s="142">
        <f t="shared" si="125"/>
        <v>9.4733966685607935</v>
      </c>
      <c r="AJ230" s="142">
        <f t="shared" si="125"/>
        <v>4.027466199189238</v>
      </c>
      <c r="AK230" s="142">
        <f t="shared" si="125"/>
        <v>2.0117213782164023</v>
      </c>
      <c r="AL230" s="142">
        <f t="shared" si="125"/>
        <v>5.3998361010796518</v>
      </c>
      <c r="AM230" s="40"/>
      <c r="AN230" s="144">
        <f t="shared" ref="AN230:AU230" si="126">AE210</f>
        <v>2.2737409627264475</v>
      </c>
      <c r="AO230" s="144">
        <f t="shared" si="126"/>
        <v>71.635571870250871</v>
      </c>
      <c r="AP230" s="144">
        <f t="shared" si="126"/>
        <v>7.7764117579468763</v>
      </c>
      <c r="AQ230" s="144">
        <f t="shared" si="126"/>
        <v>4.9627394570272001</v>
      </c>
      <c r="AR230" s="144">
        <f t="shared" si="126"/>
        <v>12.891303454262784</v>
      </c>
      <c r="AS230" s="144">
        <f t="shared" si="126"/>
        <v>1.7465830708641092</v>
      </c>
      <c r="AT230" s="144">
        <f t="shared" si="126"/>
        <v>0.87241911631573887</v>
      </c>
      <c r="AU230" s="144">
        <f t="shared" si="126"/>
        <v>7.3480429689297866</v>
      </c>
      <c r="AV230" s="40"/>
      <c r="AW230" s="40"/>
      <c r="AX230" s="40"/>
      <c r="CH230">
        <f t="shared" si="72"/>
        <v>72</v>
      </c>
      <c r="CI230" s="113">
        <f t="shared" si="73"/>
        <v>145.05196585440837</v>
      </c>
      <c r="CJ230" s="124">
        <f t="shared" si="85"/>
        <v>4.3049155561548691</v>
      </c>
      <c r="CK230" s="124">
        <f t="shared" si="86"/>
        <v>71.635571870250871</v>
      </c>
      <c r="CL230" s="124">
        <f t="shared" si="87"/>
        <v>37.166270189044319</v>
      </c>
      <c r="CM230" s="124">
        <f t="shared" si="88"/>
        <v>20.605168709900763</v>
      </c>
      <c r="CN230" s="124">
        <f t="shared" si="89"/>
        <v>34.862174044061852</v>
      </c>
      <c r="CO230" s="124">
        <f t="shared" si="90"/>
        <v>19.382508399524227</v>
      </c>
      <c r="CP230" s="124">
        <f t="shared" si="91"/>
        <v>9.681572627134976</v>
      </c>
      <c r="CQ230" s="124">
        <f t="shared" si="92"/>
        <v>20.975552673093912</v>
      </c>
      <c r="CR230" s="144">
        <f t="shared" si="111"/>
        <v>218.61373406916579</v>
      </c>
    </row>
    <row r="231" spans="1:96" ht="14">
      <c r="A231">
        <f t="shared" si="112"/>
        <v>73</v>
      </c>
      <c r="B231" s="19">
        <f t="shared" si="112"/>
        <v>153</v>
      </c>
      <c r="C231" s="26">
        <f t="shared" si="105"/>
        <v>145.485280760981</v>
      </c>
      <c r="D231" s="125">
        <f>(($C$39*$C$118*0.72)*D$40)*('Product half-life and C flows'!B132/100)</f>
        <v>4.0232456527390069E-2</v>
      </c>
      <c r="E231" s="26"/>
      <c r="F231" s="54">
        <f t="shared" si="94"/>
        <v>6.0606231572568161</v>
      </c>
      <c r="G231" s="54">
        <f t="shared" si="94"/>
        <v>0.7542108817919595</v>
      </c>
      <c r="H231" s="125">
        <f>(H$118)*('Product half-life and C flows'!L132/100)</f>
        <v>0.41345005013438946</v>
      </c>
      <c r="I231" s="125">
        <f>(($C$39*$C$118*0.28)*H$41)*('Product half-life and C flows'!N132/100)</f>
        <v>0.97270120721047471</v>
      </c>
      <c r="J231" s="125">
        <f>(($C$39*$C$118*0.28)*H$41)*(+'Product half-life and C flows'!P132/100)</f>
        <v>0.48586473886637083</v>
      </c>
      <c r="K231" s="54">
        <f t="shared" si="60"/>
        <v>1.3434381331919276</v>
      </c>
      <c r="L231" s="26"/>
      <c r="M231" s="142">
        <f>(C$158-C$138)*(0.4*D$14)*('Product half-life and C flows'!B92/100)</f>
        <v>0.27453612480775363</v>
      </c>
      <c r="N231" s="83"/>
      <c r="O231" s="143">
        <f t="shared" si="78"/>
        <v>7.7764117579468763</v>
      </c>
      <c r="P231" s="142">
        <f t="shared" si="79"/>
        <v>4.9627394570272001</v>
      </c>
      <c r="Q231" s="142">
        <f>(C$158-C$138)*(0.6*C$15)*('Product half-life and C flows'!L92/100)</f>
        <v>5.0377191082831567</v>
      </c>
      <c r="R231" s="142">
        <f>(C$158-C$138)*0.6*('Product half-life and C flows'!N92/100)</f>
        <v>6.9875416910811827</v>
      </c>
      <c r="S231" s="142">
        <f>(C$158-C$138)*0.6*('Product half-life and C flows'!P92/100)</f>
        <v>3.4902805649756155</v>
      </c>
      <c r="T231" s="142">
        <f t="shared" si="108"/>
        <v>2.871499891721399</v>
      </c>
      <c r="U231" s="3"/>
      <c r="V231" s="142">
        <f t="shared" si="43"/>
        <v>0.54907224961550738</v>
      </c>
      <c r="W231" s="142">
        <f t="shared" si="44"/>
        <v>0</v>
      </c>
      <c r="X231" s="142">
        <f t="shared" si="45"/>
        <v>7.7764117579468763</v>
      </c>
      <c r="Y231" s="142">
        <f t="shared" si="46"/>
        <v>4.9627394570272001</v>
      </c>
      <c r="Z231" s="142">
        <f t="shared" si="47"/>
        <v>6.8552777862390979</v>
      </c>
      <c r="AA231" s="142">
        <f t="shared" si="48"/>
        <v>5.7746241999919183</v>
      </c>
      <c r="AB231" s="142">
        <f t="shared" si="49"/>
        <v>2.8844276723236346</v>
      </c>
      <c r="AC231" s="142">
        <f t="shared" si="50"/>
        <v>3.9075083381562856</v>
      </c>
      <c r="AD231" s="40"/>
      <c r="AE231" s="142">
        <f t="shared" ref="AE231:AL231" si="127">V211</f>
        <v>1.0981444992310145</v>
      </c>
      <c r="AF231" s="142">
        <f t="shared" si="127"/>
        <v>0</v>
      </c>
      <c r="AG231" s="142">
        <f t="shared" si="127"/>
        <v>7.7764117579468763</v>
      </c>
      <c r="AH231" s="142">
        <f t="shared" si="127"/>
        <v>4.9627394570272001</v>
      </c>
      <c r="AI231" s="142">
        <f t="shared" si="127"/>
        <v>9.3285934599317049</v>
      </c>
      <c r="AJ231" s="142">
        <f t="shared" si="127"/>
        <v>4.1240982070810492</v>
      </c>
      <c r="AK231" s="142">
        <f t="shared" si="127"/>
        <v>2.0599891144260982</v>
      </c>
      <c r="AL231" s="142">
        <f t="shared" si="127"/>
        <v>5.3172982721610715</v>
      </c>
      <c r="AM231" s="40"/>
      <c r="AN231" s="144">
        <f t="shared" ref="AN231:AU231" si="128">AE211</f>
        <v>2.1962889984620291</v>
      </c>
      <c r="AO231" s="144">
        <f t="shared" si="128"/>
        <v>73.358745292829767</v>
      </c>
      <c r="AP231" s="144">
        <f t="shared" si="128"/>
        <v>7.7764117579468763</v>
      </c>
      <c r="AQ231" s="144">
        <f t="shared" si="128"/>
        <v>4.9627394570272001</v>
      </c>
      <c r="AR231" s="144">
        <f t="shared" si="128"/>
        <v>12.694256695967157</v>
      </c>
      <c r="AS231" s="144">
        <f t="shared" si="128"/>
        <v>1.8780789409000571</v>
      </c>
      <c r="AT231" s="144">
        <f t="shared" si="128"/>
        <v>0.93810136908094788</v>
      </c>
      <c r="AU231" s="144">
        <f t="shared" si="128"/>
        <v>7.2357263167012791</v>
      </c>
      <c r="AV231" s="40"/>
      <c r="AW231" s="40"/>
      <c r="AX231" s="40"/>
      <c r="CH231">
        <f t="shared" si="72"/>
        <v>73</v>
      </c>
      <c r="CI231" s="113">
        <f t="shared" si="73"/>
        <v>145.485280760981</v>
      </c>
      <c r="CJ231" s="124">
        <f t="shared" si="85"/>
        <v>4.158274328643695</v>
      </c>
      <c r="CK231" s="124">
        <f t="shared" si="86"/>
        <v>73.358745292829767</v>
      </c>
      <c r="CL231" s="124">
        <f t="shared" si="87"/>
        <v>37.166270189044319</v>
      </c>
      <c r="CM231" s="124">
        <f t="shared" si="88"/>
        <v>20.605168709900763</v>
      </c>
      <c r="CN231" s="124">
        <f t="shared" si="89"/>
        <v>34.329297100555507</v>
      </c>
      <c r="CO231" s="124">
        <f t="shared" si="90"/>
        <v>19.737044246264684</v>
      </c>
      <c r="CP231" s="124">
        <f t="shared" si="91"/>
        <v>9.8586634596726679</v>
      </c>
      <c r="CQ231" s="124">
        <f t="shared" si="92"/>
        <v>20.675470951931963</v>
      </c>
      <c r="CR231" s="144">
        <f t="shared" si="111"/>
        <v>219.88893427884335</v>
      </c>
    </row>
    <row r="232" spans="1:96" ht="14">
      <c r="A232">
        <f t="shared" si="112"/>
        <v>74</v>
      </c>
      <c r="B232" s="19">
        <f t="shared" si="112"/>
        <v>154</v>
      </c>
      <c r="C232" s="26">
        <f t="shared" si="105"/>
        <v>145.9108521200458</v>
      </c>
      <c r="D232" s="125">
        <f>(($C$39*$C$118*0.72)*D$40)*('Product half-life and C flows'!B133/100)</f>
        <v>3.8861991361695609E-2</v>
      </c>
      <c r="E232" s="26"/>
      <c r="F232" s="54">
        <f t="shared" ref="F232:G238" si="129">F231</f>
        <v>6.0606231572568161</v>
      </c>
      <c r="G232" s="54">
        <f t="shared" si="129"/>
        <v>0.7542108817919595</v>
      </c>
      <c r="H232" s="125">
        <f>(H$118)*('Product half-life and C flows'!L133/100)</f>
        <v>0.40713036396881358</v>
      </c>
      <c r="I232" s="125">
        <f>(($C$39*$C$118*0.28)*H$41)*('Product half-life and C flows'!N133/100)</f>
        <v>0.9758642101363455</v>
      </c>
      <c r="J232" s="125">
        <f>(($C$39*$C$118*0.28)*H$41)*(+'Product half-life and C flows'!P133/100)</f>
        <v>0.4874446604077648</v>
      </c>
      <c r="K232" s="54">
        <f t="shared" si="60"/>
        <v>1.3434381331919276</v>
      </c>
      <c r="L232" s="26"/>
      <c r="M232" s="142">
        <f>(C$158-C$138)*(0.4*D$14)*('Product half-life and C flows'!B93/100)</f>
        <v>0.26518441655405484</v>
      </c>
      <c r="N232" s="83"/>
      <c r="O232" s="143">
        <f t="shared" si="78"/>
        <v>7.7764117579468763</v>
      </c>
      <c r="P232" s="142">
        <f t="shared" si="79"/>
        <v>4.9627394570272001</v>
      </c>
      <c r="Q232" s="142">
        <f>(C$158-C$138)*(0.6*C$15)*('Product half-life and C flows'!L93/100)</f>
        <v>4.9607163270661125</v>
      </c>
      <c r="R232" s="142">
        <f>(C$158-C$138)*0.6*('Product half-life and C flows'!N93/100)</f>
        <v>7.03892821374669</v>
      </c>
      <c r="S232" s="142">
        <f>(C$158-C$138)*0.6*('Product half-life and C flows'!P93/100)</f>
        <v>3.5159481587146297</v>
      </c>
      <c r="T232" s="142">
        <f t="shared" si="108"/>
        <v>2.8276083064276838</v>
      </c>
      <c r="U232" s="3"/>
      <c r="V232" s="142">
        <f t="shared" si="43"/>
        <v>0.53036883310810956</v>
      </c>
      <c r="W232" s="142">
        <f t="shared" si="44"/>
        <v>0</v>
      </c>
      <c r="X232" s="142">
        <f t="shared" si="45"/>
        <v>7.7764117579468763</v>
      </c>
      <c r="Y232" s="142">
        <f t="shared" si="46"/>
        <v>4.9627394570272001</v>
      </c>
      <c r="Z232" s="142">
        <f t="shared" si="47"/>
        <v>6.7504931715733285</v>
      </c>
      <c r="AA232" s="142">
        <f t="shared" si="48"/>
        <v>5.8445504661788741</v>
      </c>
      <c r="AB232" s="142">
        <f t="shared" si="49"/>
        <v>2.9193558772122241</v>
      </c>
      <c r="AC232" s="142">
        <f t="shared" si="50"/>
        <v>3.8477811077967967</v>
      </c>
      <c r="AD232" s="40"/>
      <c r="AE232" s="142">
        <f t="shared" ref="AE232:AL232" si="130">V212</f>
        <v>1.0607376662162191</v>
      </c>
      <c r="AF232" s="142">
        <f t="shared" si="130"/>
        <v>0</v>
      </c>
      <c r="AG232" s="142">
        <f t="shared" si="130"/>
        <v>7.7764117579468763</v>
      </c>
      <c r="AH232" s="142">
        <f t="shared" si="130"/>
        <v>4.9627394570272001</v>
      </c>
      <c r="AI232" s="142">
        <f t="shared" si="130"/>
        <v>9.1860036041224014</v>
      </c>
      <c r="AJ232" s="142">
        <f t="shared" si="130"/>
        <v>4.2192531708577921</v>
      </c>
      <c r="AK232" s="142">
        <f t="shared" si="130"/>
        <v>2.1075190663625332</v>
      </c>
      <c r="AL232" s="142">
        <f t="shared" si="130"/>
        <v>5.2360220543497684</v>
      </c>
      <c r="AM232" s="40"/>
      <c r="AN232" s="144">
        <f t="shared" ref="AN232:AU232" si="131">AE212</f>
        <v>2.1214753324324382</v>
      </c>
      <c r="AO232" s="144">
        <f t="shared" si="131"/>
        <v>75.081918715408662</v>
      </c>
      <c r="AP232" s="144">
        <f t="shared" si="131"/>
        <v>7.7764117579468763</v>
      </c>
      <c r="AQ232" s="144">
        <f t="shared" si="131"/>
        <v>4.9627394570272001</v>
      </c>
      <c r="AR232" s="144">
        <f t="shared" si="131"/>
        <v>12.500221846055549</v>
      </c>
      <c r="AS232" s="144">
        <f t="shared" si="131"/>
        <v>2.0075648640744035</v>
      </c>
      <c r="AT232" s="144">
        <f t="shared" si="131"/>
        <v>1.0027796523848169</v>
      </c>
      <c r="AU232" s="144">
        <f t="shared" si="131"/>
        <v>7.1251264522516626</v>
      </c>
      <c r="AV232" s="40"/>
      <c r="AW232" s="40"/>
      <c r="AX232" s="40"/>
      <c r="CH232">
        <f t="shared" si="72"/>
        <v>74</v>
      </c>
      <c r="CI232" s="113">
        <f t="shared" si="73"/>
        <v>145.9108521200458</v>
      </c>
      <c r="CJ232" s="124">
        <f t="shared" si="85"/>
        <v>4.0166282396725173</v>
      </c>
      <c r="CK232" s="124">
        <f t="shared" si="86"/>
        <v>75.081918715408662</v>
      </c>
      <c r="CL232" s="124">
        <f t="shared" si="87"/>
        <v>37.166270189044319</v>
      </c>
      <c r="CM232" s="124">
        <f t="shared" si="88"/>
        <v>20.605168709900763</v>
      </c>
      <c r="CN232" s="124">
        <f t="shared" si="89"/>
        <v>33.80456531278621</v>
      </c>
      <c r="CO232" s="124">
        <f t="shared" si="90"/>
        <v>20.086160924994104</v>
      </c>
      <c r="CP232" s="124">
        <f t="shared" si="91"/>
        <v>10.033047415081969</v>
      </c>
      <c r="CQ232" s="124">
        <f t="shared" si="92"/>
        <v>20.379976054017838</v>
      </c>
      <c r="CR232" s="144">
        <f t="shared" si="111"/>
        <v>221.17373556090638</v>
      </c>
    </row>
    <row r="233" spans="1:96" ht="14">
      <c r="A233">
        <f t="shared" si="112"/>
        <v>75</v>
      </c>
      <c r="B233" s="19">
        <f t="shared" si="112"/>
        <v>155</v>
      </c>
      <c r="C233" s="26">
        <f t="shared" si="105"/>
        <v>146.32880124126649</v>
      </c>
      <c r="D233" s="125">
        <f>(($C$39*$C$118*0.72)*D$40)*('Product half-life and C flows'!B134/100)</f>
        <v>3.7538209270625317E-2</v>
      </c>
      <c r="E233" s="26"/>
      <c r="F233" s="54">
        <f t="shared" si="129"/>
        <v>6.0606231572568161</v>
      </c>
      <c r="G233" s="54">
        <f t="shared" si="129"/>
        <v>0.7542108817919595</v>
      </c>
      <c r="H233" s="125">
        <f>(H$118)*('Product half-life and C flows'!L134/100)</f>
        <v>0.40090727576765534</v>
      </c>
      <c r="I233" s="125">
        <f>(($C$39*$C$118*0.28)*H$41)*('Product half-life and C flows'!N134/100)</f>
        <v>0.97897886578102511</v>
      </c>
      <c r="J233" s="125">
        <f>(($C$39*$C$118*0.28)*H$41)*(+'Product half-life and C flows'!P134/100)</f>
        <v>0.48900043245805436</v>
      </c>
      <c r="K233" s="54">
        <f t="shared" si="60"/>
        <v>1.3434381331919276</v>
      </c>
      <c r="L233" s="26"/>
      <c r="M233" s="142">
        <f>(C$158-C$138)*(0.4*D$14)*('Product half-life and C flows'!B94/100)</f>
        <v>0.25615126181430076</v>
      </c>
      <c r="N233" s="83"/>
      <c r="O233" s="143">
        <f t="shared" si="78"/>
        <v>7.7764117579468763</v>
      </c>
      <c r="P233" s="142">
        <f t="shared" si="79"/>
        <v>4.9627394570272001</v>
      </c>
      <c r="Q233" s="142">
        <f>(C$158-C$138)*(0.6*C$15)*('Product half-life and C flows'!L94/100)</f>
        <v>4.8848905523847055</v>
      </c>
      <c r="R233" s="142">
        <f>(C$158-C$138)*0.6*('Product half-life and C flows'!N94/100)</f>
        <v>7.0895292807174144</v>
      </c>
      <c r="S233" s="142">
        <f>(C$158-C$138)*0.6*('Product half-life and C flows'!P94/100)</f>
        <v>3.5412234169417656</v>
      </c>
      <c r="T233" s="142">
        <f t="shared" si="108"/>
        <v>2.7843876148592819</v>
      </c>
      <c r="U233" s="3"/>
      <c r="V233" s="142">
        <f t="shared" si="43"/>
        <v>0.5123025236286014</v>
      </c>
      <c r="W233" s="142">
        <f t="shared" si="44"/>
        <v>0</v>
      </c>
      <c r="X233" s="142">
        <f t="shared" si="45"/>
        <v>7.7764117579468763</v>
      </c>
      <c r="Y233" s="142">
        <f t="shared" si="46"/>
        <v>4.9627394570272001</v>
      </c>
      <c r="Z233" s="142">
        <f t="shared" si="47"/>
        <v>6.6473102156313946</v>
      </c>
      <c r="AA233" s="142">
        <f t="shared" si="48"/>
        <v>5.9134078921107918</v>
      </c>
      <c r="AB233" s="142">
        <f t="shared" si="49"/>
        <v>2.9537501958595356</v>
      </c>
      <c r="AC233" s="142">
        <f t="shared" si="50"/>
        <v>3.7889668229098947</v>
      </c>
      <c r="AD233" s="40"/>
      <c r="AE233" s="142">
        <f t="shared" ref="AE233:AL233" si="132">V213</f>
        <v>1.024605047257203</v>
      </c>
      <c r="AF233" s="142">
        <f t="shared" si="132"/>
        <v>0</v>
      </c>
      <c r="AG233" s="142">
        <f t="shared" si="132"/>
        <v>7.7764117579468763</v>
      </c>
      <c r="AH233" s="142">
        <f t="shared" si="132"/>
        <v>4.9627394570272001</v>
      </c>
      <c r="AI233" s="142">
        <f t="shared" si="132"/>
        <v>9.0455932694881849</v>
      </c>
      <c r="AJ233" s="142">
        <f t="shared" si="132"/>
        <v>4.3129536675036926</v>
      </c>
      <c r="AK233" s="142">
        <f t="shared" si="132"/>
        <v>2.1543225112406055</v>
      </c>
      <c r="AL233" s="142">
        <f t="shared" si="132"/>
        <v>5.1559881636082645</v>
      </c>
      <c r="AM233" s="40"/>
      <c r="AN233" s="144">
        <f t="shared" ref="AN233:AU233" si="133">AE213</f>
        <v>2.0492100945144056</v>
      </c>
      <c r="AO233" s="144">
        <f t="shared" si="133"/>
        <v>76.805092137987558</v>
      </c>
      <c r="AP233" s="144">
        <f t="shared" si="133"/>
        <v>7.7764117579468763</v>
      </c>
      <c r="AQ233" s="144">
        <f t="shared" si="133"/>
        <v>4.9627394570272001</v>
      </c>
      <c r="AR233" s="144">
        <f t="shared" si="133"/>
        <v>12.309152866764171</v>
      </c>
      <c r="AS233" s="144">
        <f t="shared" si="133"/>
        <v>2.1350715629215169</v>
      </c>
      <c r="AT233" s="144">
        <f t="shared" si="133"/>
        <v>1.0664693121486097</v>
      </c>
      <c r="AU233" s="144">
        <f t="shared" si="133"/>
        <v>7.0162171340555766</v>
      </c>
      <c r="AV233" s="40"/>
      <c r="AW233" s="40"/>
      <c r="AX233" s="40"/>
      <c r="CH233">
        <f t="shared" si="72"/>
        <v>75</v>
      </c>
      <c r="CI233" s="113">
        <f t="shared" si="73"/>
        <v>146.32880124126649</v>
      </c>
      <c r="CJ233" s="124">
        <f t="shared" si="85"/>
        <v>3.8798071364851361</v>
      </c>
      <c r="CK233" s="124">
        <f t="shared" si="86"/>
        <v>76.805092137987558</v>
      </c>
      <c r="CL233" s="124">
        <f t="shared" si="87"/>
        <v>37.166270189044319</v>
      </c>
      <c r="CM233" s="124">
        <f t="shared" si="88"/>
        <v>20.605168709900763</v>
      </c>
      <c r="CN233" s="124">
        <f t="shared" si="89"/>
        <v>33.287854180036113</v>
      </c>
      <c r="CO233" s="124">
        <f t="shared" si="90"/>
        <v>20.42994126903444</v>
      </c>
      <c r="CP233" s="124">
        <f t="shared" si="91"/>
        <v>10.204765868648572</v>
      </c>
      <c r="CQ233" s="124">
        <f t="shared" si="92"/>
        <v>20.088997868624947</v>
      </c>
      <c r="CR233" s="144">
        <f t="shared" si="111"/>
        <v>222.46789735976182</v>
      </c>
    </row>
    <row r="234" spans="1:96" ht="14">
      <c r="A234">
        <f t="shared" si="112"/>
        <v>76</v>
      </c>
      <c r="B234" s="19">
        <f t="shared" si="112"/>
        <v>156</v>
      </c>
      <c r="C234" s="26">
        <f t="shared" si="105"/>
        <v>146.73924824224071</v>
      </c>
      <c r="D234" s="125">
        <f>(($C$39*$C$118*0.72)*D$40)*('Product half-life and C flows'!B135/100)</f>
        <v>3.6259520057280441E-2</v>
      </c>
      <c r="E234" s="26"/>
      <c r="F234" s="54">
        <f t="shared" si="129"/>
        <v>6.0606231572568161</v>
      </c>
      <c r="G234" s="54">
        <f t="shared" si="129"/>
        <v>0.7542108817919595</v>
      </c>
      <c r="H234" s="125">
        <f>(H$118)*('Product half-life and C flows'!L135/100)</f>
        <v>0.39477930900716252</v>
      </c>
      <c r="I234" s="125">
        <f>(($C$39*$C$118*0.28)*H$41)*('Product half-life and C flows'!N135/100)</f>
        <v>0.98204591314465184</v>
      </c>
      <c r="J234" s="125">
        <f>(($C$39*$C$118*0.28)*H$41)*(+'Product half-life and C flows'!P135/100)</f>
        <v>0.4905324241481776</v>
      </c>
      <c r="K234" s="54">
        <f t="shared" si="60"/>
        <v>1.3434381331919276</v>
      </c>
      <c r="L234" s="26"/>
      <c r="M234" s="142">
        <f>(C$158-C$138)*(0.4*D$14)*('Product half-life and C flows'!B95/100)</f>
        <v>0.24742580948637261</v>
      </c>
      <c r="N234" s="83"/>
      <c r="O234" s="143">
        <f t="shared" si="78"/>
        <v>7.7764117579468763</v>
      </c>
      <c r="P234" s="142">
        <f t="shared" si="79"/>
        <v>4.9627394570272001</v>
      </c>
      <c r="Q234" s="142">
        <f>(C$158-C$138)*(0.6*C$15)*('Product half-life and C flows'!L95/100)</f>
        <v>4.8102237934032424</v>
      </c>
      <c r="R234" s="142">
        <f>(C$158-C$138)*0.6*('Product half-life and C flows'!N95/100)</f>
        <v>7.1393568978777102</v>
      </c>
      <c r="S234" s="142">
        <f>(C$158-C$138)*0.6*('Product half-life and C flows'!P95/100)</f>
        <v>3.5661123366022531</v>
      </c>
      <c r="T234" s="142">
        <f t="shared" si="108"/>
        <v>2.7418275622398478</v>
      </c>
      <c r="U234" s="3"/>
      <c r="V234" s="142">
        <f t="shared" si="43"/>
        <v>0.49485161897274532</v>
      </c>
      <c r="W234" s="142">
        <f t="shared" si="44"/>
        <v>0</v>
      </c>
      <c r="X234" s="142">
        <f t="shared" si="45"/>
        <v>7.7764117579468763</v>
      </c>
      <c r="Y234" s="142">
        <f t="shared" si="46"/>
        <v>4.9627394570272001</v>
      </c>
      <c r="Z234" s="142">
        <f t="shared" si="47"/>
        <v>6.5457044366639909</v>
      </c>
      <c r="AA234" s="142">
        <f t="shared" si="48"/>
        <v>5.9812128152750397</v>
      </c>
      <c r="AB234" s="142">
        <f t="shared" si="49"/>
        <v>2.9876187888486698</v>
      </c>
      <c r="AC234" s="142">
        <f t="shared" si="50"/>
        <v>3.7310515288984747</v>
      </c>
      <c r="AD234" s="40"/>
      <c r="AE234" s="142">
        <f t="shared" ref="AE234:AL234" si="134">V214</f>
        <v>0.98970323794549042</v>
      </c>
      <c r="AF234" s="142">
        <f t="shared" si="134"/>
        <v>0</v>
      </c>
      <c r="AG234" s="142">
        <f t="shared" si="134"/>
        <v>7.7764117579468763</v>
      </c>
      <c r="AH234" s="142">
        <f t="shared" si="134"/>
        <v>4.9627394570272001</v>
      </c>
      <c r="AI234" s="142">
        <f t="shared" si="134"/>
        <v>8.9073291415094129</v>
      </c>
      <c r="AJ234" s="142">
        <f t="shared" si="134"/>
        <v>4.4052219289081931</v>
      </c>
      <c r="AK234" s="142">
        <f t="shared" si="134"/>
        <v>2.2004105539001961</v>
      </c>
      <c r="AL234" s="142">
        <f t="shared" si="134"/>
        <v>5.0771776106603648</v>
      </c>
      <c r="AM234" s="40"/>
      <c r="AN234" s="144">
        <f t="shared" ref="AN234:AU234" si="135">AE214</f>
        <v>1.9794064758909808</v>
      </c>
      <c r="AO234" s="144">
        <f t="shared" si="135"/>
        <v>78.528265560566453</v>
      </c>
      <c r="AP234" s="144">
        <f t="shared" si="135"/>
        <v>7.7764117579468763</v>
      </c>
      <c r="AQ234" s="144">
        <f t="shared" si="135"/>
        <v>4.9627394570272001</v>
      </c>
      <c r="AR234" s="144">
        <f t="shared" si="135"/>
        <v>12.121004424027827</v>
      </c>
      <c r="AS234" s="144">
        <f t="shared" si="135"/>
        <v>2.2606292903742373</v>
      </c>
      <c r="AT234" s="144">
        <f t="shared" si="135"/>
        <v>1.1291854597273911</v>
      </c>
      <c r="AU234" s="144">
        <f t="shared" si="135"/>
        <v>6.9089725216958611</v>
      </c>
      <c r="AV234" s="40"/>
      <c r="AW234" s="40"/>
      <c r="AX234" s="40"/>
      <c r="CH234">
        <f t="shared" si="72"/>
        <v>76</v>
      </c>
      <c r="CI234" s="113">
        <f t="shared" si="73"/>
        <v>146.73924824224071</v>
      </c>
      <c r="CJ234" s="124">
        <f t="shared" si="85"/>
        <v>3.7476466623528699</v>
      </c>
      <c r="CK234" s="124">
        <f t="shared" si="86"/>
        <v>78.528265560566453</v>
      </c>
      <c r="CL234" s="124">
        <f t="shared" si="87"/>
        <v>37.166270189044319</v>
      </c>
      <c r="CM234" s="124">
        <f t="shared" si="88"/>
        <v>20.605168709900763</v>
      </c>
      <c r="CN234" s="124">
        <f t="shared" si="89"/>
        <v>32.779041104611636</v>
      </c>
      <c r="CO234" s="124">
        <f t="shared" si="90"/>
        <v>20.76846684557983</v>
      </c>
      <c r="CP234" s="124">
        <f t="shared" si="91"/>
        <v>10.37385956322669</v>
      </c>
      <c r="CQ234" s="124">
        <f t="shared" si="92"/>
        <v>19.802467356686478</v>
      </c>
      <c r="CR234" s="144">
        <f t="shared" si="111"/>
        <v>223.77118599196905</v>
      </c>
    </row>
    <row r="235" spans="1:96" ht="14">
      <c r="A235">
        <f t="shared" si="112"/>
        <v>77</v>
      </c>
      <c r="B235" s="19">
        <f t="shared" si="112"/>
        <v>157</v>
      </c>
      <c r="C235" s="26">
        <f t="shared" si="105"/>
        <v>147.14231202731511</v>
      </c>
      <c r="D235" s="125">
        <f>(($C$39*$C$118*0.72)*D$40)*('Product half-life and C flows'!B136/100)</f>
        <v>3.5024387692706285E-2</v>
      </c>
      <c r="E235" s="26"/>
      <c r="F235" s="54">
        <f t="shared" si="129"/>
        <v>6.0606231572568161</v>
      </c>
      <c r="G235" s="54">
        <f t="shared" si="129"/>
        <v>0.7542108817919595</v>
      </c>
      <c r="H235" s="125">
        <f>(H$118)*('Product half-life and C flows'!L136/100)</f>
        <v>0.38874500973261356</v>
      </c>
      <c r="I235" s="125">
        <f>(($C$39*$C$118*0.28)*H$41)*('Product half-life and C flows'!N136/100)</f>
        <v>0.98506607993156359</v>
      </c>
      <c r="J235" s="125">
        <f>(($C$39*$C$118*0.28)*H$41)*(+'Product half-life and C flows'!P136/100)</f>
        <v>0.4920409989668148</v>
      </c>
      <c r="K235" s="54">
        <f t="shared" si="60"/>
        <v>1.3434381331919276</v>
      </c>
      <c r="L235" s="26"/>
      <c r="M235" s="142">
        <f>(C$158-C$138)*(0.4*D$14)*('Product half-life and C flows'!B96/100)</f>
        <v>0.23899757809652497</v>
      </c>
      <c r="N235" s="83"/>
      <c r="O235" s="143">
        <f t="shared" si="78"/>
        <v>7.7764117579468763</v>
      </c>
      <c r="P235" s="142">
        <f t="shared" si="79"/>
        <v>4.9627394570272001</v>
      </c>
      <c r="Q235" s="142">
        <f>(C$158-C$138)*(0.6*C$15)*('Product half-life and C flows'!L96/100)</f>
        <v>4.7366983342803968</v>
      </c>
      <c r="R235" s="142">
        <f>(C$158-C$138)*0.6*('Product half-life and C flows'!N96/100)</f>
        <v>7.1884228875990228</v>
      </c>
      <c r="S235" s="142">
        <f>(C$158-C$138)*0.6*('Product half-life and C flows'!P96/100)</f>
        <v>3.5906208229765353</v>
      </c>
      <c r="T235" s="142">
        <f t="shared" si="108"/>
        <v>2.6999180505398259</v>
      </c>
      <c r="U235" s="3"/>
      <c r="V235" s="142">
        <f t="shared" si="43"/>
        <v>0.47799515619304994</v>
      </c>
      <c r="W235" s="142">
        <f t="shared" si="44"/>
        <v>0</v>
      </c>
      <c r="X235" s="142">
        <f t="shared" si="45"/>
        <v>7.7764117579468763</v>
      </c>
      <c r="Y235" s="142">
        <f t="shared" si="46"/>
        <v>4.9627394570272001</v>
      </c>
      <c r="Z235" s="142">
        <f t="shared" si="47"/>
        <v>6.4456517271313922</v>
      </c>
      <c r="AA235" s="142">
        <f t="shared" si="48"/>
        <v>6.0479813234364608</v>
      </c>
      <c r="AB235" s="142">
        <f t="shared" si="49"/>
        <v>3.020969692026203</v>
      </c>
      <c r="AC235" s="142">
        <f t="shared" si="50"/>
        <v>3.6740214844648933</v>
      </c>
      <c r="AD235" s="40"/>
      <c r="AE235" s="142">
        <f t="shared" ref="AE235:AL235" si="136">V215</f>
        <v>0.95599031238609988</v>
      </c>
      <c r="AF235" s="142">
        <f t="shared" si="136"/>
        <v>0</v>
      </c>
      <c r="AG235" s="142">
        <f t="shared" si="136"/>
        <v>7.7764117579468763</v>
      </c>
      <c r="AH235" s="142">
        <f t="shared" si="136"/>
        <v>4.9627394570272001</v>
      </c>
      <c r="AI235" s="142">
        <f t="shared" si="136"/>
        <v>8.7711784148871015</v>
      </c>
      <c r="AJ235" s="142">
        <f t="shared" si="136"/>
        <v>4.4960798471408161</v>
      </c>
      <c r="AK235" s="142">
        <f t="shared" si="136"/>
        <v>2.2457941294409669</v>
      </c>
      <c r="AL235" s="142">
        <f t="shared" si="136"/>
        <v>4.9995716964856474</v>
      </c>
      <c r="AM235" s="40"/>
      <c r="AN235" s="144">
        <f t="shared" ref="AN235:AU235" si="137">AE215</f>
        <v>1.9119806247721998</v>
      </c>
      <c r="AO235" s="144">
        <f t="shared" si="137"/>
        <v>80.251438983145349</v>
      </c>
      <c r="AP235" s="144">
        <f t="shared" si="137"/>
        <v>7.7764117579468763</v>
      </c>
      <c r="AQ235" s="144">
        <f t="shared" si="137"/>
        <v>4.9627394570272001</v>
      </c>
      <c r="AR235" s="144">
        <f t="shared" si="137"/>
        <v>11.935731876723709</v>
      </c>
      <c r="AS235" s="144">
        <f t="shared" si="137"/>
        <v>2.3842678369418517</v>
      </c>
      <c r="AT235" s="144">
        <f t="shared" si="137"/>
        <v>1.1909429754954304</v>
      </c>
      <c r="AU235" s="144">
        <f t="shared" si="137"/>
        <v>6.803367169732514</v>
      </c>
      <c r="AV235" s="40"/>
      <c r="AW235" s="40"/>
      <c r="AX235" s="40"/>
      <c r="CH235">
        <f t="shared" si="72"/>
        <v>77</v>
      </c>
      <c r="CI235" s="113">
        <f t="shared" si="73"/>
        <v>147.14231202731511</v>
      </c>
      <c r="CJ235" s="124">
        <f t="shared" si="85"/>
        <v>3.6199880591405806</v>
      </c>
      <c r="CK235" s="124">
        <f t="shared" si="86"/>
        <v>80.251438983145349</v>
      </c>
      <c r="CL235" s="124">
        <f t="shared" si="87"/>
        <v>37.166270189044319</v>
      </c>
      <c r="CM235" s="124">
        <f t="shared" si="88"/>
        <v>20.605168709900763</v>
      </c>
      <c r="CN235" s="124">
        <f t="shared" si="89"/>
        <v>32.278005362755209</v>
      </c>
      <c r="CO235" s="124">
        <f t="shared" si="90"/>
        <v>21.101817975049716</v>
      </c>
      <c r="CP235" s="124">
        <f t="shared" si="91"/>
        <v>10.54036861890595</v>
      </c>
      <c r="CQ235" s="124">
        <f t="shared" si="92"/>
        <v>19.52031653441481</v>
      </c>
      <c r="CR235" s="144">
        <f t="shared" si="111"/>
        <v>225.08337443235669</v>
      </c>
    </row>
    <row r="236" spans="1:96" ht="14">
      <c r="A236">
        <f t="shared" si="112"/>
        <v>78</v>
      </c>
      <c r="B236" s="19">
        <f t="shared" si="112"/>
        <v>158</v>
      </c>
      <c r="C236" s="26">
        <f t="shared" si="105"/>
        <v>147.53811026842067</v>
      </c>
      <c r="D236" s="125">
        <f>(($C$39*$C$118*0.72)*D$40)*('Product half-life and C flows'!B137/100)</f>
        <v>3.383132847073321E-2</v>
      </c>
      <c r="E236" s="26"/>
      <c r="F236" s="54">
        <f t="shared" si="129"/>
        <v>6.0606231572568161</v>
      </c>
      <c r="G236" s="54">
        <f t="shared" si="129"/>
        <v>0.7542108817919595</v>
      </c>
      <c r="H236" s="125">
        <f>(H$118)*('Product half-life and C flows'!L137/100)</f>
        <v>0.38280294621334365</v>
      </c>
      <c r="I236" s="125">
        <f>(($C$39*$C$118*0.28)*H$41)*('Product half-life and C flows'!N137/100)</f>
        <v>0.98804008272295829</v>
      </c>
      <c r="J236" s="125">
        <f>(($C$39*$C$118*0.28)*H$41)*(+'Product half-life and C flows'!P137/100)</f>
        <v>0.49352651484663218</v>
      </c>
      <c r="K236" s="54">
        <f t="shared" si="60"/>
        <v>1.3434381331919276</v>
      </c>
      <c r="L236" s="26"/>
      <c r="M236" s="142">
        <f>(C$158-C$138)*(0.4*D$14)*('Product half-life and C flows'!B97/100)</f>
        <v>0.23085644320848644</v>
      </c>
      <c r="N236" s="83"/>
      <c r="O236" s="143">
        <f t="shared" si="78"/>
        <v>7.7764117579468763</v>
      </c>
      <c r="P236" s="142">
        <f t="shared" si="79"/>
        <v>4.9627394570272001</v>
      </c>
      <c r="Q236" s="142">
        <f>(C$158-C$138)*(0.6*C$15)*('Product half-life and C flows'!L97/100)</f>
        <v>4.6642967299658524</v>
      </c>
      <c r="R236" s="142">
        <f>(C$158-C$138)*0.6*('Product half-life and C flows'!N97/100)</f>
        <v>7.2367388915449284</v>
      </c>
      <c r="S236" s="142">
        <f>(C$158-C$138)*0.6*('Product half-life and C flows'!P97/100)</f>
        <v>3.6147546910813833</v>
      </c>
      <c r="T236" s="142">
        <f t="shared" si="108"/>
        <v>2.6586491360805358</v>
      </c>
      <c r="U236" s="3"/>
      <c r="V236" s="142">
        <f t="shared" si="43"/>
        <v>0.46171288641697289</v>
      </c>
      <c r="W236" s="142">
        <f t="shared" si="44"/>
        <v>0</v>
      </c>
      <c r="X236" s="142">
        <f t="shared" si="45"/>
        <v>7.7764117579468763</v>
      </c>
      <c r="Y236" s="142">
        <f t="shared" si="46"/>
        <v>4.9627394570272001</v>
      </c>
      <c r="Z236" s="142">
        <f t="shared" si="47"/>
        <v>6.3471283479835785</v>
      </c>
      <c r="AA236" s="142">
        <f t="shared" si="48"/>
        <v>6.1137292584544349</v>
      </c>
      <c r="AB236" s="142">
        <f t="shared" si="49"/>
        <v>3.0538108184088073</v>
      </c>
      <c r="AC236" s="142">
        <f t="shared" si="50"/>
        <v>3.6178631583506395</v>
      </c>
      <c r="AD236" s="40"/>
      <c r="AE236" s="142">
        <f t="shared" ref="AE236:AL236" si="138">V216</f>
        <v>0.92342577283394556</v>
      </c>
      <c r="AF236" s="142">
        <f t="shared" si="138"/>
        <v>0</v>
      </c>
      <c r="AG236" s="142">
        <f t="shared" si="138"/>
        <v>7.7764117579468763</v>
      </c>
      <c r="AH236" s="142">
        <f t="shared" si="138"/>
        <v>4.9627394570272001</v>
      </c>
      <c r="AI236" s="142">
        <f t="shared" si="138"/>
        <v>8.6371087857593665</v>
      </c>
      <c r="AJ236" s="142">
        <f t="shared" si="138"/>
        <v>4.5855489796453908</v>
      </c>
      <c r="AK236" s="142">
        <f t="shared" si="138"/>
        <v>2.2904840058168778</v>
      </c>
      <c r="AL236" s="142">
        <f t="shared" si="138"/>
        <v>4.9231520078828384</v>
      </c>
      <c r="AM236" s="40"/>
      <c r="AN236" s="144">
        <f t="shared" ref="AN236:AU236" si="139">AE216</f>
        <v>1.8468515456678911</v>
      </c>
      <c r="AO236" s="144">
        <f t="shared" si="139"/>
        <v>81.974612405724244</v>
      </c>
      <c r="AP236" s="144">
        <f t="shared" si="139"/>
        <v>7.7764117579468763</v>
      </c>
      <c r="AQ236" s="144">
        <f t="shared" si="139"/>
        <v>4.9627394570272001</v>
      </c>
      <c r="AR236" s="144">
        <f t="shared" si="139"/>
        <v>11.753291266079604</v>
      </c>
      <c r="AS236" s="144">
        <f t="shared" si="139"/>
        <v>2.5060165377783514</v>
      </c>
      <c r="AT236" s="144">
        <f t="shared" si="139"/>
        <v>1.2517565123767991</v>
      </c>
      <c r="AU236" s="144">
        <f t="shared" si="139"/>
        <v>6.6993760216653735</v>
      </c>
      <c r="AV236" s="40"/>
      <c r="AW236" s="40"/>
      <c r="AX236" s="40"/>
      <c r="CH236">
        <f t="shared" si="72"/>
        <v>78</v>
      </c>
      <c r="CI236" s="113">
        <f t="shared" si="73"/>
        <v>147.53811026842067</v>
      </c>
      <c r="CJ236" s="124">
        <f t="shared" si="85"/>
        <v>3.4966779765980291</v>
      </c>
      <c r="CK236" s="124">
        <f t="shared" si="86"/>
        <v>81.974612405724244</v>
      </c>
      <c r="CL236" s="124">
        <f t="shared" si="87"/>
        <v>37.166270189044319</v>
      </c>
      <c r="CM236" s="124">
        <f t="shared" si="88"/>
        <v>20.605168709900763</v>
      </c>
      <c r="CN236" s="124">
        <f t="shared" si="89"/>
        <v>31.784628076001745</v>
      </c>
      <c r="CO236" s="124">
        <f t="shared" si="90"/>
        <v>21.430073750146065</v>
      </c>
      <c r="CP236" s="124">
        <f t="shared" si="91"/>
        <v>10.7043325425305</v>
      </c>
      <c r="CQ236" s="124">
        <f t="shared" si="92"/>
        <v>19.242478457171313</v>
      </c>
      <c r="CR236" s="144">
        <f t="shared" si="111"/>
        <v>226.40424210711697</v>
      </c>
    </row>
    <row r="237" spans="1:96" ht="14">
      <c r="A237">
        <f t="shared" si="112"/>
        <v>79</v>
      </c>
      <c r="B237" s="19">
        <f t="shared" si="112"/>
        <v>159</v>
      </c>
      <c r="C237" s="26">
        <f t="shared" si="105"/>
        <v>147.92675938783603</v>
      </c>
      <c r="D237" s="125">
        <f>(($C$39*$C$118*0.72)*D$40)*('Product half-life and C flows'!B138/100)</f>
        <v>3.2678909225670655E-2</v>
      </c>
      <c r="E237" s="26"/>
      <c r="F237" s="54">
        <f t="shared" si="129"/>
        <v>6.0606231572568161</v>
      </c>
      <c r="G237" s="54">
        <f t="shared" si="129"/>
        <v>0.7542108817919595</v>
      </c>
      <c r="H237" s="125">
        <f>(H$118)*('Product half-life and C flows'!L138/100)</f>
        <v>0.37695170860304511</v>
      </c>
      <c r="I237" s="125">
        <f>(($C$39*$C$118*0.28)*H$41)*('Product half-life and C flows'!N138/100)</f>
        <v>0.99096862714691258</v>
      </c>
      <c r="J237" s="125">
        <f>(($C$39*$C$118*0.28)*H$41)*(+'Product half-life and C flows'!P138/100)</f>
        <v>0.49498932424920694</v>
      </c>
      <c r="K237" s="54">
        <f t="shared" si="60"/>
        <v>1.3434381331919276</v>
      </c>
      <c r="L237" s="26"/>
      <c r="M237" s="142">
        <f>(C$158-C$138)*(0.4*D$14)*('Product half-life and C flows'!B98/100)</f>
        <v>0.22299262526145247</v>
      </c>
      <c r="N237" s="83"/>
      <c r="O237" s="143">
        <f t="shared" si="78"/>
        <v>7.7764117579468763</v>
      </c>
      <c r="P237" s="142">
        <f t="shared" si="79"/>
        <v>4.9627394570272001</v>
      </c>
      <c r="Q237" s="142">
        <f>(C$158-C$138)*(0.6*C$15)*('Product half-life and C flows'!L98/100)</f>
        <v>4.5930018020612007</v>
      </c>
      <c r="R237" s="142">
        <f>(C$158-C$138)*0.6*('Product half-life and C flows'!N98/100)</f>
        <v>7.284316373433299</v>
      </c>
      <c r="S237" s="142">
        <f>(C$158-C$138)*0.6*('Product half-life and C flows'!P98/100)</f>
        <v>3.6385196670496005</v>
      </c>
      <c r="T237" s="142">
        <f t="shared" si="108"/>
        <v>2.6180110271748842</v>
      </c>
      <c r="U237" s="3"/>
      <c r="V237" s="142">
        <f t="shared" si="43"/>
        <v>0.44598525052290477</v>
      </c>
      <c r="W237" s="142">
        <f t="shared" si="44"/>
        <v>0</v>
      </c>
      <c r="X237" s="142">
        <f t="shared" si="45"/>
        <v>7.7764117579468763</v>
      </c>
      <c r="Y237" s="142">
        <f t="shared" si="46"/>
        <v>4.9627394570272001</v>
      </c>
      <c r="Z237" s="142">
        <f t="shared" si="47"/>
        <v>6.2501109230277745</v>
      </c>
      <c r="AA237" s="142">
        <f t="shared" si="48"/>
        <v>6.1784722200416082</v>
      </c>
      <c r="AB237" s="142">
        <f t="shared" si="49"/>
        <v>3.0861499600607418</v>
      </c>
      <c r="AC237" s="142">
        <f t="shared" si="50"/>
        <v>3.5625632261258313</v>
      </c>
      <c r="AD237" s="40"/>
      <c r="AE237" s="142">
        <f t="shared" ref="AE237:AL237" si="140">V217</f>
        <v>0.89197050104580988</v>
      </c>
      <c r="AF237" s="142">
        <f t="shared" si="140"/>
        <v>0</v>
      </c>
      <c r="AG237" s="142">
        <f t="shared" si="140"/>
        <v>7.7764117579468763</v>
      </c>
      <c r="AH237" s="142">
        <f t="shared" si="140"/>
        <v>4.9627394570272001</v>
      </c>
      <c r="AI237" s="142">
        <f t="shared" si="140"/>
        <v>8.5050884440368399</v>
      </c>
      <c r="AJ237" s="142">
        <f t="shared" si="140"/>
        <v>4.6736505543548903</v>
      </c>
      <c r="AK237" s="142">
        <f t="shared" si="140"/>
        <v>2.3344907863910538</v>
      </c>
      <c r="AL237" s="142">
        <f t="shared" si="140"/>
        <v>4.847900413100998</v>
      </c>
      <c r="AM237" s="40"/>
      <c r="AN237" s="144">
        <f t="shared" ref="AN237:AU237" si="141">AE217</f>
        <v>1.7839410020916198</v>
      </c>
      <c r="AO237" s="144">
        <f t="shared" si="141"/>
        <v>83.69778582830314</v>
      </c>
      <c r="AP237" s="144">
        <f t="shared" si="141"/>
        <v>7.7764117579468763</v>
      </c>
      <c r="AQ237" s="144">
        <f t="shared" si="141"/>
        <v>4.9627394570272001</v>
      </c>
      <c r="AR237" s="144">
        <f t="shared" si="141"/>
        <v>11.573639305243985</v>
      </c>
      <c r="AS237" s="144">
        <f t="shared" si="141"/>
        <v>2.6259042796426555</v>
      </c>
      <c r="AT237" s="144">
        <f t="shared" si="141"/>
        <v>1.3116404993220057</v>
      </c>
      <c r="AU237" s="144">
        <f t="shared" si="141"/>
        <v>6.596974403989071</v>
      </c>
      <c r="AV237" s="40"/>
      <c r="AW237" s="40"/>
      <c r="AX237" s="40"/>
      <c r="CH237">
        <f t="shared" si="72"/>
        <v>79</v>
      </c>
      <c r="CI237" s="113">
        <f t="shared" si="73"/>
        <v>147.92675938783603</v>
      </c>
      <c r="CJ237" s="124">
        <f t="shared" si="85"/>
        <v>3.3775682881474576</v>
      </c>
      <c r="CK237" s="124">
        <f t="shared" si="86"/>
        <v>83.69778582830314</v>
      </c>
      <c r="CL237" s="124">
        <f t="shared" si="87"/>
        <v>37.166270189044319</v>
      </c>
      <c r="CM237" s="124">
        <f t="shared" si="88"/>
        <v>20.605168709900763</v>
      </c>
      <c r="CN237" s="124">
        <f t="shared" si="89"/>
        <v>31.298792182972846</v>
      </c>
      <c r="CO237" s="124">
        <f t="shared" si="90"/>
        <v>21.753312054619364</v>
      </c>
      <c r="CP237" s="124">
        <f t="shared" si="91"/>
        <v>10.865790237072609</v>
      </c>
      <c r="CQ237" s="124">
        <f t="shared" si="92"/>
        <v>18.96888720358271</v>
      </c>
      <c r="CR237" s="144">
        <f t="shared" si="111"/>
        <v>227.73357469364322</v>
      </c>
    </row>
    <row r="238" spans="1:96" s="137" customFormat="1" ht="14">
      <c r="A238" s="137">
        <f t="shared" si="112"/>
        <v>80</v>
      </c>
      <c r="B238" s="145">
        <f t="shared" si="112"/>
        <v>160</v>
      </c>
      <c r="C238" s="139">
        <f t="shared" si="105"/>
        <v>148.30837454278708</v>
      </c>
      <c r="D238" s="140">
        <f>(($C$39*$C$118*0.72)*D$40)*('Product half-life and C flows'!B139/100)</f>
        <v>3.1565745610712584E-2</v>
      </c>
      <c r="E238" s="139"/>
      <c r="F238" s="141">
        <f t="shared" si="129"/>
        <v>6.0606231572568161</v>
      </c>
      <c r="G238" s="141">
        <f t="shared" si="129"/>
        <v>0.7542108817919595</v>
      </c>
      <c r="H238" s="140">
        <f>(H$118)*('Product half-life and C flows'!L139/100)</f>
        <v>0.3711899086052593</v>
      </c>
      <c r="I238" s="140">
        <f>(($C$39*$C$118*0.28)*H$41)*('Product half-life and C flows'!N139/100)</f>
        <v>0.99385240804580444</v>
      </c>
      <c r="J238" s="140">
        <f>(($C$39*$C$118*0.28)*H$41)*(+'Product half-life and C flows'!P139/100)</f>
        <v>0.49642977424865331</v>
      </c>
      <c r="K238" s="141">
        <f t="shared" si="60"/>
        <v>1.3434381331919276</v>
      </c>
      <c r="L238" s="139"/>
      <c r="M238" s="142">
        <f>(C$158-C$138)*(0.4*D$14)*('Product half-life and C flows'!B99/100)</f>
        <v>0.21539667782236116</v>
      </c>
      <c r="N238" s="142"/>
      <c r="O238" s="143">
        <f t="shared" si="78"/>
        <v>7.7764117579468763</v>
      </c>
      <c r="P238" s="142">
        <f t="shared" si="79"/>
        <v>4.9627394570272001</v>
      </c>
      <c r="Q238" s="142">
        <f>(C$158-C$138)*(0.6*C$15)*('Product half-life and C flows'!L99/100)</f>
        <v>4.5227966347440924</v>
      </c>
      <c r="R238" s="142">
        <f>(C$158-C$138)*0.6*('Product half-life and C flows'!N99/100)</f>
        <v>7.3311666217562506</v>
      </c>
      <c r="S238" s="142">
        <f>(C$158-C$138)*0.6*('Product half-life and C flows'!P99/100)</f>
        <v>3.6619213894886364</v>
      </c>
      <c r="T238" s="142">
        <f t="shared" si="108"/>
        <v>2.5779940818041323</v>
      </c>
      <c r="U238" s="144"/>
      <c r="V238" s="142">
        <f t="shared" si="43"/>
        <v>0.43079335564472232</v>
      </c>
      <c r="W238" s="142">
        <f t="shared" si="44"/>
        <v>0</v>
      </c>
      <c r="X238" s="142">
        <f t="shared" si="45"/>
        <v>7.7764117579468763</v>
      </c>
      <c r="Y238" s="142">
        <f t="shared" si="46"/>
        <v>4.9627394570272001</v>
      </c>
      <c r="Z238" s="142">
        <f t="shared" si="47"/>
        <v>6.1545764333820854</v>
      </c>
      <c r="AA238" s="142">
        <f t="shared" si="48"/>
        <v>6.2422255694651652</v>
      </c>
      <c r="AB238" s="142">
        <f t="shared" si="49"/>
        <v>3.1179947899426383</v>
      </c>
      <c r="AC238" s="142">
        <f t="shared" si="50"/>
        <v>3.5081085670277883</v>
      </c>
      <c r="AD238" s="144"/>
      <c r="AE238" s="142">
        <f t="shared" ref="AE238:AL238" si="142">V218</f>
        <v>0.86158671128944464</v>
      </c>
      <c r="AF238" s="142">
        <f t="shared" si="142"/>
        <v>0</v>
      </c>
      <c r="AG238" s="142">
        <f t="shared" si="142"/>
        <v>7.7764117579468763</v>
      </c>
      <c r="AH238" s="142">
        <f t="shared" si="142"/>
        <v>4.9627394570272001</v>
      </c>
      <c r="AI238" s="142">
        <f t="shared" si="142"/>
        <v>8.3750860658552231</v>
      </c>
      <c r="AJ238" s="142">
        <f t="shared" si="142"/>
        <v>4.7604054747280893</v>
      </c>
      <c r="AK238" s="142">
        <f t="shared" si="142"/>
        <v>2.3778249124515924</v>
      </c>
      <c r="AL238" s="142">
        <f t="shared" si="142"/>
        <v>4.7737990575374765</v>
      </c>
      <c r="AM238" s="144"/>
      <c r="AN238" s="144">
        <f t="shared" ref="AN238:AU238" si="143">AE218</f>
        <v>1.7231734225788893</v>
      </c>
      <c r="AO238" s="144">
        <f t="shared" si="143"/>
        <v>0</v>
      </c>
      <c r="AP238" s="144">
        <f t="shared" si="143"/>
        <v>7.7764117579468763</v>
      </c>
      <c r="AQ238" s="144">
        <f t="shared" si="143"/>
        <v>4.9627394570272001</v>
      </c>
      <c r="AR238" s="144">
        <f t="shared" si="143"/>
        <v>11.396733369015552</v>
      </c>
      <c r="AS238" s="144">
        <f t="shared" si="143"/>
        <v>2.7439595077524288</v>
      </c>
      <c r="AT238" s="144">
        <f t="shared" si="143"/>
        <v>1.370609144731483</v>
      </c>
      <c r="AU238" s="144">
        <f t="shared" si="143"/>
        <v>6.4961380203388641</v>
      </c>
      <c r="AV238" s="144"/>
      <c r="AW238" s="144">
        <f>AN218</f>
        <v>3.4463468451577786</v>
      </c>
      <c r="AX238" s="144">
        <f t="shared" ref="AX238:BD238" si="144">AO218</f>
        <v>50.957490799304182</v>
      </c>
      <c r="AY238" s="144">
        <f t="shared" si="144"/>
        <v>7.7764117579468763</v>
      </c>
      <c r="AZ238" s="144">
        <f t="shared" si="144"/>
        <v>4.9627394570272001</v>
      </c>
      <c r="BA238" s="144">
        <f t="shared" si="144"/>
        <v>15.508560803210001</v>
      </c>
      <c r="BB238" s="144">
        <f t="shared" si="144"/>
        <v>0</v>
      </c>
      <c r="BC238" s="144">
        <f t="shared" si="144"/>
        <v>0</v>
      </c>
      <c r="BD238" s="144">
        <f t="shared" si="144"/>
        <v>8.8398796578296999</v>
      </c>
      <c r="CH238" s="137">
        <f t="shared" si="72"/>
        <v>80</v>
      </c>
      <c r="CI238" s="144">
        <f t="shared" si="73"/>
        <v>148.30837454278708</v>
      </c>
      <c r="CJ238" s="124">
        <f t="shared" si="85"/>
        <v>6.7088627581039084</v>
      </c>
      <c r="CK238" s="124">
        <f t="shared" si="86"/>
        <v>50.957490799304182</v>
      </c>
      <c r="CL238" s="124">
        <f t="shared" si="87"/>
        <v>44.942681946991193</v>
      </c>
      <c r="CM238" s="124">
        <f t="shared" si="88"/>
        <v>25.567908166927964</v>
      </c>
      <c r="CN238" s="124">
        <f t="shared" si="89"/>
        <v>46.328943214812213</v>
      </c>
      <c r="CO238" s="124">
        <f t="shared" si="90"/>
        <v>22.071609581747737</v>
      </c>
      <c r="CP238" s="124">
        <f t="shared" si="91"/>
        <v>11.024780010863005</v>
      </c>
      <c r="CQ238" s="124">
        <f t="shared" si="92"/>
        <v>27.53935751772989</v>
      </c>
      <c r="CR238" s="144">
        <f t="shared" si="111"/>
        <v>235.1416339964801</v>
      </c>
    </row>
    <row r="239" spans="1:96" ht="14">
      <c r="A239">
        <f>A238+1</f>
        <v>81</v>
      </c>
      <c r="B239" s="19">
        <f>B238+1</f>
        <v>161</v>
      </c>
      <c r="C239" s="26">
        <f t="shared" si="105"/>
        <v>148.68306961179661</v>
      </c>
      <c r="D239" s="26"/>
      <c r="E239" s="26"/>
      <c r="F239" s="141">
        <f t="shared" ref="F239:G239" si="145">F238</f>
        <v>6.0606231572568161</v>
      </c>
      <c r="G239" s="141">
        <f t="shared" si="145"/>
        <v>0.7542108817919595</v>
      </c>
      <c r="H239" s="140">
        <f>(H$118)*('Product half-life and C flows'!L140/100)</f>
        <v>0.36551617914398199</v>
      </c>
      <c r="I239" s="140">
        <f>(($C$39*$C$118*0.28)*H$41)*('Product half-life and C flows'!N140/100)</f>
        <v>0.99669210964117372</v>
      </c>
      <c r="J239" s="140">
        <f>(($C$39*$C$118*0.28)*H$41)*(+'Product half-life and C flows'!P140/100)</f>
        <v>0.49784820661397261</v>
      </c>
      <c r="K239" s="141">
        <f t="shared" si="60"/>
        <v>1.3434381331919276</v>
      </c>
      <c r="L239" s="26"/>
      <c r="M239" s="142">
        <f>(C$158-C$138)*(0.4*D$14)*('Product half-life and C flows'!B100/100)</f>
        <v>0.20805947623833926</v>
      </c>
      <c r="N239" s="85"/>
      <c r="O239" s="143">
        <f t="shared" si="78"/>
        <v>7.7764117579468763</v>
      </c>
      <c r="P239" s="142">
        <f t="shared" si="79"/>
        <v>4.9627394570272001</v>
      </c>
      <c r="Q239" s="142">
        <f>(C$158-C$138)*(0.6*C$15)*('Product half-life and C flows'!L100/100)</f>
        <v>4.4536645707547065</v>
      </c>
      <c r="R239" s="142">
        <f>(C$158-C$138)*0.6*('Product half-life and C flows'!N100/100)</f>
        <v>7.377300752458499</v>
      </c>
      <c r="S239" s="142">
        <f>(C$158-C$138)*0.6*('Product half-life and C flows'!P100/100)</f>
        <v>3.6849654108184318</v>
      </c>
      <c r="T239" s="142">
        <f t="shared" si="108"/>
        <v>2.5385888053301824</v>
      </c>
      <c r="U239" s="3"/>
      <c r="V239" s="142">
        <f t="shared" si="43"/>
        <v>0.41611895247667857</v>
      </c>
      <c r="W239" s="142">
        <f t="shared" si="44"/>
        <v>0</v>
      </c>
      <c r="X239" s="142">
        <f t="shared" si="45"/>
        <v>7.7764117579468763</v>
      </c>
      <c r="Y239" s="142">
        <f t="shared" si="46"/>
        <v>4.9627394570272001</v>
      </c>
      <c r="Z239" s="142">
        <f t="shared" si="47"/>
        <v>6.0605022120139136</v>
      </c>
      <c r="AA239" s="142">
        <f t="shared" si="48"/>
        <v>6.3050044331915256</v>
      </c>
      <c r="AB239" s="142">
        <f t="shared" si="49"/>
        <v>3.1493528637320294</v>
      </c>
      <c r="AC239" s="142">
        <f t="shared" si="50"/>
        <v>3.4544862608479305</v>
      </c>
      <c r="AD239" s="136"/>
      <c r="AE239" s="142">
        <f t="shared" ref="AE239:AL239" si="146">V219</f>
        <v>0.83223790495335714</v>
      </c>
      <c r="AF239" s="142">
        <f t="shared" si="146"/>
        <v>0</v>
      </c>
      <c r="AG239" s="142">
        <f t="shared" si="146"/>
        <v>7.7764117579468763</v>
      </c>
      <c r="AH239" s="142">
        <f t="shared" si="146"/>
        <v>4.9627394570272001</v>
      </c>
      <c r="AI239" s="142">
        <f t="shared" si="146"/>
        <v>8.2470708061432259</v>
      </c>
      <c r="AJ239" s="142">
        <f t="shared" si="146"/>
        <v>4.8458343247092301</v>
      </c>
      <c r="AK239" s="142">
        <f t="shared" si="146"/>
        <v>2.4204966656889253</v>
      </c>
      <c r="AL239" s="142">
        <f t="shared" si="146"/>
        <v>4.7008303595016381</v>
      </c>
      <c r="AM239" s="136"/>
      <c r="AN239" s="144">
        <f t="shared" ref="AN239:AU239" si="147">AE219</f>
        <v>1.6644758099067141</v>
      </c>
      <c r="AO239" s="144">
        <f t="shared" si="147"/>
        <v>0</v>
      </c>
      <c r="AP239" s="144">
        <f t="shared" si="147"/>
        <v>7.7764117579468763</v>
      </c>
      <c r="AQ239" s="144">
        <f t="shared" si="147"/>
        <v>4.9627394570272001</v>
      </c>
      <c r="AR239" s="144">
        <f t="shared" si="147"/>
        <v>11.222531483729737</v>
      </c>
      <c r="AS239" s="144">
        <f t="shared" si="147"/>
        <v>2.8602102325331629</v>
      </c>
      <c r="AT239" s="144">
        <f t="shared" si="147"/>
        <v>1.4286764398267544</v>
      </c>
      <c r="AU239" s="144">
        <f t="shared" si="147"/>
        <v>6.3968429457259495</v>
      </c>
      <c r="AV239" s="136"/>
      <c r="AW239" s="144">
        <f t="shared" ref="AW239:BD239" si="148">AN219</f>
        <v>3.3289516198134281</v>
      </c>
      <c r="AX239" s="144">
        <f t="shared" si="148"/>
        <v>52.68066422188307</v>
      </c>
      <c r="AY239" s="144">
        <f t="shared" si="148"/>
        <v>7.7764117579468763</v>
      </c>
      <c r="AZ239" s="144">
        <f t="shared" si="148"/>
        <v>4.9627394570272001</v>
      </c>
      <c r="BA239" s="144">
        <f t="shared" si="148"/>
        <v>15.271508619701541</v>
      </c>
      <c r="BB239" s="144">
        <f t="shared" si="148"/>
        <v>0.15819282379464625</v>
      </c>
      <c r="BC239" s="144">
        <f t="shared" si="148"/>
        <v>7.9017394502820304E-2</v>
      </c>
      <c r="BD239" s="144">
        <f t="shared" si="148"/>
        <v>8.7047599132298767</v>
      </c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>
        <f t="shared" si="72"/>
        <v>81</v>
      </c>
      <c r="CI239" s="113">
        <f t="shared" si="73"/>
        <v>148.68306961179661</v>
      </c>
      <c r="CJ239" s="124">
        <f t="shared" si="85"/>
        <v>6.4498437633885173</v>
      </c>
      <c r="CK239" s="124">
        <f t="shared" si="86"/>
        <v>52.68066422188307</v>
      </c>
      <c r="CL239" s="124">
        <f t="shared" si="87"/>
        <v>44.942681946991193</v>
      </c>
      <c r="CM239" s="124">
        <f t="shared" si="88"/>
        <v>25.567908166927964</v>
      </c>
      <c r="CN239" s="124">
        <f t="shared" si="89"/>
        <v>45.620793871487109</v>
      </c>
      <c r="CO239" s="124">
        <f t="shared" si="90"/>
        <v>22.543234676328236</v>
      </c>
      <c r="CP239" s="124">
        <f t="shared" si="91"/>
        <v>11.260356981182932</v>
      </c>
      <c r="CQ239" s="124">
        <f t="shared" si="92"/>
        <v>27.138946417827505</v>
      </c>
      <c r="CR239" s="144">
        <f t="shared" si="111"/>
        <v>236.20443004601651</v>
      </c>
    </row>
    <row r="240" spans="1:96" ht="14">
      <c r="A240">
        <f t="shared" ref="A240:B255" si="149">A239+1</f>
        <v>82</v>
      </c>
      <c r="B240" s="19">
        <f t="shared" si="149"/>
        <v>162</v>
      </c>
      <c r="C240" s="26">
        <f t="shared" si="105"/>
        <v>149.05095718270039</v>
      </c>
      <c r="D240" s="26"/>
      <c r="E240" s="26"/>
      <c r="F240" s="141">
        <f t="shared" ref="F240:G240" si="150">F239</f>
        <v>6.0606231572568161</v>
      </c>
      <c r="G240" s="141">
        <f t="shared" si="150"/>
        <v>0.7542108817919595</v>
      </c>
      <c r="H240" s="140">
        <f>(H$118)*('Product half-life and C flows'!L141/100)</f>
        <v>0.35992917403930352</v>
      </c>
      <c r="I240" s="140">
        <f>(($C$39*$C$118*0.28)*H$41)*('Product half-life and C flows'!N141/100)</f>
        <v>0.99948840569606512</v>
      </c>
      <c r="J240" s="140">
        <f>(($C$39*$C$118*0.28)*H$41)*(+'Product half-life and C flows'!P141/100)</f>
        <v>0.49924495789014217</v>
      </c>
      <c r="K240" s="141">
        <f t="shared" si="60"/>
        <v>1.3434381331919276</v>
      </c>
      <c r="L240" s="26"/>
      <c r="M240" s="142">
        <f>(C$158-C$138)*(0.4*D$14)*('Product half-life and C flows'!B101/100)</f>
        <v>0.20097220667568763</v>
      </c>
      <c r="N240" s="85"/>
      <c r="O240" s="143">
        <f t="shared" si="78"/>
        <v>7.7764117579468763</v>
      </c>
      <c r="P240" s="142">
        <f t="shared" si="79"/>
        <v>4.9627394570272001</v>
      </c>
      <c r="Q240" s="142">
        <f>(C$158-C$138)*(0.6*C$15)*('Product half-life and C flows'!L101/100)</f>
        <v>4.3855892074435507</v>
      </c>
      <c r="R240" s="142">
        <f>(C$158-C$138)*0.6*('Product half-life and C flows'!N101/100)</f>
        <v>7.422729711574811</v>
      </c>
      <c r="S240" s="142">
        <f>(C$158-C$138)*0.6*('Product half-life and C flows'!P101/100)</f>
        <v>3.7076571985888176</v>
      </c>
      <c r="T240" s="142">
        <f t="shared" si="108"/>
        <v>2.4997858482428237</v>
      </c>
      <c r="U240" s="3"/>
      <c r="V240" s="142">
        <f t="shared" si="43"/>
        <v>0.4019444133513751</v>
      </c>
      <c r="W240" s="142">
        <f t="shared" si="44"/>
        <v>0</v>
      </c>
      <c r="X240" s="142">
        <f t="shared" si="45"/>
        <v>7.7764117579468763</v>
      </c>
      <c r="Y240" s="142">
        <f t="shared" si="46"/>
        <v>4.9627394570272001</v>
      </c>
      <c r="Z240" s="142">
        <f t="shared" si="47"/>
        <v>5.9678659383618546</v>
      </c>
      <c r="AA240" s="142">
        <f t="shared" si="48"/>
        <v>6.3668237064753317</v>
      </c>
      <c r="AB240" s="142">
        <f t="shared" si="49"/>
        <v>3.1802316216160484</v>
      </c>
      <c r="AC240" s="142">
        <f t="shared" si="50"/>
        <v>3.401683584866257</v>
      </c>
      <c r="AD240" s="115"/>
      <c r="AE240" s="142">
        <f t="shared" ref="AE240:AL240" si="151">V220</f>
        <v>0.80388882670275008</v>
      </c>
      <c r="AF240" s="142">
        <f t="shared" si="151"/>
        <v>0</v>
      </c>
      <c r="AG240" s="142">
        <f t="shared" si="151"/>
        <v>7.7764117579468763</v>
      </c>
      <c r="AH240" s="142">
        <f t="shared" si="151"/>
        <v>4.9627394570272001</v>
      </c>
      <c r="AI240" s="142">
        <f t="shared" si="151"/>
        <v>8.1210122913040852</v>
      </c>
      <c r="AJ240" s="142">
        <f t="shared" si="151"/>
        <v>4.9299573736118827</v>
      </c>
      <c r="AK240" s="142">
        <f t="shared" si="151"/>
        <v>2.4625161706353049</v>
      </c>
      <c r="AL240" s="142">
        <f t="shared" si="151"/>
        <v>4.6289770060433284</v>
      </c>
      <c r="AM240" s="115"/>
      <c r="AN240" s="144">
        <f t="shared" ref="AN240:AU240" si="152">AE220</f>
        <v>1.6077776534055002</v>
      </c>
      <c r="AO240" s="144">
        <f t="shared" si="152"/>
        <v>0</v>
      </c>
      <c r="AP240" s="144">
        <f t="shared" si="152"/>
        <v>7.7764117579468763</v>
      </c>
      <c r="AQ240" s="144">
        <f t="shared" si="152"/>
        <v>4.9627394570272001</v>
      </c>
      <c r="AR240" s="144">
        <f t="shared" si="152"/>
        <v>11.050992317299807</v>
      </c>
      <c r="AS240" s="144">
        <f t="shared" si="152"/>
        <v>2.9746840362640703</v>
      </c>
      <c r="AT240" s="144">
        <f t="shared" si="152"/>
        <v>1.485856161970065</v>
      </c>
      <c r="AU240" s="144">
        <f t="shared" si="152"/>
        <v>6.2990656208608895</v>
      </c>
      <c r="AV240" s="115"/>
      <c r="AW240" s="144">
        <f t="shared" ref="AW240:BD240" si="153">AN220</f>
        <v>3.2155553068110003</v>
      </c>
      <c r="AX240" s="144">
        <f t="shared" si="153"/>
        <v>54.403837644461959</v>
      </c>
      <c r="AY240" s="144">
        <f t="shared" si="153"/>
        <v>7.7764117579468763</v>
      </c>
      <c r="AZ240" s="144">
        <f t="shared" si="153"/>
        <v>4.9627394570272001</v>
      </c>
      <c r="BA240" s="144">
        <f t="shared" si="153"/>
        <v>15.038079837385441</v>
      </c>
      <c r="BB240" s="144">
        <f t="shared" si="153"/>
        <v>0.3139676311935905</v>
      </c>
      <c r="BC240" s="144">
        <f t="shared" si="153"/>
        <v>0.15682698860818706</v>
      </c>
      <c r="BD240" s="144">
        <f t="shared" si="153"/>
        <v>8.5717055073096997</v>
      </c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>
        <f t="shared" si="72"/>
        <v>82</v>
      </c>
      <c r="CI240" s="113">
        <f t="shared" si="73"/>
        <v>149.05095718270039</v>
      </c>
      <c r="CJ240" s="124">
        <f t="shared" si="85"/>
        <v>6.2301384069463133</v>
      </c>
      <c r="CK240" s="124">
        <f t="shared" si="86"/>
        <v>54.403837644461959</v>
      </c>
      <c r="CL240" s="124">
        <f t="shared" si="87"/>
        <v>44.942681946991193</v>
      </c>
      <c r="CM240" s="124">
        <f t="shared" si="88"/>
        <v>25.567908166927964</v>
      </c>
      <c r="CN240" s="124">
        <f t="shared" si="89"/>
        <v>44.923468765834038</v>
      </c>
      <c r="CO240" s="124">
        <f t="shared" si="90"/>
        <v>23.007650864815751</v>
      </c>
      <c r="CP240" s="124">
        <f t="shared" si="91"/>
        <v>11.492333099308567</v>
      </c>
      <c r="CQ240" s="124">
        <f t="shared" si="92"/>
        <v>26.744655700514926</v>
      </c>
      <c r="CR240" s="144">
        <f t="shared" si="111"/>
        <v>237.3126745958007</v>
      </c>
    </row>
    <row r="241" spans="1:96" ht="14">
      <c r="A241">
        <f t="shared" si="149"/>
        <v>83</v>
      </c>
      <c r="B241" s="19">
        <f t="shared" si="149"/>
        <v>163</v>
      </c>
      <c r="C241" s="26">
        <f t="shared" si="105"/>
        <v>149.41214854224799</v>
      </c>
      <c r="D241" s="26"/>
      <c r="E241" s="26"/>
      <c r="F241" s="141">
        <f t="shared" ref="F241:G241" si="154">F240</f>
        <v>6.0606231572568161</v>
      </c>
      <c r="G241" s="141">
        <f t="shared" si="154"/>
        <v>0.7542108817919595</v>
      </c>
      <c r="H241" s="140">
        <f>(H$118)*('Product half-life and C flows'!L142/100)</f>
        <v>0.35442756768800665</v>
      </c>
      <c r="I241" s="140">
        <f>(($C$39*$C$118*0.28)*H$41)*('Product half-life and C flows'!N142/100)</f>
        <v>1.002241959674889</v>
      </c>
      <c r="J241" s="140">
        <f>(($C$39*$C$118*0.28)*H$41)*(+'Product half-life and C flows'!P142/100)</f>
        <v>0.50062035947796646</v>
      </c>
      <c r="K241" s="141">
        <f t="shared" si="60"/>
        <v>1.3434381331919276</v>
      </c>
      <c r="L241" s="26"/>
      <c r="M241" s="142">
        <f>(C$158-C$138)*(0.4*D$14)*('Product half-life and C flows'!B102/100)</f>
        <v>0.19412635553223886</v>
      </c>
      <c r="N241" s="85"/>
      <c r="O241" s="143">
        <f t="shared" si="78"/>
        <v>7.7764117579468763</v>
      </c>
      <c r="P241" s="142">
        <f t="shared" si="79"/>
        <v>4.9627394570272001</v>
      </c>
      <c r="Q241" s="142">
        <f>(C$158-C$138)*(0.6*C$15)*('Product half-life and C flows'!L102/100)</f>
        <v>4.3185543928796832</v>
      </c>
      <c r="R241" s="142">
        <f>(C$158-C$138)*0.6*('Product half-life and C flows'!N102/100)</f>
        <v>7.4674642778270988</v>
      </c>
      <c r="S241" s="142">
        <f>(C$158-C$138)*0.6*('Product half-life and C flows'!P102/100)</f>
        <v>3.7300021367767719</v>
      </c>
      <c r="T241" s="142">
        <f t="shared" si="108"/>
        <v>2.4615760039414192</v>
      </c>
      <c r="U241" s="3"/>
      <c r="V241" s="142">
        <f t="shared" si="43"/>
        <v>0.38825271106447801</v>
      </c>
      <c r="W241" s="142">
        <f t="shared" si="44"/>
        <v>0</v>
      </c>
      <c r="X241" s="142">
        <f t="shared" si="45"/>
        <v>7.7764117579468763</v>
      </c>
      <c r="Y241" s="142">
        <f t="shared" si="46"/>
        <v>4.9627394570272001</v>
      </c>
      <c r="Z241" s="142">
        <f t="shared" si="47"/>
        <v>5.8766456330398018</v>
      </c>
      <c r="AA241" s="142">
        <f t="shared" si="48"/>
        <v>6.4276980568935826</v>
      </c>
      <c r="AB241" s="142">
        <f t="shared" si="49"/>
        <v>3.210638390056733</v>
      </c>
      <c r="AC241" s="142">
        <f t="shared" si="50"/>
        <v>3.3496880108326867</v>
      </c>
      <c r="AD241" s="115"/>
      <c r="AE241" s="142">
        <f t="shared" ref="AE241:AL241" si="155">V221</f>
        <v>0.7765054221289559</v>
      </c>
      <c r="AF241" s="142">
        <f t="shared" si="155"/>
        <v>0</v>
      </c>
      <c r="AG241" s="142">
        <f t="shared" si="155"/>
        <v>7.7764117579468763</v>
      </c>
      <c r="AH241" s="142">
        <f t="shared" si="155"/>
        <v>4.9627394570272001</v>
      </c>
      <c r="AI241" s="142">
        <f t="shared" si="155"/>
        <v>7.9968806120089821</v>
      </c>
      <c r="AJ241" s="142">
        <f t="shared" si="155"/>
        <v>5.0127945809281487</v>
      </c>
      <c r="AK241" s="142">
        <f t="shared" si="155"/>
        <v>2.5038933970670061</v>
      </c>
      <c r="AL241" s="142">
        <f t="shared" si="155"/>
        <v>4.5582219488451194</v>
      </c>
      <c r="AM241" s="115"/>
      <c r="AN241" s="144">
        <f t="shared" ref="AN241:AU241" si="156">AE221</f>
        <v>1.5530108442579118</v>
      </c>
      <c r="AO241" s="144">
        <f t="shared" si="156"/>
        <v>0</v>
      </c>
      <c r="AP241" s="144">
        <f t="shared" si="156"/>
        <v>7.7764117579468763</v>
      </c>
      <c r="AQ241" s="144">
        <f t="shared" si="156"/>
        <v>4.9627394570272001</v>
      </c>
      <c r="AR241" s="144">
        <f t="shared" si="156"/>
        <v>10.882075169410175</v>
      </c>
      <c r="AS241" s="144">
        <f t="shared" si="156"/>
        <v>3.0874080796224175</v>
      </c>
      <c r="AT241" s="144">
        <f t="shared" si="156"/>
        <v>1.5421618779332751</v>
      </c>
      <c r="AU241" s="144">
        <f t="shared" si="156"/>
        <v>6.2027828465637995</v>
      </c>
      <c r="AV241" s="115"/>
      <c r="AW241" s="144">
        <f t="shared" ref="AW241:BD241" si="157">AN221</f>
        <v>3.1060216885158232</v>
      </c>
      <c r="AX241" s="144">
        <f t="shared" si="157"/>
        <v>56.127011067040847</v>
      </c>
      <c r="AY241" s="144">
        <f t="shared" si="157"/>
        <v>7.7764117579468763</v>
      </c>
      <c r="AZ241" s="144">
        <f t="shared" si="157"/>
        <v>4.9627394570272001</v>
      </c>
      <c r="BA241" s="144">
        <f t="shared" si="157"/>
        <v>14.808219071679254</v>
      </c>
      <c r="BB241" s="144">
        <f t="shared" si="157"/>
        <v>0.46736138217485096</v>
      </c>
      <c r="BC241" s="144">
        <f t="shared" si="157"/>
        <v>0.23344724384358187</v>
      </c>
      <c r="BD241" s="144">
        <f t="shared" si="157"/>
        <v>8.440684870857174</v>
      </c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>
        <f t="shared" si="72"/>
        <v>83</v>
      </c>
      <c r="CI241" s="113">
        <f t="shared" si="73"/>
        <v>149.41214854224799</v>
      </c>
      <c r="CJ241" s="124">
        <f t="shared" si="85"/>
        <v>6.0179170214994073</v>
      </c>
      <c r="CK241" s="124">
        <f t="shared" si="86"/>
        <v>56.127011067040847</v>
      </c>
      <c r="CL241" s="124">
        <f t="shared" si="87"/>
        <v>44.942681946991193</v>
      </c>
      <c r="CM241" s="124">
        <f t="shared" si="88"/>
        <v>25.567908166927964</v>
      </c>
      <c r="CN241" s="124">
        <f t="shared" si="89"/>
        <v>44.236802446705902</v>
      </c>
      <c r="CO241" s="124">
        <f t="shared" si="90"/>
        <v>23.464968337120986</v>
      </c>
      <c r="CP241" s="124">
        <f t="shared" si="91"/>
        <v>11.720763405155333</v>
      </c>
      <c r="CQ241" s="124">
        <f t="shared" si="92"/>
        <v>26.356391814232126</v>
      </c>
      <c r="CR241" s="144">
        <f t="shared" si="111"/>
        <v>238.43444420567374</v>
      </c>
    </row>
    <row r="242" spans="1:96" ht="14">
      <c r="A242">
        <f t="shared" si="149"/>
        <v>84</v>
      </c>
      <c r="B242" s="19">
        <f t="shared" si="149"/>
        <v>164</v>
      </c>
      <c r="C242" s="26">
        <f t="shared" si="105"/>
        <v>149.76675366721204</v>
      </c>
      <c r="D242" s="26"/>
      <c r="E242" s="26"/>
      <c r="F242" s="141">
        <f t="shared" ref="F242:G242" si="158">F241</f>
        <v>6.0606231572568161</v>
      </c>
      <c r="G242" s="141">
        <f t="shared" si="158"/>
        <v>0.7542108817919595</v>
      </c>
      <c r="H242" s="140">
        <f>(H$118)*('Product half-life and C flows'!L143/100)</f>
        <v>0.34901005474904689</v>
      </c>
      <c r="I242" s="140">
        <f>(($C$39*$C$118*0.28)*H$41)*('Product half-life and C flows'!N143/100)</f>
        <v>1.0049534249008387</v>
      </c>
      <c r="J242" s="140">
        <f>(($C$39*$C$118*0.28)*H$41)*(+'Product half-life and C flows'!P143/100)</f>
        <v>0.5019747377127064</v>
      </c>
      <c r="K242" s="141">
        <f t="shared" si="60"/>
        <v>1.3434381331919276</v>
      </c>
      <c r="L242" s="26"/>
      <c r="M242" s="142">
        <f>(C$158-C$138)*(0.4*D$14)*('Product half-life and C flows'!B103/100)</f>
        <v>0.18751369921037031</v>
      </c>
      <c r="N242" s="85"/>
      <c r="O242" s="143">
        <f t="shared" ref="O242:O273" si="159">(C$158-C$138)*((0.4*B$14))-(C$158*0.03)</f>
        <v>7.7764117579468763</v>
      </c>
      <c r="P242" s="142">
        <f t="shared" ref="P242:P273" si="160">(C$158-C$138)*((0.6*B$15))</f>
        <v>4.9627394570272001</v>
      </c>
      <c r="Q242" s="142">
        <f>(C$158-C$138)*(0.6*C$15)*('Product half-life and C flows'!L103/100)</f>
        <v>4.25254422201842</v>
      </c>
      <c r="R242" s="142">
        <f>(C$158-C$138)*0.6*('Product half-life and C flows'!N103/100)</f>
        <v>7.5115150651818494</v>
      </c>
      <c r="S242" s="142">
        <f>(C$158-C$138)*0.6*('Product half-life and C flows'!P103/100)</f>
        <v>3.7520055270638606</v>
      </c>
      <c r="T242" s="142">
        <f t="shared" si="108"/>
        <v>2.423950206550499</v>
      </c>
      <c r="U242" s="3"/>
      <c r="V242" s="142">
        <f t="shared" si="43"/>
        <v>0.37502739842074062</v>
      </c>
      <c r="W242" s="142">
        <f t="shared" si="44"/>
        <v>0</v>
      </c>
      <c r="X242" s="142">
        <f t="shared" si="45"/>
        <v>7.7764117579468763</v>
      </c>
      <c r="Y242" s="142">
        <f t="shared" si="46"/>
        <v>4.9627394570272001</v>
      </c>
      <c r="Z242" s="142">
        <f t="shared" si="47"/>
        <v>5.7868196526219924</v>
      </c>
      <c r="AA242" s="142">
        <f t="shared" si="48"/>
        <v>6.4876419278257336</v>
      </c>
      <c r="AB242" s="142">
        <f t="shared" si="49"/>
        <v>3.2405803835293363</v>
      </c>
      <c r="AC242" s="142">
        <f t="shared" si="50"/>
        <v>3.2984872019945355</v>
      </c>
      <c r="AD242" s="115"/>
      <c r="AE242" s="142">
        <f t="shared" ref="AE242:AL242" si="161">V222</f>
        <v>0.75005479684148113</v>
      </c>
      <c r="AF242" s="142">
        <f t="shared" si="161"/>
        <v>0</v>
      </c>
      <c r="AG242" s="142">
        <f t="shared" si="161"/>
        <v>7.7764117579468763</v>
      </c>
      <c r="AH242" s="142">
        <f t="shared" si="161"/>
        <v>4.9627394570272001</v>
      </c>
      <c r="AI242" s="142">
        <f t="shared" si="161"/>
        <v>7.8746463161005691</v>
      </c>
      <c r="AJ242" s="142">
        <f t="shared" si="161"/>
        <v>5.0943656010643634</v>
      </c>
      <c r="AK242" s="142">
        <f t="shared" si="161"/>
        <v>2.5446381623698104</v>
      </c>
      <c r="AL242" s="142">
        <f t="shared" si="161"/>
        <v>4.4885484001773239</v>
      </c>
      <c r="AM242" s="115"/>
      <c r="AN242" s="144">
        <f t="shared" ref="AN242:AU242" si="162">AE222</f>
        <v>1.5001095936829623</v>
      </c>
      <c r="AO242" s="144">
        <f t="shared" si="162"/>
        <v>0</v>
      </c>
      <c r="AP242" s="144">
        <f t="shared" si="162"/>
        <v>7.7764117579468763</v>
      </c>
      <c r="AQ242" s="144">
        <f t="shared" si="162"/>
        <v>4.9627394570272001</v>
      </c>
      <c r="AR242" s="144">
        <f t="shared" si="162"/>
        <v>10.715739961859647</v>
      </c>
      <c r="AS242" s="144">
        <f t="shared" si="162"/>
        <v>3.1984091081278025</v>
      </c>
      <c r="AT242" s="144">
        <f t="shared" si="162"/>
        <v>1.5976069471167842</v>
      </c>
      <c r="AU242" s="144">
        <f t="shared" si="162"/>
        <v>6.1079717782599987</v>
      </c>
      <c r="AV242" s="115"/>
      <c r="AW242" s="144">
        <f t="shared" ref="AW242:BD242" si="163">AN222</f>
        <v>3.0002191873659245</v>
      </c>
      <c r="AX242" s="144">
        <f t="shared" si="163"/>
        <v>57.850184489619735</v>
      </c>
      <c r="AY242" s="144">
        <f t="shared" si="163"/>
        <v>7.7764117579468763</v>
      </c>
      <c r="AZ242" s="144">
        <f t="shared" si="163"/>
        <v>4.9627394570272001</v>
      </c>
      <c r="BA242" s="144">
        <f t="shared" si="163"/>
        <v>14.581871784567571</v>
      </c>
      <c r="BB242" s="144">
        <f t="shared" si="163"/>
        <v>0.61841047177404773</v>
      </c>
      <c r="BC242" s="144">
        <f t="shared" si="163"/>
        <v>0.30889633954747636</v>
      </c>
      <c r="BD242" s="144">
        <f t="shared" si="163"/>
        <v>8.3116669172035156</v>
      </c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>
        <f t="shared" si="72"/>
        <v>84</v>
      </c>
      <c r="CI242" s="113">
        <f t="shared" si="73"/>
        <v>149.76675366721204</v>
      </c>
      <c r="CJ242" s="124">
        <f t="shared" si="85"/>
        <v>5.8129246755214794</v>
      </c>
      <c r="CK242" s="124">
        <f t="shared" si="86"/>
        <v>57.850184489619735</v>
      </c>
      <c r="CL242" s="124">
        <f t="shared" si="87"/>
        <v>44.942681946991193</v>
      </c>
      <c r="CM242" s="124">
        <f t="shared" si="88"/>
        <v>25.567908166927964</v>
      </c>
      <c r="CN242" s="124">
        <f t="shared" si="89"/>
        <v>43.560631991917248</v>
      </c>
      <c r="CO242" s="124">
        <f t="shared" si="90"/>
        <v>23.915295598874636</v>
      </c>
      <c r="CP242" s="124">
        <f t="shared" si="91"/>
        <v>11.945702097339975</v>
      </c>
      <c r="CQ242" s="124">
        <f t="shared" si="92"/>
        <v>25.974062637377799</v>
      </c>
      <c r="CR242" s="144">
        <f t="shared" si="111"/>
        <v>239.56939160457006</v>
      </c>
    </row>
    <row r="243" spans="1:96" ht="14">
      <c r="A243">
        <f t="shared" si="149"/>
        <v>85</v>
      </c>
      <c r="B243" s="19">
        <f t="shared" si="149"/>
        <v>165</v>
      </c>
      <c r="C243" s="26">
        <f t="shared" si="105"/>
        <v>150.11488121693054</v>
      </c>
      <c r="D243" s="26"/>
      <c r="E243" s="26"/>
      <c r="F243" s="141">
        <f t="shared" ref="F243:G243" si="164">F242</f>
        <v>6.0606231572568161</v>
      </c>
      <c r="G243" s="141">
        <f t="shared" si="164"/>
        <v>0.7542108817919595</v>
      </c>
      <c r="H243" s="140">
        <f>(H$118)*('Product half-life and C flows'!L144/100)</f>
        <v>0.34367534983384007</v>
      </c>
      <c r="I243" s="140">
        <f>(($C$39*$C$118*0.28)*H$41)*('Product half-life and C flows'!N144/100)</f>
        <v>1.0076234447108996</v>
      </c>
      <c r="J243" s="140">
        <f>(($C$39*$C$118*0.28)*H$41)*(+'Product half-life and C flows'!P144/100)</f>
        <v>0.50330841394150805</v>
      </c>
      <c r="K243" s="141">
        <f t="shared" si="60"/>
        <v>1.3434381331919276</v>
      </c>
      <c r="L243" s="26"/>
      <c r="M243" s="142">
        <f>(C$158-C$138)*(0.4*D$14)*('Product half-life and C flows'!B104/100)</f>
        <v>0.18112629423838278</v>
      </c>
      <c r="N243" s="85"/>
      <c r="O243" s="143">
        <f t="shared" si="159"/>
        <v>7.7764117579468763</v>
      </c>
      <c r="P243" s="142">
        <f t="shared" si="160"/>
        <v>4.9627394570272001</v>
      </c>
      <c r="Q243" s="142">
        <f>(C$158-C$138)*(0.6*C$15)*('Product half-life and C flows'!L104/100)</f>
        <v>4.1875430329276115</v>
      </c>
      <c r="R243" s="142">
        <f>(C$158-C$138)*0.6*('Product half-life and C flows'!N104/100)</f>
        <v>7.5548925253684489</v>
      </c>
      <c r="S243" s="142">
        <f>(C$158-C$138)*0.6*('Product half-life and C flows'!P104/100)</f>
        <v>3.7736725900941295</v>
      </c>
      <c r="T243" s="142">
        <f t="shared" si="108"/>
        <v>2.3868995287687382</v>
      </c>
      <c r="U243" s="3"/>
      <c r="V243" s="142">
        <f t="shared" ref="V243:V306" si="165">$M223</f>
        <v>0.36225258847676561</v>
      </c>
      <c r="W243" s="142">
        <f t="shared" ref="W243:W306" si="166">$N223</f>
        <v>0</v>
      </c>
      <c r="X243" s="142">
        <f t="shared" ref="X243:X306" si="167">$O223</f>
        <v>7.7764117579468763</v>
      </c>
      <c r="Y243" s="142">
        <f t="shared" ref="Y243:Y306" si="168">$P223</f>
        <v>4.9627394570272001</v>
      </c>
      <c r="Z243" s="142">
        <f t="shared" ref="Z243:Z306" si="169">$Q223</f>
        <v>5.6983666845077758</v>
      </c>
      <c r="AA243" s="142">
        <f t="shared" ref="AA243:AA306" si="170">$R223</f>
        <v>6.54666954188062</v>
      </c>
      <c r="AB243" s="142">
        <f t="shared" ref="AB243:AB306" si="171">$S223</f>
        <v>3.2700647062340749</v>
      </c>
      <c r="AC243" s="142">
        <f t="shared" ref="AC243:AC306" si="172">$T223</f>
        <v>3.2480690101694321</v>
      </c>
      <c r="AD243" s="115"/>
      <c r="AE243" s="142">
        <f t="shared" ref="AE243:AL243" si="173">V223</f>
        <v>0.72450517695353112</v>
      </c>
      <c r="AF243" s="142">
        <f t="shared" si="173"/>
        <v>0</v>
      </c>
      <c r="AG243" s="142">
        <f t="shared" si="173"/>
        <v>7.7764117579468763</v>
      </c>
      <c r="AH243" s="142">
        <f t="shared" si="173"/>
        <v>4.9627394570272001</v>
      </c>
      <c r="AI243" s="142">
        <f t="shared" si="173"/>
        <v>7.7542804016050004</v>
      </c>
      <c r="AJ243" s="142">
        <f t="shared" si="173"/>
        <v>5.1746897880044065</v>
      </c>
      <c r="AK243" s="142">
        <f t="shared" si="173"/>
        <v>2.5847601338683335</v>
      </c>
      <c r="AL243" s="142">
        <f t="shared" si="173"/>
        <v>4.4199398289148499</v>
      </c>
      <c r="AM243" s="115"/>
      <c r="AN243" s="144">
        <f t="shared" ref="AN243:AU243" si="174">AE223</f>
        <v>1.4490103539070622</v>
      </c>
      <c r="AO243" s="144">
        <f t="shared" si="174"/>
        <v>0</v>
      </c>
      <c r="AP243" s="144">
        <f t="shared" si="174"/>
        <v>7.7764117579468763</v>
      </c>
      <c r="AQ243" s="144">
        <f t="shared" si="174"/>
        <v>4.9627394570272001</v>
      </c>
      <c r="AR243" s="144">
        <f t="shared" si="174"/>
        <v>10.551947229052235</v>
      </c>
      <c r="AS243" s="144">
        <f t="shared" si="174"/>
        <v>3.3077134584879491</v>
      </c>
      <c r="AT243" s="144">
        <f t="shared" si="174"/>
        <v>1.6522045247192549</v>
      </c>
      <c r="AU243" s="144">
        <f t="shared" si="174"/>
        <v>6.0146099205597734</v>
      </c>
      <c r="AV243" s="115"/>
      <c r="AW243" s="144">
        <f t="shared" ref="AW243:BD243" si="175">AN223</f>
        <v>2.8980207078141245</v>
      </c>
      <c r="AX243" s="144">
        <f t="shared" si="175"/>
        <v>59.573357912198624</v>
      </c>
      <c r="AY243" s="144">
        <f t="shared" si="175"/>
        <v>7.7764117579468763</v>
      </c>
      <c r="AZ243" s="144">
        <f t="shared" si="175"/>
        <v>4.9627394570272001</v>
      </c>
      <c r="BA243" s="144">
        <f t="shared" si="175"/>
        <v>14.35898427166201</v>
      </c>
      <c r="BB243" s="144">
        <f t="shared" si="175"/>
        <v>0.76715073871969297</v>
      </c>
      <c r="BC243" s="144">
        <f t="shared" si="175"/>
        <v>0.38319217718266385</v>
      </c>
      <c r="BD243" s="144">
        <f t="shared" si="175"/>
        <v>8.1846210348473445</v>
      </c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>
        <f t="shared" si="72"/>
        <v>85</v>
      </c>
      <c r="CI243" s="113">
        <f t="shared" si="73"/>
        <v>150.11488121693054</v>
      </c>
      <c r="CJ243" s="124">
        <f t="shared" si="85"/>
        <v>5.614915121389866</v>
      </c>
      <c r="CK243" s="124">
        <f t="shared" si="86"/>
        <v>59.573357912198624</v>
      </c>
      <c r="CL243" s="124">
        <f t="shared" si="87"/>
        <v>44.942681946991193</v>
      </c>
      <c r="CM243" s="124">
        <f t="shared" si="88"/>
        <v>25.567908166927964</v>
      </c>
      <c r="CN243" s="124">
        <f t="shared" si="89"/>
        <v>42.894796969588469</v>
      </c>
      <c r="CO243" s="124">
        <f t="shared" si="90"/>
        <v>24.358739497172017</v>
      </c>
      <c r="CP243" s="124">
        <f t="shared" si="91"/>
        <v>12.167202546039967</v>
      </c>
      <c r="CQ243" s="124">
        <f t="shared" si="92"/>
        <v>25.597577456452065</v>
      </c>
      <c r="CR243" s="144">
        <f t="shared" si="111"/>
        <v>240.71717961676015</v>
      </c>
    </row>
    <row r="244" spans="1:96" ht="14">
      <c r="A244">
        <f t="shared" si="149"/>
        <v>86</v>
      </c>
      <c r="B244" s="19">
        <f t="shared" si="149"/>
        <v>166</v>
      </c>
      <c r="C244" s="26">
        <f t="shared" si="105"/>
        <v>150.45663852721071</v>
      </c>
      <c r="D244" s="26"/>
      <c r="E244" s="26"/>
      <c r="F244" s="141">
        <f t="shared" ref="F244:G244" si="176">F243</f>
        <v>6.0606231572568161</v>
      </c>
      <c r="G244" s="141">
        <f t="shared" si="176"/>
        <v>0.7542108817919595</v>
      </c>
      <c r="H244" s="140">
        <f>(H$118)*('Product half-life and C flows'!L145/100)</f>
        <v>0.33842218720128409</v>
      </c>
      <c r="I244" s="140">
        <f>(($C$39*$C$118*0.28)*H$41)*('Product half-life and C flows'!N145/100)</f>
        <v>1.0102526526084938</v>
      </c>
      <c r="J244" s="140">
        <f>(($C$39*$C$118*0.28)*H$41)*(+'Product half-life and C flows'!P145/100)</f>
        <v>0.50462170459964706</v>
      </c>
      <c r="K244" s="141">
        <f t="shared" si="60"/>
        <v>1.3434381331919276</v>
      </c>
      <c r="L244" s="26"/>
      <c r="M244" s="142">
        <f>(C$158-C$138)*(0.4*D$14)*('Product half-life and C flows'!B105/100)</f>
        <v>0.17495646772838486</v>
      </c>
      <c r="N244" s="85"/>
      <c r="O244" s="143">
        <f t="shared" si="159"/>
        <v>7.7764117579468763</v>
      </c>
      <c r="P244" s="142">
        <f t="shared" si="160"/>
        <v>4.9627394570272001</v>
      </c>
      <c r="Q244" s="142">
        <f>(C$158-C$138)*(0.6*C$15)*('Product half-life and C flows'!L105/100)</f>
        <v>4.1235354030716129</v>
      </c>
      <c r="R244" s="142">
        <f>(C$158-C$138)*0.6*('Product half-life and C flows'!N105/100)</f>
        <v>7.5976069503590189</v>
      </c>
      <c r="S244" s="142">
        <f>(C$158-C$138)*0.6*('Product half-life and C flows'!P105/100)</f>
        <v>3.7950084667127957</v>
      </c>
      <c r="T244" s="142">
        <f t="shared" si="108"/>
        <v>2.350415179750819</v>
      </c>
      <c r="U244" s="3"/>
      <c r="V244" s="142">
        <f t="shared" si="165"/>
        <v>0.34991293545676982</v>
      </c>
      <c r="W244" s="142">
        <f t="shared" si="166"/>
        <v>0</v>
      </c>
      <c r="X244" s="142">
        <f t="shared" si="167"/>
        <v>7.7764117579468763</v>
      </c>
      <c r="Y244" s="142">
        <f t="shared" si="168"/>
        <v>4.9627394570272001</v>
      </c>
      <c r="Z244" s="142">
        <f t="shared" si="169"/>
        <v>5.6112657418648686</v>
      </c>
      <c r="AA244" s="142">
        <f t="shared" si="170"/>
        <v>6.604794904270987</v>
      </c>
      <c r="AB244" s="142">
        <f t="shared" si="171"/>
        <v>3.2990983537817109</v>
      </c>
      <c r="AC244" s="142">
        <f t="shared" si="172"/>
        <v>3.1984214728629747</v>
      </c>
      <c r="AD244" s="115"/>
      <c r="AE244" s="142">
        <f t="shared" ref="AE244:AL244" si="177">V224</f>
        <v>0.69982587091353965</v>
      </c>
      <c r="AF244" s="142">
        <f t="shared" si="177"/>
        <v>0</v>
      </c>
      <c r="AG244" s="142">
        <f t="shared" si="177"/>
        <v>7.7764117579468763</v>
      </c>
      <c r="AH244" s="142">
        <f t="shared" si="177"/>
        <v>4.9627394570272001</v>
      </c>
      <c r="AI244" s="142">
        <f t="shared" si="177"/>
        <v>7.6357543098507712</v>
      </c>
      <c r="AJ244" s="142">
        <f t="shared" si="177"/>
        <v>5.2537861999017288</v>
      </c>
      <c r="AK244" s="142">
        <f t="shared" si="177"/>
        <v>2.6242688311197431</v>
      </c>
      <c r="AL244" s="142">
        <f t="shared" si="177"/>
        <v>4.3523799566149393</v>
      </c>
      <c r="AM244" s="115"/>
      <c r="AN244" s="144">
        <f t="shared" ref="AN244:AU244" si="178">AE224</f>
        <v>1.3996517418270789</v>
      </c>
      <c r="AO244" s="144">
        <f t="shared" si="178"/>
        <v>0</v>
      </c>
      <c r="AP244" s="144">
        <f t="shared" si="178"/>
        <v>7.7764117579468763</v>
      </c>
      <c r="AQ244" s="144">
        <f t="shared" si="178"/>
        <v>4.9627394570272001</v>
      </c>
      <c r="AR244" s="144">
        <f t="shared" si="178"/>
        <v>10.390658108633332</v>
      </c>
      <c r="AS244" s="144">
        <f t="shared" si="178"/>
        <v>3.4153470648474982</v>
      </c>
      <c r="AT244" s="144">
        <f t="shared" si="178"/>
        <v>1.7059675648588901</v>
      </c>
      <c r="AU244" s="144">
        <f t="shared" si="178"/>
        <v>5.9226751219209985</v>
      </c>
      <c r="AV244" s="115"/>
      <c r="AW244" s="144">
        <f t="shared" ref="AW244:BD244" si="179">AN224</f>
        <v>2.7993034836541577</v>
      </c>
      <c r="AX244" s="144">
        <f t="shared" si="179"/>
        <v>61.296531334777512</v>
      </c>
      <c r="AY244" s="144">
        <f t="shared" si="179"/>
        <v>7.7764117579468763</v>
      </c>
      <c r="AZ244" s="144">
        <f t="shared" si="179"/>
        <v>4.9627394570272001</v>
      </c>
      <c r="BA244" s="144">
        <f t="shared" si="179"/>
        <v>14.139503649459039</v>
      </c>
      <c r="BB244" s="144">
        <f t="shared" si="179"/>
        <v>0.91361747393647497</v>
      </c>
      <c r="BC244" s="144">
        <f t="shared" si="179"/>
        <v>0.4563523845836539</v>
      </c>
      <c r="BD244" s="144">
        <f t="shared" si="179"/>
        <v>8.059517080191652</v>
      </c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>
        <f t="shared" si="72"/>
        <v>86</v>
      </c>
      <c r="CI244" s="113">
        <f t="shared" si="73"/>
        <v>150.45663852721071</v>
      </c>
      <c r="CJ244" s="124">
        <f t="shared" si="85"/>
        <v>5.4236504995799306</v>
      </c>
      <c r="CK244" s="124">
        <f t="shared" si="86"/>
        <v>61.296531334777512</v>
      </c>
      <c r="CL244" s="124">
        <f t="shared" si="87"/>
        <v>44.942681946991193</v>
      </c>
      <c r="CM244" s="124">
        <f t="shared" si="88"/>
        <v>25.567908166927964</v>
      </c>
      <c r="CN244" s="124">
        <f t="shared" si="89"/>
        <v>42.239139400080909</v>
      </c>
      <c r="CO244" s="124">
        <f t="shared" si="90"/>
        <v>24.795405245924204</v>
      </c>
      <c r="CP244" s="124">
        <f t="shared" si="91"/>
        <v>12.385317305656441</v>
      </c>
      <c r="CQ244" s="124">
        <f t="shared" si="92"/>
        <v>25.226846944533314</v>
      </c>
      <c r="CR244" s="144">
        <f t="shared" si="111"/>
        <v>241.87748084447148</v>
      </c>
    </row>
    <row r="245" spans="1:96" ht="14">
      <c r="A245">
        <f t="shared" si="149"/>
        <v>87</v>
      </c>
      <c r="B245" s="19">
        <f t="shared" si="149"/>
        <v>167</v>
      </c>
      <c r="C245" s="26">
        <f t="shared" si="105"/>
        <v>150.79213160552499</v>
      </c>
      <c r="D245" s="26"/>
      <c r="E245" s="26"/>
      <c r="F245" s="141">
        <f t="shared" ref="F245:G245" si="180">F244</f>
        <v>6.0606231572568161</v>
      </c>
      <c r="G245" s="141">
        <f t="shared" si="180"/>
        <v>0.7542108817919595</v>
      </c>
      <c r="H245" s="140">
        <f>(H$118)*('Product half-life and C flows'!L146/100)</f>
        <v>0.33324932045744227</v>
      </c>
      <c r="I245" s="140">
        <f>(($C$39*$C$118*0.28)*H$41)*('Product half-life and C flows'!N146/100)</f>
        <v>1.0128416724137868</v>
      </c>
      <c r="J245" s="140">
        <f>(($C$39*$C$118*0.28)*H$41)*(+'Product half-life and C flows'!P146/100)</f>
        <v>0.50591492128560744</v>
      </c>
      <c r="K245" s="141">
        <f t="shared" si="60"/>
        <v>1.3434381331919276</v>
      </c>
      <c r="L245" s="26"/>
      <c r="M245" s="142">
        <f>(C$158-C$138)*(0.4*D$14)*('Product half-life and C flows'!B106/100)</f>
        <v>0.16899680815921439</v>
      </c>
      <c r="N245" s="85"/>
      <c r="O245" s="143">
        <f t="shared" si="159"/>
        <v>7.7764117579468763</v>
      </c>
      <c r="P245" s="142">
        <f t="shared" si="160"/>
        <v>4.9627394570272001</v>
      </c>
      <c r="Q245" s="142">
        <f>(C$158-C$138)*(0.6*C$15)*('Product half-life and C flows'!L106/100)</f>
        <v>4.0605061456520435</v>
      </c>
      <c r="R245" s="142">
        <f>(C$158-C$138)*0.6*('Product half-life and C flows'!N106/100)</f>
        <v>7.6396684748103443</v>
      </c>
      <c r="S245" s="142">
        <f>(C$158-C$138)*0.6*('Product half-life and C flows'!P106/100)</f>
        <v>3.816018219185985</v>
      </c>
      <c r="T245" s="142">
        <f t="shared" si="108"/>
        <v>2.3144885030216646</v>
      </c>
      <c r="U245" s="3"/>
      <c r="V245" s="142">
        <f t="shared" si="165"/>
        <v>0.33799361631842861</v>
      </c>
      <c r="W245" s="142">
        <f t="shared" si="166"/>
        <v>0</v>
      </c>
      <c r="X245" s="142">
        <f t="shared" si="167"/>
        <v>7.7764117579468763</v>
      </c>
      <c r="Y245" s="142">
        <f t="shared" si="168"/>
        <v>4.9627394570272001</v>
      </c>
      <c r="Z245" s="142">
        <f t="shared" si="169"/>
        <v>5.5254961586499034</v>
      </c>
      <c r="AA245" s="142">
        <f t="shared" si="170"/>
        <v>6.662031806136441</v>
      </c>
      <c r="AB245" s="142">
        <f t="shared" si="171"/>
        <v>3.327688214853366</v>
      </c>
      <c r="AC245" s="142">
        <f t="shared" si="172"/>
        <v>3.1495328104304448</v>
      </c>
      <c r="AD245" s="115"/>
      <c r="AE245" s="142">
        <f t="shared" ref="AE245:AL245" si="181">V225</f>
        <v>0.67598723263685712</v>
      </c>
      <c r="AF245" s="142">
        <f t="shared" si="181"/>
        <v>0</v>
      </c>
      <c r="AG245" s="142">
        <f t="shared" si="181"/>
        <v>7.7764117579468763</v>
      </c>
      <c r="AH245" s="142">
        <f t="shared" si="181"/>
        <v>4.9627394570272001</v>
      </c>
      <c r="AI245" s="142">
        <f t="shared" si="181"/>
        <v>7.5190399186927204</v>
      </c>
      <c r="AJ245" s="142">
        <f t="shared" si="181"/>
        <v>5.3316736036012013</v>
      </c>
      <c r="AK245" s="142">
        <f t="shared" si="181"/>
        <v>2.6631736281724274</v>
      </c>
      <c r="AL245" s="142">
        <f t="shared" si="181"/>
        <v>4.2858527536548499</v>
      </c>
      <c r="AM245" s="115"/>
      <c r="AN245" s="144">
        <f t="shared" ref="AN245:AU245" si="182">AE225</f>
        <v>1.3519744652737142</v>
      </c>
      <c r="AO245" s="144">
        <f t="shared" si="182"/>
        <v>0</v>
      </c>
      <c r="AP245" s="144">
        <f t="shared" si="182"/>
        <v>7.7764117579468763</v>
      </c>
      <c r="AQ245" s="144">
        <f t="shared" si="182"/>
        <v>4.9627394570272001</v>
      </c>
      <c r="AR245" s="144">
        <f t="shared" si="182"/>
        <v>10.231834332269013</v>
      </c>
      <c r="AS245" s="144">
        <f t="shared" si="182"/>
        <v>3.5213354649412865</v>
      </c>
      <c r="AT245" s="144">
        <f t="shared" si="182"/>
        <v>1.7589088236469963</v>
      </c>
      <c r="AU245" s="144">
        <f t="shared" si="182"/>
        <v>5.8321455693933375</v>
      </c>
      <c r="AV245" s="115"/>
      <c r="AW245" s="144">
        <f t="shared" ref="AW245:BD245" si="183">AN225</f>
        <v>2.7039489305474285</v>
      </c>
      <c r="AX245" s="144">
        <f t="shared" si="183"/>
        <v>63.019704757356401</v>
      </c>
      <c r="AY245" s="144">
        <f t="shared" si="183"/>
        <v>7.7764117579468763</v>
      </c>
      <c r="AZ245" s="144">
        <f t="shared" si="183"/>
        <v>4.9627394570272001</v>
      </c>
      <c r="BA245" s="144">
        <f t="shared" si="183"/>
        <v>13.923377842792547</v>
      </c>
      <c r="BB245" s="144">
        <f t="shared" si="183"/>
        <v>1.0578454289185806</v>
      </c>
      <c r="BC245" s="144">
        <f t="shared" si="183"/>
        <v>0.52839432013915122</v>
      </c>
      <c r="BD245" s="144">
        <f t="shared" si="183"/>
        <v>7.9363253703917511</v>
      </c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>
        <f t="shared" si="72"/>
        <v>87</v>
      </c>
      <c r="CI245" s="113">
        <f t="shared" si="73"/>
        <v>150.79213160552499</v>
      </c>
      <c r="CJ245" s="124">
        <f t="shared" si="85"/>
        <v>5.2389010529356428</v>
      </c>
      <c r="CK245" s="124">
        <f t="shared" si="86"/>
        <v>63.019704757356401</v>
      </c>
      <c r="CL245" s="124">
        <f t="shared" si="87"/>
        <v>44.942681946991193</v>
      </c>
      <c r="CM245" s="124">
        <f t="shared" si="88"/>
        <v>25.567908166927964</v>
      </c>
      <c r="CN245" s="124">
        <f t="shared" si="89"/>
        <v>41.593503718513674</v>
      </c>
      <c r="CO245" s="124">
        <f t="shared" si="90"/>
        <v>25.225396450821638</v>
      </c>
      <c r="CP245" s="124">
        <f t="shared" si="91"/>
        <v>12.600098127283534</v>
      </c>
      <c r="CQ245" s="124">
        <f t="shared" si="92"/>
        <v>24.861783140083972</v>
      </c>
      <c r="CR245" s="144">
        <f t="shared" si="111"/>
        <v>243.049977360914</v>
      </c>
    </row>
    <row r="246" spans="1:96" ht="14">
      <c r="A246">
        <f t="shared" si="149"/>
        <v>88</v>
      </c>
      <c r="B246" s="19">
        <f t="shared" si="149"/>
        <v>168</v>
      </c>
      <c r="C246" s="26">
        <f t="shared" si="105"/>
        <v>151.12146512743382</v>
      </c>
      <c r="D246" s="26"/>
      <c r="E246" s="26"/>
      <c r="F246" s="141">
        <f t="shared" ref="F246:G246" si="184">F245</f>
        <v>6.0606231572568161</v>
      </c>
      <c r="G246" s="141">
        <f t="shared" si="184"/>
        <v>0.7542108817919595</v>
      </c>
      <c r="H246" s="140">
        <f>(H$118)*('Product half-life and C flows'!L147/100)</f>
        <v>0.32815552225981731</v>
      </c>
      <c r="I246" s="140">
        <f>(($C$39*$C$118*0.28)*H$41)*('Product half-life and C flows'!N147/100)</f>
        <v>1.0153911184116979</v>
      </c>
      <c r="J246" s="140">
        <f>(($C$39*$C$118*0.28)*H$41)*(+'Product half-life and C flows'!P147/100)</f>
        <v>0.50718837083501378</v>
      </c>
      <c r="K246" s="141">
        <f t="shared" si="60"/>
        <v>1.3434381331919276</v>
      </c>
      <c r="L246" s="26"/>
      <c r="M246" s="142">
        <f>(C$158-C$138)*(0.4*D$14)*('Product half-life and C flows'!B107/100)</f>
        <v>0.16324015647332785</v>
      </c>
      <c r="N246" s="85"/>
      <c r="O246" s="143">
        <f t="shared" si="159"/>
        <v>7.7764117579468763</v>
      </c>
      <c r="P246" s="142">
        <f t="shared" si="160"/>
        <v>4.9627394570272001</v>
      </c>
      <c r="Q246" s="142">
        <f>(C$158-C$138)*(0.6*C$15)*('Product half-life and C flows'!L107/100)</f>
        <v>3.998440306004492</v>
      </c>
      <c r="R246" s="142">
        <f>(C$158-C$138)*0.6*('Product half-life and C flows'!N107/100)</f>
        <v>7.6810870784684777</v>
      </c>
      <c r="S246" s="142">
        <f>(C$158-C$138)*0.6*('Product half-life and C flows'!P107/100)</f>
        <v>3.8367068324018359</v>
      </c>
      <c r="T246" s="142">
        <f t="shared" si="108"/>
        <v>2.2791109744225602</v>
      </c>
      <c r="U246" s="3"/>
      <c r="V246" s="142">
        <f t="shared" si="165"/>
        <v>0.32648031294665569</v>
      </c>
      <c r="W246" s="142">
        <f t="shared" si="166"/>
        <v>0</v>
      </c>
      <c r="X246" s="142">
        <f t="shared" si="167"/>
        <v>7.7764117579468763</v>
      </c>
      <c r="Y246" s="142">
        <f t="shared" si="168"/>
        <v>4.9627394570272001</v>
      </c>
      <c r="Z246" s="142">
        <f t="shared" si="169"/>
        <v>5.4410375847050894</v>
      </c>
      <c r="AA246" s="142">
        <f t="shared" si="170"/>
        <v>6.7183938278156141</v>
      </c>
      <c r="AB246" s="142">
        <f t="shared" si="171"/>
        <v>3.3558410728349708</v>
      </c>
      <c r="AC246" s="142">
        <f t="shared" si="172"/>
        <v>3.1013914232819007</v>
      </c>
      <c r="AD246" s="115"/>
      <c r="AE246" s="142">
        <f t="shared" ref="AE246:AL246" si="185">V226</f>
        <v>0.65296062589331128</v>
      </c>
      <c r="AF246" s="142">
        <f t="shared" si="185"/>
        <v>0</v>
      </c>
      <c r="AG246" s="142">
        <f t="shared" si="185"/>
        <v>7.7764117579468763</v>
      </c>
      <c r="AH246" s="142">
        <f t="shared" si="185"/>
        <v>4.9627394570272001</v>
      </c>
      <c r="AI246" s="142">
        <f t="shared" si="185"/>
        <v>7.4041095358396269</v>
      </c>
      <c r="AJ246" s="142">
        <f t="shared" si="185"/>
        <v>5.4083704790918317</v>
      </c>
      <c r="AK246" s="142">
        <f t="shared" si="185"/>
        <v>2.7014837557901243</v>
      </c>
      <c r="AL246" s="142">
        <f t="shared" si="185"/>
        <v>4.220342435428587</v>
      </c>
      <c r="AM246" s="115"/>
      <c r="AN246" s="144">
        <f t="shared" ref="AN246:AU246" si="186">AE226</f>
        <v>1.3059212517866228</v>
      </c>
      <c r="AO246" s="144">
        <f t="shared" si="186"/>
        <v>0</v>
      </c>
      <c r="AP246" s="144">
        <f t="shared" si="186"/>
        <v>7.7764117579468763</v>
      </c>
      <c r="AQ246" s="144">
        <f t="shared" si="186"/>
        <v>4.9627394570272001</v>
      </c>
      <c r="AR246" s="144">
        <f t="shared" si="186"/>
        <v>10.075438216566313</v>
      </c>
      <c r="AS246" s="144">
        <f t="shared" si="186"/>
        <v>3.6257038061535538</v>
      </c>
      <c r="AT246" s="144">
        <f t="shared" si="186"/>
        <v>1.8110408622145622</v>
      </c>
      <c r="AU246" s="144">
        <f t="shared" si="186"/>
        <v>5.7429997834427979</v>
      </c>
      <c r="AV246" s="115"/>
      <c r="AW246" s="144">
        <f t="shared" ref="AW246:BD246" si="187">AN226</f>
        <v>2.6118425035732455</v>
      </c>
      <c r="AX246" s="144">
        <f t="shared" si="187"/>
        <v>64.742878179935289</v>
      </c>
      <c r="AY246" s="144">
        <f t="shared" si="187"/>
        <v>7.7764117579468763</v>
      </c>
      <c r="AZ246" s="144">
        <f t="shared" si="187"/>
        <v>4.9627394570272001</v>
      </c>
      <c r="BA246" s="144">
        <f t="shared" si="187"/>
        <v>13.710555572478198</v>
      </c>
      <c r="BB246" s="144">
        <f t="shared" si="187"/>
        <v>1.1998688239750228</v>
      </c>
      <c r="BC246" s="144">
        <f t="shared" si="187"/>
        <v>0.59933507691060084</v>
      </c>
      <c r="BD246" s="144">
        <f t="shared" si="187"/>
        <v>7.8150166763125721</v>
      </c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>
        <f t="shared" si="72"/>
        <v>88</v>
      </c>
      <c r="CI246" s="113">
        <f t="shared" si="73"/>
        <v>151.12146512743382</v>
      </c>
      <c r="CJ246" s="124">
        <f t="shared" ref="CJ246:CJ277" si="188">D246+M246+V246+AE246+AN246+AW246+BF246+BO246+BX246</f>
        <v>5.0604448506731634</v>
      </c>
      <c r="CK246" s="124">
        <f t="shared" ref="CK246:CK277" si="189">E246+N246+W246+AF246+AO246+AX246+BG246+BP246+BY246</f>
        <v>64.742878179935289</v>
      </c>
      <c r="CL246" s="124">
        <f t="shared" ref="CL246:CL277" si="190">F246+O246+X246+AG246+AP246+AY246+BH246+BQ246+BZ246</f>
        <v>44.942681946991193</v>
      </c>
      <c r="CM246" s="124">
        <f t="shared" ref="CM246:CM277" si="191">G246+P246+Y246+AH246+AQ246+AZ246+BI246+BR246+CA246</f>
        <v>25.567908166927964</v>
      </c>
      <c r="CN246" s="124">
        <f t="shared" ref="CN246:CN277" si="192">H246+Q246+Z246+AI246+AR246+BA246+BJ246+BS246+CB246</f>
        <v>40.957736737853537</v>
      </c>
      <c r="CO246" s="124">
        <f t="shared" ref="CO246:CO277" si="193">I246+R246+AA246+AJ246+AS246+BB246+BK246+BT246+CC246</f>
        <v>25.648815133916198</v>
      </c>
      <c r="CP246" s="124">
        <f t="shared" ref="CP246:CP277" si="194">J246+S246+AB246+AK246+AT246+BC246+BL246+BU246+CD246</f>
        <v>12.811595970987108</v>
      </c>
      <c r="CQ246" s="124">
        <f t="shared" ref="CQ246:CQ277" si="195">K246+T246+AC246+AL246+AU246+BD246+BM246+BV246+CE246</f>
        <v>24.502299426080349</v>
      </c>
      <c r="CR246" s="144">
        <f t="shared" si="111"/>
        <v>244.23436041336481</v>
      </c>
    </row>
    <row r="247" spans="1:96" ht="14">
      <c r="A247">
        <f t="shared" si="149"/>
        <v>89</v>
      </c>
      <c r="B247" s="19">
        <f t="shared" si="149"/>
        <v>169</v>
      </c>
      <c r="C247" s="26">
        <f t="shared" si="105"/>
        <v>151.44474243417059</v>
      </c>
      <c r="D247" s="26"/>
      <c r="E247" s="26"/>
      <c r="F247" s="141">
        <f t="shared" ref="F247:G247" si="196">F246</f>
        <v>6.0606231572568161</v>
      </c>
      <c r="G247" s="141">
        <f t="shared" si="196"/>
        <v>0.7542108817919595</v>
      </c>
      <c r="H247" s="140">
        <f>(H$118)*('Product half-life and C flows'!L148/100)</f>
        <v>0.32313958402614534</v>
      </c>
      <c r="I247" s="140">
        <f>(($C$39*$C$118*0.28)*H$41)*('Product half-life and C flows'!N148/100)</f>
        <v>1.0179015954976509</v>
      </c>
      <c r="J247" s="140">
        <f>(($C$39*$C$118*0.28)*H$41)*(+'Product half-life and C flows'!P148/100)</f>
        <v>0.50844235539343174</v>
      </c>
      <c r="K247" s="141">
        <f t="shared" si="60"/>
        <v>1.3434381331919276</v>
      </c>
      <c r="L247" s="26"/>
      <c r="M247" s="142">
        <f>(C$158-C$138)*(0.4*D$14)*('Product half-life and C flows'!B108/100)</f>
        <v>0.15767959747696364</v>
      </c>
      <c r="N247" s="85"/>
      <c r="O247" s="143">
        <f t="shared" si="159"/>
        <v>7.7764117579468763</v>
      </c>
      <c r="P247" s="142">
        <f t="shared" si="160"/>
        <v>4.9627394570272001</v>
      </c>
      <c r="Q247" s="142">
        <f>(C$158-C$138)*(0.6*C$15)*('Product half-life and C flows'!L108/100)</f>
        <v>3.9373231580502845</v>
      </c>
      <c r="R247" s="142">
        <f>(C$158-C$138)*0.6*('Product half-life and C flows'!N108/100)</f>
        <v>7.7218725885365851</v>
      </c>
      <c r="S247" s="142">
        <f>(C$158-C$138)*0.6*('Product half-life and C flows'!P108/100)</f>
        <v>3.857079215053238</v>
      </c>
      <c r="T247" s="142">
        <f t="shared" si="108"/>
        <v>2.244274200088662</v>
      </c>
      <c r="U247" s="3"/>
      <c r="V247" s="142">
        <f t="shared" si="165"/>
        <v>0.31535919495392739</v>
      </c>
      <c r="W247" s="142">
        <f t="shared" si="166"/>
        <v>0</v>
      </c>
      <c r="X247" s="142">
        <f t="shared" si="167"/>
        <v>7.7764117579468763</v>
      </c>
      <c r="Y247" s="142">
        <f t="shared" si="168"/>
        <v>4.9627394570272001</v>
      </c>
      <c r="Z247" s="142">
        <f t="shared" si="169"/>
        <v>5.3578699809298236</v>
      </c>
      <c r="AA247" s="142">
        <f t="shared" si="170"/>
        <v>6.7738943420683073</v>
      </c>
      <c r="AB247" s="142">
        <f t="shared" si="171"/>
        <v>3.3835636074267259</v>
      </c>
      <c r="AC247" s="142">
        <f t="shared" si="172"/>
        <v>3.0539858891299994</v>
      </c>
      <c r="AD247" s="115"/>
      <c r="AE247" s="142">
        <f t="shared" ref="AE247:AL247" si="197">V227</f>
        <v>0.63071838990785456</v>
      </c>
      <c r="AF247" s="142">
        <f t="shared" si="197"/>
        <v>0</v>
      </c>
      <c r="AG247" s="142">
        <f t="shared" si="197"/>
        <v>7.7764117579468763</v>
      </c>
      <c r="AH247" s="142">
        <f t="shared" si="197"/>
        <v>4.9627394570272001</v>
      </c>
      <c r="AI247" s="142">
        <f t="shared" si="197"/>
        <v>7.2909358922837857</v>
      </c>
      <c r="AJ247" s="142">
        <f t="shared" si="197"/>
        <v>5.4838950238914306</v>
      </c>
      <c r="AK247" s="142">
        <f t="shared" si="197"/>
        <v>2.7392083036420716</v>
      </c>
      <c r="AL247" s="142">
        <f t="shared" si="197"/>
        <v>4.1558334586017578</v>
      </c>
      <c r="AM247" s="115"/>
      <c r="AN247" s="144">
        <f t="shared" ref="AN247:AU247" si="198">AE227</f>
        <v>1.2614367798157096</v>
      </c>
      <c r="AO247" s="144">
        <f t="shared" si="198"/>
        <v>0</v>
      </c>
      <c r="AP247" s="144">
        <f t="shared" si="198"/>
        <v>7.7764117579468763</v>
      </c>
      <c r="AQ247" s="144">
        <f t="shared" si="198"/>
        <v>4.9627394570272001</v>
      </c>
      <c r="AR247" s="144">
        <f t="shared" si="198"/>
        <v>9.9214326541322233</v>
      </c>
      <c r="AS247" s="144">
        <f t="shared" si="198"/>
        <v>3.728476851484571</v>
      </c>
      <c r="AT247" s="144">
        <f t="shared" si="198"/>
        <v>1.8623760496925927</v>
      </c>
      <c r="AU247" s="144">
        <f t="shared" si="198"/>
        <v>5.6552166128553667</v>
      </c>
      <c r="AV247" s="115"/>
      <c r="AW247" s="144">
        <f t="shared" ref="AW247:BD247" si="199">AN227</f>
        <v>2.5228735596314182</v>
      </c>
      <c r="AX247" s="144">
        <f t="shared" si="199"/>
        <v>66.466051602514185</v>
      </c>
      <c r="AY247" s="144">
        <f t="shared" si="199"/>
        <v>7.7764117579468763</v>
      </c>
      <c r="AZ247" s="144">
        <f t="shared" si="199"/>
        <v>4.9627394570272001</v>
      </c>
      <c r="BA247" s="144">
        <f t="shared" si="199"/>
        <v>13.500986343146657</v>
      </c>
      <c r="BB247" s="144">
        <f t="shared" si="199"/>
        <v>1.3397213563489379</v>
      </c>
      <c r="BC247" s="144">
        <f t="shared" si="199"/>
        <v>0.66919148668778117</v>
      </c>
      <c r="BD247" s="144">
        <f t="shared" si="199"/>
        <v>7.6955622155935934</v>
      </c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>
        <f t="shared" si="72"/>
        <v>89</v>
      </c>
      <c r="CI247" s="113">
        <f t="shared" si="73"/>
        <v>151.44474243417059</v>
      </c>
      <c r="CJ247" s="124">
        <f t="shared" si="188"/>
        <v>4.8880675217858736</v>
      </c>
      <c r="CK247" s="124">
        <f t="shared" si="189"/>
        <v>66.466051602514185</v>
      </c>
      <c r="CL247" s="124">
        <f t="shared" si="190"/>
        <v>44.942681946991193</v>
      </c>
      <c r="CM247" s="124">
        <f t="shared" si="191"/>
        <v>25.567908166927964</v>
      </c>
      <c r="CN247" s="124">
        <f t="shared" si="192"/>
        <v>40.331687612568921</v>
      </c>
      <c r="CO247" s="124">
        <f t="shared" si="193"/>
        <v>26.065761757827485</v>
      </c>
      <c r="CP247" s="124">
        <f t="shared" si="194"/>
        <v>13.01986101789584</v>
      </c>
      <c r="CQ247" s="124">
        <f t="shared" si="195"/>
        <v>24.148310509461307</v>
      </c>
      <c r="CR247" s="144">
        <f t="shared" si="111"/>
        <v>245.43033013597275</v>
      </c>
    </row>
    <row r="248" spans="1:96" ht="14">
      <c r="A248">
        <f t="shared" si="149"/>
        <v>90</v>
      </c>
      <c r="B248" s="19">
        <f t="shared" si="149"/>
        <v>170</v>
      </c>
      <c r="C248" s="26">
        <f t="shared" si="105"/>
        <v>151.76206553132781</v>
      </c>
      <c r="D248" s="26"/>
      <c r="E248" s="26"/>
      <c r="F248" s="141">
        <f t="shared" ref="F248:G248" si="200">F247</f>
        <v>6.0606231572568161</v>
      </c>
      <c r="G248" s="141">
        <f t="shared" si="200"/>
        <v>0.7542108817919595</v>
      </c>
      <c r="H248" s="140">
        <f>(H$118)*('Product half-life and C flows'!L149/100)</f>
        <v>0.31820031564764051</v>
      </c>
      <c r="I248" s="140">
        <f>(($C$39*$C$118*0.28)*H$41)*('Product half-life and C flows'!N149/100)</f>
        <v>1.0203736993210923</v>
      </c>
      <c r="J248" s="140">
        <f>(($C$39*$C$118*0.28)*H$41)*(+'Product half-life and C flows'!P149/100)</f>
        <v>0.50967717248805799</v>
      </c>
      <c r="K248" s="141">
        <f t="shared" ref="K248:K311" si="201">K247</f>
        <v>1.3434381331919276</v>
      </c>
      <c r="L248" s="26"/>
      <c r="M248" s="142">
        <f>(C$158-C$138)*(0.4*D$14)*('Product half-life and C flows'!B109/100)</f>
        <v>0.15230845153324563</v>
      </c>
      <c r="N248" s="85"/>
      <c r="O248" s="143">
        <f t="shared" si="159"/>
        <v>7.7764117579468763</v>
      </c>
      <c r="P248" s="142">
        <f t="shared" si="160"/>
        <v>4.9627394570272001</v>
      </c>
      <c r="Q248" s="142">
        <f>(C$158-C$138)*(0.6*C$15)*('Product half-life and C flows'!L109/100)</f>
        <v>3.8771402008025002</v>
      </c>
      <c r="R248" s="142">
        <f>(C$158-C$138)*0.6*('Product half-life and C flows'!N109/100)</f>
        <v>7.7620346820066057</v>
      </c>
      <c r="S248" s="142">
        <f>(C$158-C$138)*0.6*('Product half-life and C flows'!P109/100)</f>
        <v>3.8771402008024998</v>
      </c>
      <c r="T248" s="142">
        <f t="shared" si="108"/>
        <v>2.209969914457425</v>
      </c>
      <c r="U248" s="3"/>
      <c r="V248" s="142">
        <f t="shared" si="165"/>
        <v>0.30461690306649125</v>
      </c>
      <c r="W248" s="142">
        <f t="shared" si="166"/>
        <v>0</v>
      </c>
      <c r="X248" s="142">
        <f t="shared" si="167"/>
        <v>7.7764117579468763</v>
      </c>
      <c r="Y248" s="142">
        <f t="shared" si="168"/>
        <v>4.9627394570272001</v>
      </c>
      <c r="Z248" s="142">
        <f t="shared" si="169"/>
        <v>5.2759736145261176</v>
      </c>
      <c r="AA248" s="142">
        <f t="shared" si="170"/>
        <v>6.8285465172483804</v>
      </c>
      <c r="AB248" s="142">
        <f t="shared" si="171"/>
        <v>3.4108623962279605</v>
      </c>
      <c r="AC248" s="142">
        <f t="shared" si="172"/>
        <v>3.0073049602798867</v>
      </c>
      <c r="AD248" s="115"/>
      <c r="AE248" s="142">
        <f t="shared" ref="AE248:AL248" si="202">V228</f>
        <v>0.6092338061329825</v>
      </c>
      <c r="AF248" s="142">
        <f t="shared" si="202"/>
        <v>0</v>
      </c>
      <c r="AG248" s="142">
        <f t="shared" si="202"/>
        <v>7.7764117579468763</v>
      </c>
      <c r="AH248" s="142">
        <f t="shared" si="202"/>
        <v>4.9627394570272001</v>
      </c>
      <c r="AI248" s="142">
        <f t="shared" si="202"/>
        <v>7.1794921358310049</v>
      </c>
      <c r="AJ248" s="142">
        <f t="shared" si="202"/>
        <v>5.5582651573642528</v>
      </c>
      <c r="AK248" s="142">
        <f t="shared" si="202"/>
        <v>2.7763562224596656</v>
      </c>
      <c r="AL248" s="142">
        <f t="shared" si="202"/>
        <v>4.0923105174236722</v>
      </c>
      <c r="AM248" s="115"/>
      <c r="AN248" s="144">
        <f t="shared" ref="AN248:AU248" si="203">AE228</f>
        <v>1.218467612265965</v>
      </c>
      <c r="AO248" s="144">
        <f t="shared" si="203"/>
        <v>0</v>
      </c>
      <c r="AP248" s="144">
        <f t="shared" si="203"/>
        <v>7.7764117579468763</v>
      </c>
      <c r="AQ248" s="144">
        <f t="shared" si="203"/>
        <v>4.9627394570272001</v>
      </c>
      <c r="AR248" s="144">
        <f t="shared" si="203"/>
        <v>9.769781104769411</v>
      </c>
      <c r="AS248" s="144">
        <f t="shared" si="203"/>
        <v>3.8296789854260211</v>
      </c>
      <c r="AT248" s="144">
        <f t="shared" si="203"/>
        <v>1.9129265661468633</v>
      </c>
      <c r="AU248" s="144">
        <f t="shared" si="203"/>
        <v>5.5687752297185638</v>
      </c>
      <c r="AV248" s="115"/>
      <c r="AW248" s="144">
        <f t="shared" ref="AW248:BD248" si="204">AN228</f>
        <v>2.43693522453193</v>
      </c>
      <c r="AX248" s="144">
        <f t="shared" si="204"/>
        <v>68.18922502509308</v>
      </c>
      <c r="AY248" s="144">
        <f t="shared" si="204"/>
        <v>7.7764117579468763</v>
      </c>
      <c r="AZ248" s="144">
        <f t="shared" si="204"/>
        <v>4.9627394570272001</v>
      </c>
      <c r="BA248" s="144">
        <f t="shared" si="204"/>
        <v>13.294620431262789</v>
      </c>
      <c r="BB248" s="144">
        <f t="shared" si="204"/>
        <v>1.4774362082127719</v>
      </c>
      <c r="BC248" s="144">
        <f t="shared" si="204"/>
        <v>0.73798012398240365</v>
      </c>
      <c r="BD248" s="144">
        <f t="shared" si="204"/>
        <v>7.5779336458197895</v>
      </c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>
        <f t="shared" si="72"/>
        <v>90</v>
      </c>
      <c r="CI248" s="113">
        <f t="shared" si="73"/>
        <v>151.76206553132781</v>
      </c>
      <c r="CJ248" s="124">
        <f t="shared" si="188"/>
        <v>4.721561997530614</v>
      </c>
      <c r="CK248" s="124">
        <f t="shared" si="189"/>
        <v>68.18922502509308</v>
      </c>
      <c r="CL248" s="124">
        <f t="shared" si="190"/>
        <v>44.942681946991193</v>
      </c>
      <c r="CM248" s="124">
        <f t="shared" si="191"/>
        <v>25.567908166927964</v>
      </c>
      <c r="CN248" s="124">
        <f t="shared" si="192"/>
        <v>39.715207802839466</v>
      </c>
      <c r="CO248" s="124">
        <f t="shared" si="193"/>
        <v>26.476335249579126</v>
      </c>
      <c r="CP248" s="124">
        <f t="shared" si="194"/>
        <v>13.224942682107452</v>
      </c>
      <c r="CQ248" s="124">
        <f t="shared" si="195"/>
        <v>23.799732400891266</v>
      </c>
      <c r="CR248" s="144">
        <f t="shared" si="111"/>
        <v>246.63759527196015</v>
      </c>
    </row>
    <row r="249" spans="1:96" ht="14">
      <c r="A249">
        <f t="shared" si="149"/>
        <v>91</v>
      </c>
      <c r="B249" s="19">
        <f t="shared" si="149"/>
        <v>171</v>
      </c>
      <c r="C249" s="26">
        <f t="shared" si="105"/>
        <v>152.07353508858631</v>
      </c>
      <c r="D249" s="26"/>
      <c r="E249" s="26"/>
      <c r="F249" s="141">
        <f t="shared" ref="F249:G249" si="205">F248</f>
        <v>6.0606231572568161</v>
      </c>
      <c r="G249" s="141">
        <f t="shared" si="205"/>
        <v>0.7542108817919595</v>
      </c>
      <c r="H249" s="140">
        <f>(H$118)*('Product half-life and C flows'!L150/100)</f>
        <v>0.31333654520662435</v>
      </c>
      <c r="I249" s="140">
        <f>(($C$39*$C$118*0.28)*H$41)*('Product half-life and C flows'!N150/100)</f>
        <v>1.022808016426821</v>
      </c>
      <c r="J249" s="140">
        <f>(($C$39*$C$118*0.28)*H$41)*(+'Product half-life and C flows'!P150/100)</f>
        <v>0.51089311509831192</v>
      </c>
      <c r="K249" s="141">
        <f t="shared" si="201"/>
        <v>1.3434381331919276</v>
      </c>
      <c r="L249" s="26"/>
      <c r="M249" s="142">
        <f>(C$158-C$138)*(0.4*D$14)*('Product half-life and C flows'!B110/100)</f>
        <v>0.14712026653825105</v>
      </c>
      <c r="N249" s="85"/>
      <c r="O249" s="143">
        <f t="shared" si="159"/>
        <v>7.7764117579468763</v>
      </c>
      <c r="P249" s="142">
        <f t="shared" si="160"/>
        <v>4.9627394570272001</v>
      </c>
      <c r="Q249" s="142">
        <f>(C$158-C$138)*(0.6*C$15)*('Product half-life and C flows'!L110/100)</f>
        <v>3.8178771549253856</v>
      </c>
      <c r="R249" s="142">
        <f>(C$158-C$138)*0.6*('Product half-life and C flows'!N110/100)</f>
        <v>7.8015828879552673</v>
      </c>
      <c r="S249" s="142">
        <f>(C$158-C$138)*0.6*('Product half-life and C flows'!P110/100)</f>
        <v>3.8968945494282048</v>
      </c>
      <c r="T249" s="142">
        <f t="shared" si="108"/>
        <v>2.1761899783074696</v>
      </c>
      <c r="U249" s="3"/>
      <c r="V249" s="142">
        <f t="shared" si="165"/>
        <v>0.29424053307650211</v>
      </c>
      <c r="W249" s="142">
        <f t="shared" si="166"/>
        <v>0</v>
      </c>
      <c r="X249" s="142">
        <f t="shared" si="167"/>
        <v>7.7764117579468763</v>
      </c>
      <c r="Y249" s="142">
        <f t="shared" si="168"/>
        <v>4.9627394570272001</v>
      </c>
      <c r="Z249" s="142">
        <f t="shared" si="169"/>
        <v>5.1953290543166659</v>
      </c>
      <c r="AA249" s="142">
        <f t="shared" si="170"/>
        <v>6.8823633204281549</v>
      </c>
      <c r="AB249" s="142">
        <f t="shared" si="171"/>
        <v>3.4377439162977783</v>
      </c>
      <c r="AC249" s="142">
        <f t="shared" si="172"/>
        <v>2.9613375609604993</v>
      </c>
      <c r="AD249" s="115"/>
      <c r="AE249" s="142">
        <f t="shared" ref="AE249:AL249" si="206">V229</f>
        <v>0.58848106615300433</v>
      </c>
      <c r="AF249" s="142">
        <f t="shared" si="206"/>
        <v>0</v>
      </c>
      <c r="AG249" s="142">
        <f t="shared" si="206"/>
        <v>7.7764117579468763</v>
      </c>
      <c r="AH249" s="142">
        <f t="shared" si="206"/>
        <v>4.9627394570272001</v>
      </c>
      <c r="AI249" s="142">
        <f t="shared" si="206"/>
        <v>7.0697518247295204</v>
      </c>
      <c r="AJ249" s="142">
        <f t="shared" si="206"/>
        <v>5.6314985249726428</v>
      </c>
      <c r="AK249" s="142">
        <f t="shared" si="206"/>
        <v>2.8129363261601599</v>
      </c>
      <c r="AL249" s="142">
        <f t="shared" si="206"/>
        <v>4.029758540095826</v>
      </c>
      <c r="AM249" s="115"/>
      <c r="AN249" s="144">
        <f t="shared" ref="AN249:AU249" si="207">AE229</f>
        <v>1.1769621323060084</v>
      </c>
      <c r="AO249" s="144">
        <f t="shared" si="207"/>
        <v>0</v>
      </c>
      <c r="AP249" s="144">
        <f t="shared" si="207"/>
        <v>7.7764117579468763</v>
      </c>
      <c r="AQ249" s="144">
        <f t="shared" si="207"/>
        <v>4.9627394570272001</v>
      </c>
      <c r="AR249" s="144">
        <f t="shared" si="207"/>
        <v>9.6204475868064847</v>
      </c>
      <c r="AS249" s="144">
        <f t="shared" si="207"/>
        <v>3.9293342197466132</v>
      </c>
      <c r="AT249" s="144">
        <f t="shared" si="207"/>
        <v>1.9627044054678384</v>
      </c>
      <c r="AU249" s="144">
        <f t="shared" si="207"/>
        <v>5.4836551244796956</v>
      </c>
      <c r="AV249" s="115"/>
      <c r="AW249" s="144">
        <f t="shared" ref="AW249:BD249" si="208">AN229</f>
        <v>2.3539242646120164</v>
      </c>
      <c r="AX249" s="144">
        <f t="shared" si="208"/>
        <v>69.912398447671976</v>
      </c>
      <c r="AY249" s="144">
        <f t="shared" si="208"/>
        <v>7.7764117579468763</v>
      </c>
      <c r="AZ249" s="144">
        <f t="shared" si="208"/>
        <v>4.9627394570272001</v>
      </c>
      <c r="BA249" s="144">
        <f t="shared" si="208"/>
        <v>13.091408873327982</v>
      </c>
      <c r="BB249" s="144">
        <f t="shared" si="208"/>
        <v>1.6130460545412677</v>
      </c>
      <c r="BC249" s="144">
        <f t="shared" si="208"/>
        <v>0.80571730996067314</v>
      </c>
      <c r="BD249" s="144">
        <f t="shared" si="208"/>
        <v>7.4621030577969494</v>
      </c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>
        <f t="shared" si="72"/>
        <v>91</v>
      </c>
      <c r="CI249" s="113">
        <f t="shared" si="73"/>
        <v>152.07353508858631</v>
      </c>
      <c r="CJ249" s="124">
        <f t="shared" si="188"/>
        <v>4.5607282626857817</v>
      </c>
      <c r="CK249" s="124">
        <f t="shared" si="189"/>
        <v>69.912398447671976</v>
      </c>
      <c r="CL249" s="124">
        <f t="shared" si="190"/>
        <v>44.942681946991193</v>
      </c>
      <c r="CM249" s="124">
        <f t="shared" si="191"/>
        <v>25.567908166927964</v>
      </c>
      <c r="CN249" s="124">
        <f t="shared" si="192"/>
        <v>39.108151039312659</v>
      </c>
      <c r="CO249" s="124">
        <f t="shared" si="193"/>
        <v>26.880633024070768</v>
      </c>
      <c r="CP249" s="124">
        <f t="shared" si="194"/>
        <v>13.426889622412968</v>
      </c>
      <c r="CQ249" s="124">
        <f t="shared" si="195"/>
        <v>23.456482394832367</v>
      </c>
      <c r="CR249" s="144">
        <f t="shared" si="111"/>
        <v>247.85587290490568</v>
      </c>
    </row>
    <row r="250" spans="1:96" ht="14">
      <c r="A250">
        <f t="shared" si="149"/>
        <v>92</v>
      </c>
      <c r="B250" s="19">
        <f t="shared" si="149"/>
        <v>172</v>
      </c>
      <c r="C250" s="26">
        <f t="shared" si="105"/>
        <v>152.37925044043024</v>
      </c>
      <c r="D250" s="26"/>
      <c r="E250" s="26"/>
      <c r="F250" s="141">
        <f t="shared" ref="F250:G250" si="209">F249</f>
        <v>6.0606231572568161</v>
      </c>
      <c r="G250" s="141">
        <f t="shared" si="209"/>
        <v>0.7542108817919595</v>
      </c>
      <c r="H250" s="140">
        <f>(H$118)*('Product half-life and C flows'!L151/100)</f>
        <v>0.30854711869846935</v>
      </c>
      <c r="I250" s="140">
        <f>(($C$39*$C$118*0.28)*H$41)*('Product half-life and C flows'!N151/100)</f>
        <v>1.0252051243941527</v>
      </c>
      <c r="J250" s="140">
        <f>(($C$39*$C$118*0.28)*H$41)*(+'Product half-life and C flows'!P151/100)</f>
        <v>0.51209047172535072</v>
      </c>
      <c r="K250" s="141">
        <f t="shared" si="201"/>
        <v>1.3434381331919276</v>
      </c>
      <c r="L250" s="26"/>
      <c r="M250" s="142">
        <f>(C$158-C$138)*(0.4*D$14)*('Product half-life and C flows'!B111/100)</f>
        <v>0.14210881017040305</v>
      </c>
      <c r="N250" s="85"/>
      <c r="O250" s="143">
        <f t="shared" si="159"/>
        <v>7.7764117579468763</v>
      </c>
      <c r="P250" s="142">
        <f t="shared" si="160"/>
        <v>4.9627394570272001</v>
      </c>
      <c r="Q250" s="142">
        <f>(C$158-C$138)*(0.6*C$15)*('Product half-life and C flows'!L111/100)</f>
        <v>3.7595199593463606</v>
      </c>
      <c r="R250" s="142">
        <f>(C$158-C$138)*0.6*('Product half-life and C flows'!N111/100)</f>
        <v>7.8405265898050036</v>
      </c>
      <c r="S250" s="142">
        <f>(C$158-C$138)*0.6*('Product half-life and C flows'!P111/100)</f>
        <v>3.9163469479545459</v>
      </c>
      <c r="T250" s="142">
        <f t="shared" si="108"/>
        <v>2.1429263768274254</v>
      </c>
      <c r="U250" s="3"/>
      <c r="V250" s="142">
        <f t="shared" si="165"/>
        <v>0.284217620340806</v>
      </c>
      <c r="W250" s="142">
        <f t="shared" si="166"/>
        <v>0</v>
      </c>
      <c r="X250" s="142">
        <f t="shared" si="167"/>
        <v>7.7764117579468763</v>
      </c>
      <c r="Y250" s="142">
        <f t="shared" si="168"/>
        <v>4.9627394570272001</v>
      </c>
      <c r="Z250" s="142">
        <f t="shared" si="169"/>
        <v>5.1159171661345075</v>
      </c>
      <c r="AA250" s="142">
        <f t="shared" si="170"/>
        <v>6.9353575204750486</v>
      </c>
      <c r="AB250" s="142">
        <f t="shared" si="171"/>
        <v>3.4642145456918314</v>
      </c>
      <c r="AC250" s="142">
        <f t="shared" si="172"/>
        <v>2.9160727846966692</v>
      </c>
      <c r="AD250" s="115"/>
      <c r="AE250" s="142">
        <f t="shared" ref="AE250:AL250" si="210">V230</f>
        <v>0.56843524068161189</v>
      </c>
      <c r="AF250" s="142">
        <f t="shared" si="210"/>
        <v>0</v>
      </c>
      <c r="AG250" s="142">
        <f t="shared" si="210"/>
        <v>7.7764117579468763</v>
      </c>
      <c r="AH250" s="142">
        <f t="shared" si="210"/>
        <v>4.9627394570272001</v>
      </c>
      <c r="AI250" s="142">
        <f t="shared" si="210"/>
        <v>6.9616889213962736</v>
      </c>
      <c r="AJ250" s="142">
        <f t="shared" si="210"/>
        <v>5.7036125024636961</v>
      </c>
      <c r="AK250" s="142">
        <f t="shared" si="210"/>
        <v>2.8489572939379091</v>
      </c>
      <c r="AL250" s="142">
        <f t="shared" si="210"/>
        <v>3.9681626851958756</v>
      </c>
      <c r="AM250" s="115"/>
      <c r="AN250" s="144">
        <f t="shared" ref="AN250:AU250" si="211">AE230</f>
        <v>1.136870481363224</v>
      </c>
      <c r="AO250" s="144">
        <f t="shared" si="211"/>
        <v>0</v>
      </c>
      <c r="AP250" s="144">
        <f t="shared" si="211"/>
        <v>7.7764117579468763</v>
      </c>
      <c r="AQ250" s="144">
        <f t="shared" si="211"/>
        <v>4.9627394570272001</v>
      </c>
      <c r="AR250" s="144">
        <f t="shared" si="211"/>
        <v>9.4733966685607935</v>
      </c>
      <c r="AS250" s="144">
        <f t="shared" si="211"/>
        <v>4.027466199189238</v>
      </c>
      <c r="AT250" s="144">
        <f t="shared" si="211"/>
        <v>2.0117213782164023</v>
      </c>
      <c r="AU250" s="144">
        <f t="shared" si="211"/>
        <v>5.3998361010796518</v>
      </c>
      <c r="AV250" s="115"/>
      <c r="AW250" s="144">
        <f t="shared" ref="AW250:BD250" si="212">AN230</f>
        <v>2.2737409627264475</v>
      </c>
      <c r="AX250" s="144">
        <f t="shared" si="212"/>
        <v>71.635571870250871</v>
      </c>
      <c r="AY250" s="144">
        <f t="shared" si="212"/>
        <v>7.7764117579468763</v>
      </c>
      <c r="AZ250" s="144">
        <f t="shared" si="212"/>
        <v>4.9627394570272001</v>
      </c>
      <c r="BA250" s="144">
        <f t="shared" si="212"/>
        <v>12.891303454262784</v>
      </c>
      <c r="BB250" s="144">
        <f t="shared" si="212"/>
        <v>1.7465830708641092</v>
      </c>
      <c r="BC250" s="144">
        <f t="shared" si="212"/>
        <v>0.87241911631573887</v>
      </c>
      <c r="BD250" s="144">
        <f t="shared" si="212"/>
        <v>7.3480429689297866</v>
      </c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>
        <f t="shared" si="72"/>
        <v>92</v>
      </c>
      <c r="CI250" s="113">
        <f t="shared" si="73"/>
        <v>152.37925044043024</v>
      </c>
      <c r="CJ250" s="124">
        <f t="shared" si="188"/>
        <v>4.405373115282492</v>
      </c>
      <c r="CK250" s="124">
        <f t="shared" si="189"/>
        <v>71.635571870250871</v>
      </c>
      <c r="CL250" s="124">
        <f t="shared" si="190"/>
        <v>44.942681946991193</v>
      </c>
      <c r="CM250" s="124">
        <f t="shared" si="191"/>
        <v>25.567908166927964</v>
      </c>
      <c r="CN250" s="124">
        <f t="shared" si="192"/>
        <v>38.510373288399187</v>
      </c>
      <c r="CO250" s="124">
        <f t="shared" si="193"/>
        <v>27.278751007191246</v>
      </c>
      <c r="CP250" s="124">
        <f t="shared" si="194"/>
        <v>13.625749753841777</v>
      </c>
      <c r="CQ250" s="124">
        <f t="shared" si="195"/>
        <v>23.118479049921337</v>
      </c>
      <c r="CR250" s="144">
        <f t="shared" si="111"/>
        <v>249.08488819880608</v>
      </c>
    </row>
    <row r="251" spans="1:96" ht="14">
      <c r="A251">
        <f t="shared" si="149"/>
        <v>93</v>
      </c>
      <c r="B251" s="19">
        <f t="shared" si="149"/>
        <v>173</v>
      </c>
      <c r="C251" s="26">
        <f t="shared" si="105"/>
        <v>152.67930958779479</v>
      </c>
      <c r="D251" s="26"/>
      <c r="E251" s="26"/>
      <c r="F251" s="141">
        <f t="shared" ref="F251:G251" si="213">F250</f>
        <v>6.0606231572568161</v>
      </c>
      <c r="G251" s="141">
        <f t="shared" si="213"/>
        <v>0.7542108817919595</v>
      </c>
      <c r="H251" s="140">
        <f>(H$118)*('Product half-life and C flows'!L152/100)</f>
        <v>0.30383089975779387</v>
      </c>
      <c r="I251" s="140">
        <f>(($C$39*$C$118*0.28)*H$41)*('Product half-life and C flows'!N152/100)</f>
        <v>1.0275655919739608</v>
      </c>
      <c r="J251" s="140">
        <f>(($C$39*$C$118*0.28)*H$41)*(+'Product half-life and C flows'!P152/100)</f>
        <v>0.5132695264605196</v>
      </c>
      <c r="K251" s="141">
        <f t="shared" si="201"/>
        <v>1.3434381331919276</v>
      </c>
      <c r="L251" s="26"/>
      <c r="M251" s="142">
        <f>(C$158-C$138)*(0.4*D$14)*('Product half-life and C flows'!B112/100)</f>
        <v>0.13726806240387682</v>
      </c>
      <c r="N251" s="85"/>
      <c r="O251" s="143">
        <f t="shared" si="159"/>
        <v>7.7764117579468763</v>
      </c>
      <c r="P251" s="142">
        <f t="shared" si="160"/>
        <v>4.9627394570272001</v>
      </c>
      <c r="Q251" s="142">
        <f>(C$158-C$138)*(0.6*C$15)*('Product half-life and C flows'!L112/100)</f>
        <v>3.7020547679198135</v>
      </c>
      <c r="R251" s="142">
        <f>(C$158-C$138)*0.6*('Product half-life and C flows'!N112/100)</f>
        <v>7.8788750275503192</v>
      </c>
      <c r="S251" s="142">
        <f>(C$158-C$138)*0.6*('Product half-life and C flows'!P112/100)</f>
        <v>3.9355020117633948</v>
      </c>
      <c r="T251" s="142">
        <f t="shared" si="108"/>
        <v>2.1101712177142935</v>
      </c>
      <c r="U251" s="3"/>
      <c r="V251" s="142">
        <f t="shared" si="165"/>
        <v>0.27453612480775363</v>
      </c>
      <c r="W251" s="142">
        <f t="shared" si="166"/>
        <v>0</v>
      </c>
      <c r="X251" s="142">
        <f t="shared" si="167"/>
        <v>7.7764117579468763</v>
      </c>
      <c r="Y251" s="142">
        <f t="shared" si="168"/>
        <v>4.9627394570272001</v>
      </c>
      <c r="Z251" s="142">
        <f t="shared" si="169"/>
        <v>5.0377191082831567</v>
      </c>
      <c r="AA251" s="142">
        <f t="shared" si="170"/>
        <v>6.9875416910811827</v>
      </c>
      <c r="AB251" s="142">
        <f t="shared" si="171"/>
        <v>3.4902805649756155</v>
      </c>
      <c r="AC251" s="142">
        <f t="shared" si="172"/>
        <v>2.871499891721399</v>
      </c>
      <c r="AD251" s="115"/>
      <c r="AE251" s="142">
        <f t="shared" ref="AE251:AL251" si="214">V231</f>
        <v>0.54907224961550738</v>
      </c>
      <c r="AF251" s="142">
        <f t="shared" si="214"/>
        <v>0</v>
      </c>
      <c r="AG251" s="142">
        <f t="shared" si="214"/>
        <v>7.7764117579468763</v>
      </c>
      <c r="AH251" s="142">
        <f t="shared" si="214"/>
        <v>4.9627394570272001</v>
      </c>
      <c r="AI251" s="142">
        <f t="shared" si="214"/>
        <v>6.8552777862390979</v>
      </c>
      <c r="AJ251" s="142">
        <f t="shared" si="214"/>
        <v>5.7746241999919183</v>
      </c>
      <c r="AK251" s="142">
        <f t="shared" si="214"/>
        <v>2.8844276723236346</v>
      </c>
      <c r="AL251" s="142">
        <f t="shared" si="214"/>
        <v>3.9075083381562856</v>
      </c>
      <c r="AM251" s="115"/>
      <c r="AN251" s="144">
        <f t="shared" ref="AN251:AU251" si="215">AE231</f>
        <v>1.0981444992310145</v>
      </c>
      <c r="AO251" s="144">
        <f t="shared" si="215"/>
        <v>0</v>
      </c>
      <c r="AP251" s="144">
        <f t="shared" si="215"/>
        <v>7.7764117579468763</v>
      </c>
      <c r="AQ251" s="144">
        <f t="shared" si="215"/>
        <v>4.9627394570272001</v>
      </c>
      <c r="AR251" s="144">
        <f t="shared" si="215"/>
        <v>9.3285934599317049</v>
      </c>
      <c r="AS251" s="144">
        <f t="shared" si="215"/>
        <v>4.1240982070810492</v>
      </c>
      <c r="AT251" s="144">
        <f t="shared" si="215"/>
        <v>2.0599891144260982</v>
      </c>
      <c r="AU251" s="144">
        <f t="shared" si="215"/>
        <v>5.3172982721610715</v>
      </c>
      <c r="AV251" s="115"/>
      <c r="AW251" s="144">
        <f t="shared" ref="AW251:BD251" si="216">AN231</f>
        <v>2.1962889984620291</v>
      </c>
      <c r="AX251" s="144">
        <f t="shared" si="216"/>
        <v>73.358745292829767</v>
      </c>
      <c r="AY251" s="144">
        <f t="shared" si="216"/>
        <v>7.7764117579468763</v>
      </c>
      <c r="AZ251" s="144">
        <f t="shared" si="216"/>
        <v>4.9627394570272001</v>
      </c>
      <c r="BA251" s="144">
        <f t="shared" si="216"/>
        <v>12.694256695967157</v>
      </c>
      <c r="BB251" s="144">
        <f t="shared" si="216"/>
        <v>1.8780789409000571</v>
      </c>
      <c r="BC251" s="144">
        <f t="shared" si="216"/>
        <v>0.93810136908094788</v>
      </c>
      <c r="BD251" s="144">
        <f t="shared" si="216"/>
        <v>7.2357263167012791</v>
      </c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>
        <f t="shared" si="72"/>
        <v>93</v>
      </c>
      <c r="CI251" s="113">
        <f t="shared" si="73"/>
        <v>152.67930958779479</v>
      </c>
      <c r="CJ251" s="124">
        <f t="shared" si="188"/>
        <v>4.2553099345201808</v>
      </c>
      <c r="CK251" s="124">
        <f t="shared" si="189"/>
        <v>73.358745292829767</v>
      </c>
      <c r="CL251" s="124">
        <f t="shared" si="190"/>
        <v>44.942681946991193</v>
      </c>
      <c r="CM251" s="124">
        <f t="shared" si="191"/>
        <v>25.567908166927964</v>
      </c>
      <c r="CN251" s="124">
        <f t="shared" si="192"/>
        <v>37.921732718098724</v>
      </c>
      <c r="CO251" s="124">
        <f t="shared" si="193"/>
        <v>27.67078365857849</v>
      </c>
      <c r="CP251" s="124">
        <f t="shared" si="194"/>
        <v>13.821570259030212</v>
      </c>
      <c r="CQ251" s="124">
        <f t="shared" si="195"/>
        <v>22.785642169646255</v>
      </c>
      <c r="CR251" s="144">
        <f t="shared" si="111"/>
        <v>250.3243741466228</v>
      </c>
    </row>
    <row r="252" spans="1:96" ht="14">
      <c r="A252">
        <f t="shared" si="149"/>
        <v>94</v>
      </c>
      <c r="B252" s="19">
        <f t="shared" si="149"/>
        <v>174</v>
      </c>
      <c r="C252" s="26">
        <f t="shared" si="105"/>
        <v>152.97380920059325</v>
      </c>
      <c r="D252" s="26"/>
      <c r="E252" s="26"/>
      <c r="F252" s="141">
        <f t="shared" ref="F252:G252" si="217">F251</f>
        <v>6.0606231572568161</v>
      </c>
      <c r="G252" s="141">
        <f t="shared" si="217"/>
        <v>0.7542108817919595</v>
      </c>
      <c r="H252" s="140">
        <f>(H$118)*('Product half-life and C flows'!L153/100)</f>
        <v>0.29918676938884198</v>
      </c>
      <c r="I252" s="140">
        <f>(($C$39*$C$118*0.28)*H$41)*('Product half-life and C flows'!N153/100)</f>
        <v>1.0298899792236211</v>
      </c>
      <c r="J252" s="140">
        <f>(($C$39*$C$118*0.28)*H$41)*(+'Product half-life and C flows'!P153/100)</f>
        <v>0.51443055905275747</v>
      </c>
      <c r="K252" s="141">
        <f t="shared" si="201"/>
        <v>1.3434381331919276</v>
      </c>
      <c r="L252" s="26"/>
      <c r="M252" s="142">
        <f>(C$158-C$138)*(0.4*D$14)*('Product half-life and C flows'!B113/100)</f>
        <v>0.13259220827702739</v>
      </c>
      <c r="N252" s="85"/>
      <c r="O252" s="143">
        <f t="shared" si="159"/>
        <v>7.7764117579468763</v>
      </c>
      <c r="P252" s="142">
        <f t="shared" si="160"/>
        <v>4.9627394570272001</v>
      </c>
      <c r="Q252" s="142">
        <f>(C$158-C$138)*(0.6*C$15)*('Product half-life and C flows'!L113/100)</f>
        <v>3.6454679461418928</v>
      </c>
      <c r="R252" s="142">
        <f>(C$158-C$138)*0.6*('Product half-life and C flows'!N113/100)</f>
        <v>7.9166372999501187</v>
      </c>
      <c r="S252" s="142">
        <f>(C$158-C$138)*0.6*('Product half-life and C flows'!P113/100)</f>
        <v>3.954364285689369</v>
      </c>
      <c r="T252" s="142">
        <f t="shared" si="108"/>
        <v>2.0779167293008789</v>
      </c>
      <c r="U252" s="3"/>
      <c r="V252" s="142">
        <f t="shared" si="165"/>
        <v>0.26518441655405484</v>
      </c>
      <c r="W252" s="142">
        <f t="shared" si="166"/>
        <v>0</v>
      </c>
      <c r="X252" s="142">
        <f t="shared" si="167"/>
        <v>7.7764117579468763</v>
      </c>
      <c r="Y252" s="142">
        <f t="shared" si="168"/>
        <v>4.9627394570272001</v>
      </c>
      <c r="Z252" s="142">
        <f t="shared" si="169"/>
        <v>4.9607163270661125</v>
      </c>
      <c r="AA252" s="142">
        <f t="shared" si="170"/>
        <v>7.03892821374669</v>
      </c>
      <c r="AB252" s="142">
        <f t="shared" si="171"/>
        <v>3.5159481587146297</v>
      </c>
      <c r="AC252" s="142">
        <f t="shared" si="172"/>
        <v>2.8276083064276838</v>
      </c>
      <c r="AD252" s="115"/>
      <c r="AE252" s="142">
        <f t="shared" ref="AE252:AL252" si="218">V232</f>
        <v>0.53036883310810956</v>
      </c>
      <c r="AF252" s="142">
        <f t="shared" si="218"/>
        <v>0</v>
      </c>
      <c r="AG252" s="142">
        <f t="shared" si="218"/>
        <v>7.7764117579468763</v>
      </c>
      <c r="AH252" s="142">
        <f t="shared" si="218"/>
        <v>4.9627394570272001</v>
      </c>
      <c r="AI252" s="142">
        <f t="shared" si="218"/>
        <v>6.7504931715733285</v>
      </c>
      <c r="AJ252" s="142">
        <f t="shared" si="218"/>
        <v>5.8445504661788741</v>
      </c>
      <c r="AK252" s="142">
        <f t="shared" si="218"/>
        <v>2.9193558772122241</v>
      </c>
      <c r="AL252" s="142">
        <f t="shared" si="218"/>
        <v>3.8477811077967967</v>
      </c>
      <c r="AM252" s="115"/>
      <c r="AN252" s="144">
        <f t="shared" ref="AN252:AU252" si="219">AE232</f>
        <v>1.0607376662162191</v>
      </c>
      <c r="AO252" s="144">
        <f t="shared" si="219"/>
        <v>0</v>
      </c>
      <c r="AP252" s="144">
        <f t="shared" si="219"/>
        <v>7.7764117579468763</v>
      </c>
      <c r="AQ252" s="144">
        <f t="shared" si="219"/>
        <v>4.9627394570272001</v>
      </c>
      <c r="AR252" s="144">
        <f t="shared" si="219"/>
        <v>9.1860036041224014</v>
      </c>
      <c r="AS252" s="144">
        <f t="shared" si="219"/>
        <v>4.2192531708577921</v>
      </c>
      <c r="AT252" s="144">
        <f t="shared" si="219"/>
        <v>2.1075190663625332</v>
      </c>
      <c r="AU252" s="144">
        <f t="shared" si="219"/>
        <v>5.2360220543497684</v>
      </c>
      <c r="AV252" s="115"/>
      <c r="AW252" s="144">
        <f t="shared" ref="AW252:BD252" si="220">AN232</f>
        <v>2.1214753324324382</v>
      </c>
      <c r="AX252" s="144">
        <f t="shared" si="220"/>
        <v>75.081918715408662</v>
      </c>
      <c r="AY252" s="144">
        <f t="shared" si="220"/>
        <v>7.7764117579468763</v>
      </c>
      <c r="AZ252" s="144">
        <f t="shared" si="220"/>
        <v>4.9627394570272001</v>
      </c>
      <c r="BA252" s="144">
        <f t="shared" si="220"/>
        <v>12.500221846055549</v>
      </c>
      <c r="BB252" s="144">
        <f t="shared" si="220"/>
        <v>2.0075648640744035</v>
      </c>
      <c r="BC252" s="144">
        <f t="shared" si="220"/>
        <v>1.0027796523848169</v>
      </c>
      <c r="BD252" s="144">
        <f t="shared" si="220"/>
        <v>7.1251264522516626</v>
      </c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>
        <f t="shared" si="72"/>
        <v>94</v>
      </c>
      <c r="CI252" s="113">
        <f t="shared" si="73"/>
        <v>152.97380920059325</v>
      </c>
      <c r="CJ252" s="124">
        <f t="shared" si="188"/>
        <v>4.110358456587849</v>
      </c>
      <c r="CK252" s="124">
        <f t="shared" si="189"/>
        <v>75.081918715408662</v>
      </c>
      <c r="CL252" s="124">
        <f t="shared" si="190"/>
        <v>44.942681946991193</v>
      </c>
      <c r="CM252" s="124">
        <f t="shared" si="191"/>
        <v>25.567908166927964</v>
      </c>
      <c r="CN252" s="124">
        <f t="shared" si="192"/>
        <v>37.342089664348123</v>
      </c>
      <c r="CO252" s="124">
        <f t="shared" si="193"/>
        <v>28.056823994031497</v>
      </c>
      <c r="CP252" s="124">
        <f t="shared" si="194"/>
        <v>14.014397599416331</v>
      </c>
      <c r="CQ252" s="124">
        <f t="shared" si="195"/>
        <v>22.457892783318719</v>
      </c>
      <c r="CR252" s="144">
        <f t="shared" si="111"/>
        <v>251.57407132703034</v>
      </c>
    </row>
    <row r="253" spans="1:96" ht="14">
      <c r="A253">
        <f t="shared" si="149"/>
        <v>95</v>
      </c>
      <c r="B253" s="19">
        <f t="shared" si="149"/>
        <v>175</v>
      </c>
      <c r="C253" s="26">
        <f t="shared" si="105"/>
        <v>153.26284462107563</v>
      </c>
      <c r="D253" s="26"/>
      <c r="E253" s="26"/>
      <c r="F253" s="141">
        <f t="shared" ref="F253:G253" si="221">F252</f>
        <v>6.0606231572568161</v>
      </c>
      <c r="G253" s="141">
        <f t="shared" si="221"/>
        <v>0.7542108817919595</v>
      </c>
      <c r="H253" s="140">
        <f>(H$118)*('Product half-life and C flows'!L154/100)</f>
        <v>0.29461362569998417</v>
      </c>
      <c r="I253" s="140">
        <f>(($C$39*$C$118*0.28)*H$41)*('Product half-life and C flows'!N154/100)</f>
        <v>1.0321788376398946</v>
      </c>
      <c r="J253" s="140">
        <f>(($C$39*$C$118*0.28)*H$41)*(+'Product half-life and C flows'!P154/100)</f>
        <v>0.51557384497497194</v>
      </c>
      <c r="K253" s="141">
        <f t="shared" si="201"/>
        <v>1.3434381331919276</v>
      </c>
      <c r="L253" s="26"/>
      <c r="M253" s="142">
        <f>(C$158-C$138)*(0.4*D$14)*('Product half-life and C flows'!B114/100)</f>
        <v>0.12807563090715035</v>
      </c>
      <c r="N253" s="85"/>
      <c r="O253" s="143">
        <f t="shared" si="159"/>
        <v>7.7764117579468763</v>
      </c>
      <c r="P253" s="142">
        <f t="shared" si="160"/>
        <v>4.9627394570272001</v>
      </c>
      <c r="Q253" s="142">
        <f>(C$158-C$138)*(0.6*C$15)*('Product half-life and C flows'!L114/100)</f>
        <v>3.5897460679155024</v>
      </c>
      <c r="R253" s="142">
        <f>(C$158-C$138)*0.6*('Product half-life and C flows'!N114/100)</f>
        <v>7.9538223666865298</v>
      </c>
      <c r="S253" s="142">
        <f>(C$158-C$138)*0.6*('Product half-life and C flows'!P114/100)</f>
        <v>3.9729382450981658</v>
      </c>
      <c r="T253" s="142">
        <f t="shared" si="108"/>
        <v>2.0461552587118361</v>
      </c>
      <c r="U253" s="3"/>
      <c r="V253" s="142">
        <f t="shared" si="165"/>
        <v>0.25615126181430076</v>
      </c>
      <c r="W253" s="142">
        <f t="shared" si="166"/>
        <v>0</v>
      </c>
      <c r="X253" s="142">
        <f t="shared" si="167"/>
        <v>7.7764117579468763</v>
      </c>
      <c r="Y253" s="142">
        <f t="shared" si="168"/>
        <v>4.9627394570272001</v>
      </c>
      <c r="Z253" s="142">
        <f t="shared" si="169"/>
        <v>4.8848905523847055</v>
      </c>
      <c r="AA253" s="142">
        <f t="shared" si="170"/>
        <v>7.0895292807174144</v>
      </c>
      <c r="AB253" s="142">
        <f t="shared" si="171"/>
        <v>3.5412234169417656</v>
      </c>
      <c r="AC253" s="142">
        <f t="shared" si="172"/>
        <v>2.7843876148592819</v>
      </c>
      <c r="AD253" s="115"/>
      <c r="AE253" s="142">
        <f t="shared" ref="AE253:AL253" si="222">V233</f>
        <v>0.5123025236286014</v>
      </c>
      <c r="AF253" s="142">
        <f t="shared" si="222"/>
        <v>0</v>
      </c>
      <c r="AG253" s="142">
        <f t="shared" si="222"/>
        <v>7.7764117579468763</v>
      </c>
      <c r="AH253" s="142">
        <f t="shared" si="222"/>
        <v>4.9627394570272001</v>
      </c>
      <c r="AI253" s="142">
        <f t="shared" si="222"/>
        <v>6.6473102156313946</v>
      </c>
      <c r="AJ253" s="142">
        <f t="shared" si="222"/>
        <v>5.9134078921107918</v>
      </c>
      <c r="AK253" s="142">
        <f t="shared" si="222"/>
        <v>2.9537501958595356</v>
      </c>
      <c r="AL253" s="142">
        <f t="shared" si="222"/>
        <v>3.7889668229098947</v>
      </c>
      <c r="AM253" s="115"/>
      <c r="AN253" s="144">
        <f t="shared" ref="AN253:AU253" si="223">AE233</f>
        <v>1.024605047257203</v>
      </c>
      <c r="AO253" s="144">
        <f t="shared" si="223"/>
        <v>0</v>
      </c>
      <c r="AP253" s="144">
        <f t="shared" si="223"/>
        <v>7.7764117579468763</v>
      </c>
      <c r="AQ253" s="144">
        <f t="shared" si="223"/>
        <v>4.9627394570272001</v>
      </c>
      <c r="AR253" s="144">
        <f t="shared" si="223"/>
        <v>9.0455932694881849</v>
      </c>
      <c r="AS253" s="144">
        <f t="shared" si="223"/>
        <v>4.3129536675036926</v>
      </c>
      <c r="AT253" s="144">
        <f t="shared" si="223"/>
        <v>2.1543225112406055</v>
      </c>
      <c r="AU253" s="144">
        <f t="shared" si="223"/>
        <v>5.1559881636082645</v>
      </c>
      <c r="AV253" s="115"/>
      <c r="AW253" s="144">
        <f t="shared" ref="AW253:BD253" si="224">AN233</f>
        <v>2.0492100945144056</v>
      </c>
      <c r="AX253" s="144">
        <f t="shared" si="224"/>
        <v>76.805092137987558</v>
      </c>
      <c r="AY253" s="144">
        <f t="shared" si="224"/>
        <v>7.7764117579468763</v>
      </c>
      <c r="AZ253" s="144">
        <f t="shared" si="224"/>
        <v>4.9627394570272001</v>
      </c>
      <c r="BA253" s="144">
        <f t="shared" si="224"/>
        <v>12.309152866764171</v>
      </c>
      <c r="BB253" s="144">
        <f t="shared" si="224"/>
        <v>2.1350715629215169</v>
      </c>
      <c r="BC253" s="144">
        <f t="shared" si="224"/>
        <v>1.0664693121486097</v>
      </c>
      <c r="BD253" s="144">
        <f t="shared" si="224"/>
        <v>7.0162171340555766</v>
      </c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>
        <f t="shared" si="72"/>
        <v>95</v>
      </c>
      <c r="CI253" s="113">
        <f t="shared" si="73"/>
        <v>153.26284462107563</v>
      </c>
      <c r="CJ253" s="124">
        <f t="shared" si="188"/>
        <v>3.9703445581216612</v>
      </c>
      <c r="CK253" s="124">
        <f t="shared" si="189"/>
        <v>76.805092137987558</v>
      </c>
      <c r="CL253" s="124">
        <f t="shared" si="190"/>
        <v>44.942681946991193</v>
      </c>
      <c r="CM253" s="124">
        <f t="shared" si="191"/>
        <v>25.567908166927964</v>
      </c>
      <c r="CN253" s="124">
        <f t="shared" si="192"/>
        <v>36.771306597883942</v>
      </c>
      <c r="CO253" s="124">
        <f t="shared" si="193"/>
        <v>28.436963607579841</v>
      </c>
      <c r="CP253" s="124">
        <f t="shared" si="194"/>
        <v>14.204277526263656</v>
      </c>
      <c r="CQ253" s="124">
        <f t="shared" si="195"/>
        <v>22.135153127336782</v>
      </c>
      <c r="CR253" s="144">
        <f t="shared" si="111"/>
        <v>252.83372766909264</v>
      </c>
    </row>
    <row r="254" spans="1:96" ht="14">
      <c r="A254">
        <f t="shared" si="149"/>
        <v>96</v>
      </c>
      <c r="B254" s="19">
        <f t="shared" si="149"/>
        <v>176</v>
      </c>
      <c r="C254" s="26">
        <f t="shared" si="105"/>
        <v>153.54650986796895</v>
      </c>
      <c r="D254" s="26"/>
      <c r="E254" s="26"/>
      <c r="F254" s="141">
        <f t="shared" ref="F254:G254" si="225">F253</f>
        <v>6.0606231572568161</v>
      </c>
      <c r="G254" s="141">
        <f t="shared" si="225"/>
        <v>0.7542108817919595</v>
      </c>
      <c r="H254" s="140">
        <f>(H$118)*('Product half-life and C flows'!L155/100)</f>
        <v>0.29011038364227698</v>
      </c>
      <c r="I254" s="140">
        <f>(($C$39*$C$118*0.28)*H$41)*('Product half-life and C flows'!N155/100)</f>
        <v>1.034432710289777</v>
      </c>
      <c r="J254" s="140">
        <f>(($C$39*$C$118*0.28)*H$41)*(+'Product half-life and C flows'!P155/100)</f>
        <v>0.51669965548939878</v>
      </c>
      <c r="K254" s="141">
        <f t="shared" si="201"/>
        <v>1.3434381331919276</v>
      </c>
      <c r="L254" s="26"/>
      <c r="M254" s="142">
        <f>(C$158-C$138)*(0.4*D$14)*('Product half-life and C flows'!B115/100)</f>
        <v>0.1237129047431863</v>
      </c>
      <c r="N254" s="85"/>
      <c r="O254" s="143">
        <f t="shared" si="159"/>
        <v>7.7764117579468763</v>
      </c>
      <c r="P254" s="142">
        <f t="shared" si="160"/>
        <v>4.9627394570272001</v>
      </c>
      <c r="Q254" s="142">
        <f>(C$158-C$138)*(0.6*C$15)*('Product half-life and C flows'!L115/100)</f>
        <v>3.5348759123647602</v>
      </c>
      <c r="R254" s="142">
        <f>(C$158-C$138)*0.6*('Product half-life and C flows'!N115/100)</f>
        <v>7.990439050490723</v>
      </c>
      <c r="S254" s="142">
        <f>(C$158-C$138)*0.6*('Product half-life and C flows'!P115/100)</f>
        <v>3.9912282969484125</v>
      </c>
      <c r="T254" s="142">
        <f t="shared" si="108"/>
        <v>2.014879270047913</v>
      </c>
      <c r="U254" s="3"/>
      <c r="V254" s="142">
        <f t="shared" si="165"/>
        <v>0.24742580948637261</v>
      </c>
      <c r="W254" s="142">
        <f t="shared" si="166"/>
        <v>0</v>
      </c>
      <c r="X254" s="142">
        <f t="shared" si="167"/>
        <v>7.7764117579468763</v>
      </c>
      <c r="Y254" s="142">
        <f t="shared" si="168"/>
        <v>4.9627394570272001</v>
      </c>
      <c r="Z254" s="142">
        <f t="shared" si="169"/>
        <v>4.8102237934032424</v>
      </c>
      <c r="AA254" s="142">
        <f t="shared" si="170"/>
        <v>7.1393568978777102</v>
      </c>
      <c r="AB254" s="142">
        <f t="shared" si="171"/>
        <v>3.5661123366022531</v>
      </c>
      <c r="AC254" s="142">
        <f t="shared" si="172"/>
        <v>2.7418275622398478</v>
      </c>
      <c r="AD254" s="115"/>
      <c r="AE254" s="142">
        <f t="shared" ref="AE254:AL254" si="226">V234</f>
        <v>0.49485161897274532</v>
      </c>
      <c r="AF254" s="142">
        <f t="shared" si="226"/>
        <v>0</v>
      </c>
      <c r="AG254" s="142">
        <f t="shared" si="226"/>
        <v>7.7764117579468763</v>
      </c>
      <c r="AH254" s="142">
        <f t="shared" si="226"/>
        <v>4.9627394570272001</v>
      </c>
      <c r="AI254" s="142">
        <f t="shared" si="226"/>
        <v>6.5457044366639909</v>
      </c>
      <c r="AJ254" s="142">
        <f t="shared" si="226"/>
        <v>5.9812128152750397</v>
      </c>
      <c r="AK254" s="142">
        <f t="shared" si="226"/>
        <v>2.9876187888486698</v>
      </c>
      <c r="AL254" s="142">
        <f t="shared" si="226"/>
        <v>3.7310515288984747</v>
      </c>
      <c r="AM254" s="115"/>
      <c r="AN254" s="144">
        <f t="shared" ref="AN254:AU254" si="227">AE234</f>
        <v>0.98970323794549042</v>
      </c>
      <c r="AO254" s="144">
        <f t="shared" si="227"/>
        <v>0</v>
      </c>
      <c r="AP254" s="144">
        <f t="shared" si="227"/>
        <v>7.7764117579468763</v>
      </c>
      <c r="AQ254" s="144">
        <f t="shared" si="227"/>
        <v>4.9627394570272001</v>
      </c>
      <c r="AR254" s="144">
        <f t="shared" si="227"/>
        <v>8.9073291415094129</v>
      </c>
      <c r="AS254" s="144">
        <f t="shared" si="227"/>
        <v>4.4052219289081931</v>
      </c>
      <c r="AT254" s="144">
        <f t="shared" si="227"/>
        <v>2.2004105539001961</v>
      </c>
      <c r="AU254" s="144">
        <f t="shared" si="227"/>
        <v>5.0771776106603648</v>
      </c>
      <c r="AV254" s="115"/>
      <c r="AW254" s="144">
        <f t="shared" ref="AW254:BD254" si="228">AN234</f>
        <v>1.9794064758909808</v>
      </c>
      <c r="AX254" s="144">
        <f t="shared" si="228"/>
        <v>78.528265560566453</v>
      </c>
      <c r="AY254" s="144">
        <f t="shared" si="228"/>
        <v>7.7764117579468763</v>
      </c>
      <c r="AZ254" s="144">
        <f t="shared" si="228"/>
        <v>4.9627394570272001</v>
      </c>
      <c r="BA254" s="144">
        <f t="shared" si="228"/>
        <v>12.121004424027827</v>
      </c>
      <c r="BB254" s="144">
        <f t="shared" si="228"/>
        <v>2.2606292903742373</v>
      </c>
      <c r="BC254" s="144">
        <f t="shared" si="228"/>
        <v>1.1291854597273911</v>
      </c>
      <c r="BD254" s="144">
        <f t="shared" si="228"/>
        <v>6.9089725216958611</v>
      </c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>
        <f t="shared" si="72"/>
        <v>96</v>
      </c>
      <c r="CI254" s="113">
        <f t="shared" si="73"/>
        <v>153.54650986796895</v>
      </c>
      <c r="CJ254" s="124">
        <f t="shared" si="188"/>
        <v>3.8351000470387753</v>
      </c>
      <c r="CK254" s="124">
        <f t="shared" si="189"/>
        <v>78.528265560566453</v>
      </c>
      <c r="CL254" s="124">
        <f t="shared" si="190"/>
        <v>44.942681946991193</v>
      </c>
      <c r="CM254" s="124">
        <f t="shared" si="191"/>
        <v>25.567908166927964</v>
      </c>
      <c r="CN254" s="124">
        <f t="shared" si="192"/>
        <v>36.209248091611514</v>
      </c>
      <c r="CO254" s="124">
        <f t="shared" si="193"/>
        <v>28.81129269321568</v>
      </c>
      <c r="CP254" s="124">
        <f t="shared" si="194"/>
        <v>14.391255091516321</v>
      </c>
      <c r="CQ254" s="124">
        <f t="shared" si="195"/>
        <v>21.817346626734391</v>
      </c>
      <c r="CR254" s="144">
        <f t="shared" si="111"/>
        <v>254.10309822460232</v>
      </c>
    </row>
    <row r="255" spans="1:96" ht="14">
      <c r="A255">
        <f t="shared" si="149"/>
        <v>97</v>
      </c>
      <c r="B255" s="19">
        <f t="shared" si="149"/>
        <v>177</v>
      </c>
      <c r="C255" s="26">
        <f t="shared" si="105"/>
        <v>153.82489764135551</v>
      </c>
      <c r="D255" s="26"/>
      <c r="E255" s="26"/>
      <c r="F255" s="141">
        <f t="shared" ref="F255:G255" si="229">F254</f>
        <v>6.0606231572568161</v>
      </c>
      <c r="G255" s="141">
        <f t="shared" si="229"/>
        <v>0.7542108817919595</v>
      </c>
      <c r="H255" s="140">
        <f>(H$118)*('Product half-life and C flows'!L156/100)</f>
        <v>0.28567597475201784</v>
      </c>
      <c r="I255" s="140">
        <f>(($C$39*$C$118*0.28)*H$41)*('Product half-life and C flows'!N156/100)</f>
        <v>1.0366521319393518</v>
      </c>
      <c r="J255" s="140">
        <f>(($C$39*$C$118*0.28)*H$41)*(+'Product half-life and C flows'!P156/100)</f>
        <v>0.51780825771196348</v>
      </c>
      <c r="K255" s="141">
        <f t="shared" si="201"/>
        <v>1.3434381331919276</v>
      </c>
      <c r="L255" s="26"/>
      <c r="M255" s="142">
        <f>(C$158-C$138)*(0.4*D$14)*('Product half-life and C flows'!B116/100)</f>
        <v>0.11949878904826254</v>
      </c>
      <c r="N255" s="85"/>
      <c r="O255" s="143">
        <f t="shared" si="159"/>
        <v>7.7764117579468763</v>
      </c>
      <c r="P255" s="142">
        <f t="shared" si="160"/>
        <v>4.9627394570272001</v>
      </c>
      <c r="Q255" s="142">
        <f>(C$158-C$138)*(0.6*C$15)*('Product half-life and C flows'!L116/100)</f>
        <v>3.4808444606981377</v>
      </c>
      <c r="R255" s="142">
        <f>(C$158-C$138)*0.6*('Product half-life and C flows'!N116/100)</f>
        <v>8.0264960392362497</v>
      </c>
      <c r="S255" s="142">
        <f>(C$158-C$138)*0.6*('Product half-life and C flows'!P116/100)</f>
        <v>4.0092387808372871</v>
      </c>
      <c r="T255" s="142">
        <f t="shared" si="108"/>
        <v>1.9840813425979382</v>
      </c>
      <c r="U255" s="3"/>
      <c r="V255" s="142">
        <f t="shared" si="165"/>
        <v>0.23899757809652497</v>
      </c>
      <c r="W255" s="142">
        <f t="shared" si="166"/>
        <v>0</v>
      </c>
      <c r="X255" s="142">
        <f t="shared" si="167"/>
        <v>7.7764117579468763</v>
      </c>
      <c r="Y255" s="142">
        <f t="shared" si="168"/>
        <v>4.9627394570272001</v>
      </c>
      <c r="Z255" s="142">
        <f t="shared" si="169"/>
        <v>4.7366983342803968</v>
      </c>
      <c r="AA255" s="142">
        <f t="shared" si="170"/>
        <v>7.1884228875990228</v>
      </c>
      <c r="AB255" s="142">
        <f t="shared" si="171"/>
        <v>3.5906208229765353</v>
      </c>
      <c r="AC255" s="142">
        <f t="shared" si="172"/>
        <v>2.6999180505398259</v>
      </c>
      <c r="AD255" s="115"/>
      <c r="AE255" s="142">
        <f t="shared" ref="AE255:AL255" si="230">V235</f>
        <v>0.47799515619304994</v>
      </c>
      <c r="AF255" s="142">
        <f t="shared" si="230"/>
        <v>0</v>
      </c>
      <c r="AG255" s="142">
        <f t="shared" si="230"/>
        <v>7.7764117579468763</v>
      </c>
      <c r="AH255" s="142">
        <f t="shared" si="230"/>
        <v>4.9627394570272001</v>
      </c>
      <c r="AI255" s="142">
        <f t="shared" si="230"/>
        <v>6.4456517271313922</v>
      </c>
      <c r="AJ255" s="142">
        <f t="shared" si="230"/>
        <v>6.0479813234364608</v>
      </c>
      <c r="AK255" s="142">
        <f t="shared" si="230"/>
        <v>3.020969692026203</v>
      </c>
      <c r="AL255" s="142">
        <f t="shared" si="230"/>
        <v>3.6740214844648933</v>
      </c>
      <c r="AM255" s="115"/>
      <c r="AN255" s="144">
        <f t="shared" ref="AN255:AU255" si="231">AE235</f>
        <v>0.95599031238609988</v>
      </c>
      <c r="AO255" s="144">
        <f t="shared" si="231"/>
        <v>0</v>
      </c>
      <c r="AP255" s="144">
        <f t="shared" si="231"/>
        <v>7.7764117579468763</v>
      </c>
      <c r="AQ255" s="144">
        <f t="shared" si="231"/>
        <v>4.9627394570272001</v>
      </c>
      <c r="AR255" s="144">
        <f t="shared" si="231"/>
        <v>8.7711784148871015</v>
      </c>
      <c r="AS255" s="144">
        <f t="shared" si="231"/>
        <v>4.4960798471408161</v>
      </c>
      <c r="AT255" s="144">
        <f t="shared" si="231"/>
        <v>2.2457941294409669</v>
      </c>
      <c r="AU255" s="144">
        <f t="shared" si="231"/>
        <v>4.9995716964856474</v>
      </c>
      <c r="AV255" s="115"/>
      <c r="AW255" s="144">
        <f t="shared" ref="AW255:BD255" si="232">AN235</f>
        <v>1.9119806247721998</v>
      </c>
      <c r="AX255" s="144">
        <f t="shared" si="232"/>
        <v>80.251438983145349</v>
      </c>
      <c r="AY255" s="144">
        <f t="shared" si="232"/>
        <v>7.7764117579468763</v>
      </c>
      <c r="AZ255" s="144">
        <f t="shared" si="232"/>
        <v>4.9627394570272001</v>
      </c>
      <c r="BA255" s="144">
        <f t="shared" si="232"/>
        <v>11.935731876723709</v>
      </c>
      <c r="BB255" s="144">
        <f t="shared" si="232"/>
        <v>2.3842678369418517</v>
      </c>
      <c r="BC255" s="144">
        <f t="shared" si="232"/>
        <v>1.1909429754954304</v>
      </c>
      <c r="BD255" s="144">
        <f t="shared" si="232"/>
        <v>6.803367169732514</v>
      </c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>
        <f t="shared" si="72"/>
        <v>97</v>
      </c>
      <c r="CI255" s="113">
        <f t="shared" si="73"/>
        <v>153.82489764135551</v>
      </c>
      <c r="CJ255" s="124">
        <f t="shared" si="188"/>
        <v>3.7044624604961367</v>
      </c>
      <c r="CK255" s="124">
        <f t="shared" si="189"/>
        <v>80.251438983145349</v>
      </c>
      <c r="CL255" s="124">
        <f t="shared" si="190"/>
        <v>44.942681946991193</v>
      </c>
      <c r="CM255" s="124">
        <f t="shared" si="191"/>
        <v>25.567908166927964</v>
      </c>
      <c r="CN255" s="124">
        <f t="shared" si="192"/>
        <v>35.655780788472754</v>
      </c>
      <c r="CO255" s="124">
        <f t="shared" si="193"/>
        <v>29.179900066293751</v>
      </c>
      <c r="CP255" s="124">
        <f t="shared" si="194"/>
        <v>14.575374658488384</v>
      </c>
      <c r="CQ255" s="124">
        <f t="shared" si="195"/>
        <v>21.504397877012746</v>
      </c>
      <c r="CR255" s="144">
        <f t="shared" si="111"/>
        <v>255.38194494782826</v>
      </c>
    </row>
    <row r="256" spans="1:96" ht="14">
      <c r="A256">
        <f t="shared" ref="A256:B271" si="233">A255+1</f>
        <v>98</v>
      </c>
      <c r="B256" s="19">
        <f t="shared" si="233"/>
        <v>178</v>
      </c>
      <c r="C256" s="26">
        <f t="shared" si="105"/>
        <v>154.09809932824348</v>
      </c>
      <c r="D256" s="26"/>
      <c r="E256" s="26"/>
      <c r="F256" s="141">
        <f t="shared" ref="F256:G256" si="234">F255</f>
        <v>6.0606231572568161</v>
      </c>
      <c r="G256" s="141">
        <f t="shared" si="234"/>
        <v>0.7542108817919595</v>
      </c>
      <c r="H256" s="140">
        <f>(H$118)*('Product half-life and C flows'!L157/100)</f>
        <v>0.28130934689723597</v>
      </c>
      <c r="I256" s="140">
        <f>(($C$39*$C$118*0.28)*H$41)*('Product half-life and C flows'!N157/100)</f>
        <v>1.0388376291806702</v>
      </c>
      <c r="J256" s="140">
        <f>(($C$39*$C$118*0.28)*H$41)*(+'Product half-life and C flows'!P157/100)</f>
        <v>0.51889991467565899</v>
      </c>
      <c r="K256" s="141">
        <f t="shared" si="201"/>
        <v>1.3434381331919276</v>
      </c>
      <c r="L256" s="26"/>
      <c r="M256" s="142">
        <f>(C$158-C$138)*(0.4*D$14)*('Product half-life and C flows'!B117/100)</f>
        <v>0.11542822160424319</v>
      </c>
      <c r="N256" s="85"/>
      <c r="O256" s="143">
        <f t="shared" si="159"/>
        <v>7.7764117579468763</v>
      </c>
      <c r="P256" s="142">
        <f t="shared" si="160"/>
        <v>4.9627394570272001</v>
      </c>
      <c r="Q256" s="142">
        <f>(C$158-C$138)*(0.6*C$15)*('Product half-life and C flows'!L117/100)</f>
        <v>3.4276388931195498</v>
      </c>
      <c r="R256" s="142">
        <f>(C$158-C$138)*0.6*('Product half-life and C flows'!N117/100)</f>
        <v>8.0620018880003617</v>
      </c>
      <c r="S256" s="142">
        <f>(C$158-C$138)*0.6*('Product half-life and C flows'!P117/100)</f>
        <v>4.0269739700301503</v>
      </c>
      <c r="T256" s="142">
        <f t="shared" si="108"/>
        <v>1.9537541690781433</v>
      </c>
      <c r="U256" s="3"/>
      <c r="V256" s="142">
        <f t="shared" si="165"/>
        <v>0.23085644320848644</v>
      </c>
      <c r="W256" s="142">
        <f t="shared" si="166"/>
        <v>0</v>
      </c>
      <c r="X256" s="142">
        <f t="shared" si="167"/>
        <v>7.7764117579468763</v>
      </c>
      <c r="Y256" s="142">
        <f t="shared" si="168"/>
        <v>4.9627394570272001</v>
      </c>
      <c r="Z256" s="142">
        <f t="shared" si="169"/>
        <v>4.6642967299658524</v>
      </c>
      <c r="AA256" s="142">
        <f t="shared" si="170"/>
        <v>7.2367388915449284</v>
      </c>
      <c r="AB256" s="142">
        <f t="shared" si="171"/>
        <v>3.6147546910813833</v>
      </c>
      <c r="AC256" s="142">
        <f t="shared" si="172"/>
        <v>2.6586491360805358</v>
      </c>
      <c r="AD256" s="115"/>
      <c r="AE256" s="142">
        <f t="shared" ref="AE256:AL256" si="235">V236</f>
        <v>0.46171288641697289</v>
      </c>
      <c r="AF256" s="142">
        <f t="shared" si="235"/>
        <v>0</v>
      </c>
      <c r="AG256" s="142">
        <f t="shared" si="235"/>
        <v>7.7764117579468763</v>
      </c>
      <c r="AH256" s="142">
        <f t="shared" si="235"/>
        <v>4.9627394570272001</v>
      </c>
      <c r="AI256" s="142">
        <f t="shared" si="235"/>
        <v>6.3471283479835785</v>
      </c>
      <c r="AJ256" s="142">
        <f t="shared" si="235"/>
        <v>6.1137292584544349</v>
      </c>
      <c r="AK256" s="142">
        <f t="shared" si="235"/>
        <v>3.0538108184088073</v>
      </c>
      <c r="AL256" s="142">
        <f t="shared" si="235"/>
        <v>3.6178631583506395</v>
      </c>
      <c r="AM256" s="115"/>
      <c r="AN256" s="144">
        <f t="shared" ref="AN256:AU256" si="236">AE236</f>
        <v>0.92342577283394556</v>
      </c>
      <c r="AO256" s="144">
        <f t="shared" si="236"/>
        <v>0</v>
      </c>
      <c r="AP256" s="144">
        <f t="shared" si="236"/>
        <v>7.7764117579468763</v>
      </c>
      <c r="AQ256" s="144">
        <f t="shared" si="236"/>
        <v>4.9627394570272001</v>
      </c>
      <c r="AR256" s="144">
        <f t="shared" si="236"/>
        <v>8.6371087857593665</v>
      </c>
      <c r="AS256" s="144">
        <f t="shared" si="236"/>
        <v>4.5855489796453908</v>
      </c>
      <c r="AT256" s="144">
        <f t="shared" si="236"/>
        <v>2.2904840058168778</v>
      </c>
      <c r="AU256" s="144">
        <f t="shared" si="236"/>
        <v>4.9231520078828384</v>
      </c>
      <c r="AV256" s="115"/>
      <c r="AW256" s="144">
        <f t="shared" ref="AW256:BD256" si="237">AN236</f>
        <v>1.8468515456678911</v>
      </c>
      <c r="AX256" s="144">
        <f t="shared" si="237"/>
        <v>81.974612405724244</v>
      </c>
      <c r="AY256" s="144">
        <f t="shared" si="237"/>
        <v>7.7764117579468763</v>
      </c>
      <c r="AZ256" s="144">
        <f t="shared" si="237"/>
        <v>4.9627394570272001</v>
      </c>
      <c r="BA256" s="144">
        <f t="shared" si="237"/>
        <v>11.753291266079604</v>
      </c>
      <c r="BB256" s="144">
        <f t="shared" si="237"/>
        <v>2.5060165377783514</v>
      </c>
      <c r="BC256" s="144">
        <f t="shared" si="237"/>
        <v>1.2517565123767991</v>
      </c>
      <c r="BD256" s="144">
        <f t="shared" si="237"/>
        <v>6.6993760216653735</v>
      </c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>
        <f t="shared" si="72"/>
        <v>98</v>
      </c>
      <c r="CI256" s="113">
        <f t="shared" si="73"/>
        <v>154.09809932824348</v>
      </c>
      <c r="CJ256" s="124">
        <f t="shared" si="188"/>
        <v>3.5782748697315392</v>
      </c>
      <c r="CK256" s="124">
        <f t="shared" si="189"/>
        <v>81.974612405724244</v>
      </c>
      <c r="CL256" s="124">
        <f t="shared" si="190"/>
        <v>44.942681946991193</v>
      </c>
      <c r="CM256" s="124">
        <f t="shared" si="191"/>
        <v>25.567908166927964</v>
      </c>
      <c r="CN256" s="124">
        <f t="shared" si="192"/>
        <v>35.110773369805187</v>
      </c>
      <c r="CO256" s="124">
        <f t="shared" si="193"/>
        <v>29.542873184604137</v>
      </c>
      <c r="CP256" s="124">
        <f t="shared" si="194"/>
        <v>14.756679912389677</v>
      </c>
      <c r="CQ256" s="124">
        <f t="shared" si="195"/>
        <v>21.196232626249458</v>
      </c>
      <c r="CR256" s="144">
        <f t="shared" si="111"/>
        <v>256.67003648242343</v>
      </c>
    </row>
    <row r="257" spans="1:96" ht="14">
      <c r="A257">
        <f t="shared" si="233"/>
        <v>99</v>
      </c>
      <c r="B257" s="19">
        <f t="shared" si="233"/>
        <v>179</v>
      </c>
      <c r="C257" s="26">
        <f t="shared" si="105"/>
        <v>154.36620500878925</v>
      </c>
      <c r="D257" s="26"/>
      <c r="E257" s="26"/>
      <c r="F257" s="141">
        <f t="shared" ref="F257:G257" si="238">F256</f>
        <v>6.0606231572568161</v>
      </c>
      <c r="G257" s="141">
        <f t="shared" si="238"/>
        <v>0.7542108817919595</v>
      </c>
      <c r="H257" s="140">
        <f>(H$118)*('Product half-life and C flows'!L158/100)</f>
        <v>0.27700946402805793</v>
      </c>
      <c r="I257" s="140">
        <f>(($C$39*$C$118*0.28)*H$41)*('Product half-life and C flows'!N158/100)</f>
        <v>1.0409897205566938</v>
      </c>
      <c r="J257" s="140">
        <f>(($C$39*$C$118*0.28)*H$41)*(+'Product half-life and C flows'!P158/100)</f>
        <v>0.51997488539295345</v>
      </c>
      <c r="K257" s="141">
        <f t="shared" si="201"/>
        <v>1.3434381331919276</v>
      </c>
      <c r="L257" s="26"/>
      <c r="M257" s="142">
        <f>(C$158-C$138)*(0.4*D$14)*('Product half-life and C flows'!B118/100)</f>
        <v>0.11149631263072624</v>
      </c>
      <c r="N257" s="85"/>
      <c r="O257" s="143">
        <f t="shared" si="159"/>
        <v>7.7764117579468763</v>
      </c>
      <c r="P257" s="142">
        <f t="shared" si="160"/>
        <v>4.9627394570272001</v>
      </c>
      <c r="Q257" s="142">
        <f>(C$158-C$138)*(0.6*C$15)*('Product half-life and C flows'!L118/100)</f>
        <v>3.3752465857866643</v>
      </c>
      <c r="R257" s="142">
        <f>(C$158-C$138)*0.6*('Product half-life and C flows'!N118/100)</f>
        <v>8.0969650210938404</v>
      </c>
      <c r="S257" s="142">
        <f>(C$158-C$138)*0.6*('Product half-life and C flows'!P118/100)</f>
        <v>4.0444380724744446</v>
      </c>
      <c r="T257" s="142">
        <f t="shared" si="108"/>
        <v>1.9238905538983984</v>
      </c>
      <c r="U257" s="3"/>
      <c r="V257" s="142">
        <f t="shared" si="165"/>
        <v>0.22299262526145247</v>
      </c>
      <c r="W257" s="142">
        <f t="shared" si="166"/>
        <v>0</v>
      </c>
      <c r="X257" s="142">
        <f t="shared" si="167"/>
        <v>7.7764117579468763</v>
      </c>
      <c r="Y257" s="142">
        <f t="shared" si="168"/>
        <v>4.9627394570272001</v>
      </c>
      <c r="Z257" s="142">
        <f t="shared" si="169"/>
        <v>4.5930018020612007</v>
      </c>
      <c r="AA257" s="142">
        <f t="shared" si="170"/>
        <v>7.284316373433299</v>
      </c>
      <c r="AB257" s="142">
        <f t="shared" si="171"/>
        <v>3.6385196670496005</v>
      </c>
      <c r="AC257" s="142">
        <f t="shared" si="172"/>
        <v>2.6180110271748842</v>
      </c>
      <c r="AD257" s="115"/>
      <c r="AE257" s="142">
        <f t="shared" ref="AE257:AL257" si="239">V237</f>
        <v>0.44598525052290477</v>
      </c>
      <c r="AF257" s="142">
        <f t="shared" si="239"/>
        <v>0</v>
      </c>
      <c r="AG257" s="142">
        <f t="shared" si="239"/>
        <v>7.7764117579468763</v>
      </c>
      <c r="AH257" s="142">
        <f t="shared" si="239"/>
        <v>4.9627394570272001</v>
      </c>
      <c r="AI257" s="142">
        <f t="shared" si="239"/>
        <v>6.2501109230277745</v>
      </c>
      <c r="AJ257" s="142">
        <f t="shared" si="239"/>
        <v>6.1784722200416082</v>
      </c>
      <c r="AK257" s="142">
        <f t="shared" si="239"/>
        <v>3.0861499600607418</v>
      </c>
      <c r="AL257" s="142">
        <f t="shared" si="239"/>
        <v>3.5625632261258313</v>
      </c>
      <c r="AM257" s="115"/>
      <c r="AN257" s="144">
        <f t="shared" ref="AN257:AU257" si="240">AE237</f>
        <v>0.89197050104580988</v>
      </c>
      <c r="AO257" s="144">
        <f t="shared" si="240"/>
        <v>0</v>
      </c>
      <c r="AP257" s="144">
        <f t="shared" si="240"/>
        <v>7.7764117579468763</v>
      </c>
      <c r="AQ257" s="144">
        <f t="shared" si="240"/>
        <v>4.9627394570272001</v>
      </c>
      <c r="AR257" s="144">
        <f t="shared" si="240"/>
        <v>8.5050884440368399</v>
      </c>
      <c r="AS257" s="144">
        <f t="shared" si="240"/>
        <v>4.6736505543548903</v>
      </c>
      <c r="AT257" s="144">
        <f t="shared" si="240"/>
        <v>2.3344907863910538</v>
      </c>
      <c r="AU257" s="144">
        <f t="shared" si="240"/>
        <v>4.847900413100998</v>
      </c>
      <c r="AV257" s="115"/>
      <c r="AW257" s="144">
        <f t="shared" ref="AW257:BD257" si="241">AN237</f>
        <v>1.7839410020916198</v>
      </c>
      <c r="AX257" s="144">
        <f t="shared" si="241"/>
        <v>83.69778582830314</v>
      </c>
      <c r="AY257" s="144">
        <f t="shared" si="241"/>
        <v>7.7764117579468763</v>
      </c>
      <c r="AZ257" s="144">
        <f t="shared" si="241"/>
        <v>4.9627394570272001</v>
      </c>
      <c r="BA257" s="144">
        <f t="shared" si="241"/>
        <v>11.573639305243985</v>
      </c>
      <c r="BB257" s="144">
        <f t="shared" si="241"/>
        <v>2.6259042796426555</v>
      </c>
      <c r="BC257" s="144">
        <f t="shared" si="241"/>
        <v>1.3116404993220057</v>
      </c>
      <c r="BD257" s="144">
        <f t="shared" si="241"/>
        <v>6.596974403989071</v>
      </c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>
        <f t="shared" si="72"/>
        <v>99</v>
      </c>
      <c r="CI257" s="113">
        <f t="shared" si="73"/>
        <v>154.36620500878925</v>
      </c>
      <c r="CJ257" s="124">
        <f t="shared" si="188"/>
        <v>3.4563856915525131</v>
      </c>
      <c r="CK257" s="124">
        <f t="shared" si="189"/>
        <v>83.69778582830314</v>
      </c>
      <c r="CL257" s="124">
        <f t="shared" si="190"/>
        <v>44.942681946991193</v>
      </c>
      <c r="CM257" s="124">
        <f t="shared" si="191"/>
        <v>25.567908166927964</v>
      </c>
      <c r="CN257" s="124">
        <f t="shared" si="192"/>
        <v>34.574096524184526</v>
      </c>
      <c r="CO257" s="124">
        <f t="shared" si="193"/>
        <v>29.900298169122983</v>
      </c>
      <c r="CP257" s="124">
        <f t="shared" si="194"/>
        <v>14.935213870690802</v>
      </c>
      <c r="CQ257" s="124">
        <f t="shared" si="195"/>
        <v>20.892777757481113</v>
      </c>
      <c r="CR257" s="144">
        <f t="shared" si="111"/>
        <v>257.96714795525423</v>
      </c>
    </row>
    <row r="258" spans="1:96" s="137" customFormat="1" ht="14">
      <c r="A258" s="137">
        <f t="shared" si="233"/>
        <v>100</v>
      </c>
      <c r="B258" s="145">
        <f t="shared" si="233"/>
        <v>180</v>
      </c>
      <c r="C258" s="139">
        <f t="shared" si="105"/>
        <v>154.62930346313073</v>
      </c>
      <c r="D258" s="139"/>
      <c r="E258" s="139"/>
      <c r="F258" s="141">
        <f t="shared" ref="F258:G258" si="242">F257</f>
        <v>6.0606231572568161</v>
      </c>
      <c r="G258" s="141">
        <f t="shared" si="242"/>
        <v>0.7542108817919595</v>
      </c>
      <c r="H258" s="140">
        <f>(H$118)*('Product half-life and C flows'!L159/100)</f>
        <v>0.27277530593088833</v>
      </c>
      <c r="I258" s="140">
        <f>(($C$39*$C$118*0.28)*H$41)*('Product half-life and C flows'!N159/100)</f>
        <v>1.043108916684327</v>
      </c>
      <c r="J258" s="140">
        <f>(($C$39*$C$118*0.28)*H$41)*(+'Product half-life and C flows'!P159/100)</f>
        <v>0.52103342491724591</v>
      </c>
      <c r="K258" s="141">
        <f t="shared" si="201"/>
        <v>1.3434381331919276</v>
      </c>
      <c r="L258" s="139"/>
      <c r="M258" s="142">
        <f>(C$158-C$138)*(0.4*D$14)*('Product half-life and C flows'!B119/100)</f>
        <v>0.10769833891118058</v>
      </c>
      <c r="N258" s="146"/>
      <c r="O258" s="143">
        <f t="shared" si="159"/>
        <v>7.7764117579468763</v>
      </c>
      <c r="P258" s="142">
        <f t="shared" si="160"/>
        <v>4.9627394570272001</v>
      </c>
      <c r="Q258" s="142">
        <f>(C$158-C$138)*(0.6*C$15)*('Product half-life and C flows'!L119/100)</f>
        <v>3.3236551078156982</v>
      </c>
      <c r="R258" s="142">
        <f>(C$158-C$138)*0.6*('Product half-life and C flows'!N119/100)</f>
        <v>8.131393734059797</v>
      </c>
      <c r="S258" s="142">
        <f>(C$158-C$138)*0.6*('Product half-life and C flows'!P119/100)</f>
        <v>4.0616352317981006</v>
      </c>
      <c r="T258" s="142">
        <f t="shared" si="108"/>
        <v>1.8944834114549478</v>
      </c>
      <c r="U258" s="144"/>
      <c r="V258" s="142">
        <f t="shared" si="165"/>
        <v>0.21539667782236116</v>
      </c>
      <c r="W258" s="142">
        <f t="shared" si="166"/>
        <v>0</v>
      </c>
      <c r="X258" s="142">
        <f t="shared" si="167"/>
        <v>7.7764117579468763</v>
      </c>
      <c r="Y258" s="142">
        <f t="shared" si="168"/>
        <v>4.9627394570272001</v>
      </c>
      <c r="Z258" s="142">
        <f t="shared" si="169"/>
        <v>4.5227966347440924</v>
      </c>
      <c r="AA258" s="142">
        <f t="shared" si="170"/>
        <v>7.3311666217562506</v>
      </c>
      <c r="AB258" s="142">
        <f t="shared" si="171"/>
        <v>3.6619213894886364</v>
      </c>
      <c r="AC258" s="142">
        <f t="shared" si="172"/>
        <v>2.5779940818041323</v>
      </c>
      <c r="AD258" s="144"/>
      <c r="AE258" s="142">
        <f t="shared" ref="AE258:AL258" si="243">V238</f>
        <v>0.43079335564472232</v>
      </c>
      <c r="AF258" s="142">
        <f t="shared" si="243"/>
        <v>0</v>
      </c>
      <c r="AG258" s="142">
        <f t="shared" si="243"/>
        <v>7.7764117579468763</v>
      </c>
      <c r="AH258" s="142">
        <f t="shared" si="243"/>
        <v>4.9627394570272001</v>
      </c>
      <c r="AI258" s="142">
        <f t="shared" si="243"/>
        <v>6.1545764333820854</v>
      </c>
      <c r="AJ258" s="142">
        <f t="shared" si="243"/>
        <v>6.2422255694651652</v>
      </c>
      <c r="AK258" s="142">
        <f t="shared" si="243"/>
        <v>3.1179947899426383</v>
      </c>
      <c r="AL258" s="142">
        <f t="shared" si="243"/>
        <v>3.5081085670277883</v>
      </c>
      <c r="AM258" s="144"/>
      <c r="AN258" s="144">
        <f t="shared" ref="AN258:AU258" si="244">AE238</f>
        <v>0.86158671128944464</v>
      </c>
      <c r="AO258" s="144">
        <f t="shared" si="244"/>
        <v>0</v>
      </c>
      <c r="AP258" s="144">
        <f t="shared" si="244"/>
        <v>7.7764117579468763</v>
      </c>
      <c r="AQ258" s="144">
        <f t="shared" si="244"/>
        <v>4.9627394570272001</v>
      </c>
      <c r="AR258" s="144">
        <f t="shared" si="244"/>
        <v>8.3750860658552231</v>
      </c>
      <c r="AS258" s="144">
        <f t="shared" si="244"/>
        <v>4.7604054747280893</v>
      </c>
      <c r="AT258" s="144">
        <f t="shared" si="244"/>
        <v>2.3778249124515924</v>
      </c>
      <c r="AU258" s="144">
        <f t="shared" si="244"/>
        <v>4.7737990575374765</v>
      </c>
      <c r="AV258" s="144"/>
      <c r="AW258" s="144">
        <f t="shared" ref="AW258:BD258" si="245">AN238</f>
        <v>1.7231734225788893</v>
      </c>
      <c r="AX258" s="144">
        <f t="shared" si="245"/>
        <v>0</v>
      </c>
      <c r="AY258" s="144">
        <f t="shared" si="245"/>
        <v>7.7764117579468763</v>
      </c>
      <c r="AZ258" s="144">
        <f t="shared" si="245"/>
        <v>4.9627394570272001</v>
      </c>
      <c r="BA258" s="144">
        <f t="shared" si="245"/>
        <v>11.396733369015552</v>
      </c>
      <c r="BB258" s="144">
        <f t="shared" si="245"/>
        <v>2.7439595077524288</v>
      </c>
      <c r="BC258" s="144">
        <f t="shared" si="245"/>
        <v>1.370609144731483</v>
      </c>
      <c r="BD258" s="144">
        <f t="shared" si="245"/>
        <v>6.4961380203388641</v>
      </c>
      <c r="BE258" s="142"/>
      <c r="BF258" s="142">
        <f>AW238</f>
        <v>3.4463468451577786</v>
      </c>
      <c r="BG258" s="142">
        <f t="shared" ref="BG258:BM258" si="246">AX238</f>
        <v>50.957490799304182</v>
      </c>
      <c r="BH258" s="142">
        <f t="shared" si="246"/>
        <v>7.7764117579468763</v>
      </c>
      <c r="BI258" s="142">
        <f t="shared" si="246"/>
        <v>4.9627394570272001</v>
      </c>
      <c r="BJ258" s="142">
        <f t="shared" si="246"/>
        <v>15.508560803210001</v>
      </c>
      <c r="BK258" s="142">
        <f t="shared" si="246"/>
        <v>0</v>
      </c>
      <c r="BL258" s="142">
        <f t="shared" si="246"/>
        <v>0</v>
      </c>
      <c r="BM258" s="142">
        <f t="shared" si="246"/>
        <v>8.8398796578296999</v>
      </c>
      <c r="BN258" s="142"/>
      <c r="BO258" s="142"/>
      <c r="BP258" s="142"/>
      <c r="BQ258" s="142"/>
      <c r="BR258" s="142"/>
      <c r="BS258" s="142"/>
      <c r="BT258" s="142"/>
      <c r="BU258" s="142"/>
      <c r="BV258" s="142"/>
      <c r="BW258" s="142"/>
      <c r="BX258" s="142"/>
      <c r="BY258" s="142"/>
      <c r="BZ258" s="142"/>
      <c r="CA258" s="142"/>
      <c r="CB258" s="142"/>
      <c r="CC258" s="142"/>
      <c r="CD258" s="142"/>
      <c r="CE258" s="142"/>
      <c r="CF258" s="142"/>
      <c r="CG258" s="142"/>
      <c r="CH258" s="137">
        <f t="shared" si="72"/>
        <v>100</v>
      </c>
      <c r="CI258" s="144">
        <f t="shared" si="73"/>
        <v>154.62930346313073</v>
      </c>
      <c r="CJ258" s="124">
        <f t="shared" si="188"/>
        <v>6.7849953514043762</v>
      </c>
      <c r="CK258" s="124">
        <f t="shared" si="189"/>
        <v>50.957490799304182</v>
      </c>
      <c r="CL258" s="124">
        <f t="shared" si="190"/>
        <v>52.719093704938068</v>
      </c>
      <c r="CM258" s="124">
        <f t="shared" si="191"/>
        <v>30.530647623955165</v>
      </c>
      <c r="CN258" s="124">
        <f t="shared" si="192"/>
        <v>49.554183719953542</v>
      </c>
      <c r="CO258" s="124">
        <f t="shared" si="193"/>
        <v>30.252259824446057</v>
      </c>
      <c r="CP258" s="124">
        <f t="shared" si="194"/>
        <v>15.111018893329698</v>
      </c>
      <c r="CQ258" s="124">
        <f t="shared" si="195"/>
        <v>29.433840929184839</v>
      </c>
      <c r="CR258" s="144">
        <f t="shared" si="111"/>
        <v>265.34353084651593</v>
      </c>
    </row>
    <row r="259" spans="1:96" ht="14">
      <c r="A259">
        <f t="shared" si="233"/>
        <v>101</v>
      </c>
      <c r="B259" s="19">
        <f t="shared" si="233"/>
        <v>181</v>
      </c>
      <c r="C259" s="26">
        <f t="shared" si="105"/>
        <v>154.88748217879268</v>
      </c>
      <c r="D259" s="26"/>
      <c r="E259" s="26"/>
      <c r="F259" s="141">
        <f t="shared" ref="F259:G259" si="247">F258</f>
        <v>6.0606231572568161</v>
      </c>
      <c r="G259" s="141">
        <f t="shared" si="247"/>
        <v>0.7542108817919595</v>
      </c>
      <c r="H259" s="140">
        <f>(H$118)*('Product half-life and C flows'!L160/100)</f>
        <v>0.26860586798634861</v>
      </c>
      <c r="I259" s="140">
        <f>(($C$39*$C$118*0.28)*H$41)*('Product half-life and C flows'!N160/100)</f>
        <v>1.0451957203755693</v>
      </c>
      <c r="J259" s="140">
        <f>(($C$39*$C$118*0.28)*H$41)*(+'Product half-life and C flows'!P160/100)</f>
        <v>0.52207578440338076</v>
      </c>
      <c r="K259" s="141">
        <f t="shared" si="201"/>
        <v>1.3434381331919276</v>
      </c>
      <c r="L259" s="26"/>
      <c r="M259" s="142">
        <f>(C$158-C$138)*(0.4*D$14)*('Product half-life and C flows'!B120/100)</f>
        <v>0.10402973811916966</v>
      </c>
      <c r="N259" s="85"/>
      <c r="O259" s="143">
        <f t="shared" si="159"/>
        <v>7.7764117579468763</v>
      </c>
      <c r="P259" s="142">
        <f t="shared" si="160"/>
        <v>4.9627394570272001</v>
      </c>
      <c r="Q259" s="142">
        <f>(C$158-C$138)*(0.6*C$15)*('Product half-life and C flows'!L120/100)</f>
        <v>3.2728522183319959</v>
      </c>
      <c r="R259" s="142">
        <f>(C$158-C$138)*0.6*('Product half-life and C flows'!N120/100)</f>
        <v>8.1652961956419219</v>
      </c>
      <c r="S259" s="142">
        <f>(C$158-C$138)*0.6*('Product half-life and C flows'!P120/100)</f>
        <v>4.0785695282926682</v>
      </c>
      <c r="T259" s="142">
        <f t="shared" si="108"/>
        <v>1.8655257644492376</v>
      </c>
      <c r="U259" s="3"/>
      <c r="V259" s="142">
        <f t="shared" si="165"/>
        <v>0.20805947623833926</v>
      </c>
      <c r="W259" s="142">
        <f t="shared" si="166"/>
        <v>0</v>
      </c>
      <c r="X259" s="142">
        <f t="shared" si="167"/>
        <v>7.7764117579468763</v>
      </c>
      <c r="Y259" s="142">
        <f t="shared" si="168"/>
        <v>4.9627394570272001</v>
      </c>
      <c r="Z259" s="142">
        <f t="shared" si="169"/>
        <v>4.4536645707547065</v>
      </c>
      <c r="AA259" s="142">
        <f t="shared" si="170"/>
        <v>7.377300752458499</v>
      </c>
      <c r="AB259" s="142">
        <f t="shared" si="171"/>
        <v>3.6849654108184318</v>
      </c>
      <c r="AC259" s="142">
        <f t="shared" si="172"/>
        <v>2.5385888053301824</v>
      </c>
      <c r="AD259" s="115"/>
      <c r="AE259" s="142">
        <f t="shared" ref="AE259:AL259" si="248">V239</f>
        <v>0.41611895247667857</v>
      </c>
      <c r="AF259" s="142">
        <f t="shared" si="248"/>
        <v>0</v>
      </c>
      <c r="AG259" s="142">
        <f t="shared" si="248"/>
        <v>7.7764117579468763</v>
      </c>
      <c r="AH259" s="142">
        <f t="shared" si="248"/>
        <v>4.9627394570272001</v>
      </c>
      <c r="AI259" s="142">
        <f t="shared" si="248"/>
        <v>6.0605022120139136</v>
      </c>
      <c r="AJ259" s="142">
        <f t="shared" si="248"/>
        <v>6.3050044331915256</v>
      </c>
      <c r="AK259" s="142">
        <f t="shared" si="248"/>
        <v>3.1493528637320294</v>
      </c>
      <c r="AL259" s="142">
        <f t="shared" si="248"/>
        <v>3.4544862608479305</v>
      </c>
      <c r="AM259" s="115"/>
      <c r="AN259" s="144">
        <f t="shared" ref="AN259:AU259" si="249">AE239</f>
        <v>0.83223790495335714</v>
      </c>
      <c r="AO259" s="144">
        <f t="shared" si="249"/>
        <v>0</v>
      </c>
      <c r="AP259" s="144">
        <f t="shared" si="249"/>
        <v>7.7764117579468763</v>
      </c>
      <c r="AQ259" s="144">
        <f t="shared" si="249"/>
        <v>4.9627394570272001</v>
      </c>
      <c r="AR259" s="144">
        <f t="shared" si="249"/>
        <v>8.2470708061432259</v>
      </c>
      <c r="AS259" s="144">
        <f t="shared" si="249"/>
        <v>4.8458343247092301</v>
      </c>
      <c r="AT259" s="144">
        <f t="shared" si="249"/>
        <v>2.4204966656889253</v>
      </c>
      <c r="AU259" s="144">
        <f t="shared" si="249"/>
        <v>4.7008303595016381</v>
      </c>
      <c r="AV259" s="115"/>
      <c r="AW259" s="144">
        <f t="shared" ref="AW259:BD259" si="250">AN239</f>
        <v>1.6644758099067141</v>
      </c>
      <c r="AX259" s="144">
        <f t="shared" si="250"/>
        <v>0</v>
      </c>
      <c r="AY259" s="144">
        <f t="shared" si="250"/>
        <v>7.7764117579468763</v>
      </c>
      <c r="AZ259" s="144">
        <f t="shared" si="250"/>
        <v>4.9627394570272001</v>
      </c>
      <c r="BA259" s="144">
        <f t="shared" si="250"/>
        <v>11.222531483729737</v>
      </c>
      <c r="BB259" s="144">
        <f t="shared" si="250"/>
        <v>2.8602102325331629</v>
      </c>
      <c r="BC259" s="144">
        <f t="shared" si="250"/>
        <v>1.4286764398267544</v>
      </c>
      <c r="BD259" s="144">
        <f t="shared" si="250"/>
        <v>6.3968429457259495</v>
      </c>
      <c r="BE259" s="17"/>
      <c r="BF259" s="142">
        <f t="shared" ref="BF259:BM259" si="251">AW239</f>
        <v>3.3289516198134281</v>
      </c>
      <c r="BG259" s="142">
        <f t="shared" si="251"/>
        <v>52.68066422188307</v>
      </c>
      <c r="BH259" s="142">
        <f t="shared" si="251"/>
        <v>7.7764117579468763</v>
      </c>
      <c r="BI259" s="142">
        <f t="shared" si="251"/>
        <v>4.9627394570272001</v>
      </c>
      <c r="BJ259" s="142">
        <f t="shared" si="251"/>
        <v>15.271508619701541</v>
      </c>
      <c r="BK259" s="142">
        <f t="shared" si="251"/>
        <v>0.15819282379464625</v>
      </c>
      <c r="BL259" s="142">
        <f t="shared" si="251"/>
        <v>7.9017394502820304E-2</v>
      </c>
      <c r="BM259" s="142">
        <f t="shared" si="251"/>
        <v>8.7047599132298767</v>
      </c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>
        <f t="shared" si="72"/>
        <v>101</v>
      </c>
      <c r="CI259" s="113">
        <f t="shared" si="73"/>
        <v>154.88748217879268</v>
      </c>
      <c r="CJ259" s="124">
        <f t="shared" si="188"/>
        <v>6.5538735015076863</v>
      </c>
      <c r="CK259" s="124">
        <f t="shared" si="189"/>
        <v>52.68066422188307</v>
      </c>
      <c r="CL259" s="124">
        <f t="shared" si="190"/>
        <v>52.719093704938068</v>
      </c>
      <c r="CM259" s="124">
        <f t="shared" si="191"/>
        <v>30.530647623955165</v>
      </c>
      <c r="CN259" s="124">
        <f t="shared" si="192"/>
        <v>48.796735778661471</v>
      </c>
      <c r="CO259" s="124">
        <f t="shared" si="193"/>
        <v>30.757034482704558</v>
      </c>
      <c r="CP259" s="124">
        <f t="shared" si="194"/>
        <v>15.363154087265011</v>
      </c>
      <c r="CQ259" s="124">
        <f t="shared" si="195"/>
        <v>29.004472182276743</v>
      </c>
      <c r="CR259" s="144">
        <f t="shared" si="111"/>
        <v>266.40567558319179</v>
      </c>
    </row>
    <row r="260" spans="1:96" ht="14">
      <c r="A260">
        <f t="shared" si="233"/>
        <v>102</v>
      </c>
      <c r="B260" s="19">
        <f t="shared" si="233"/>
        <v>182</v>
      </c>
      <c r="C260" s="26">
        <f t="shared" si="105"/>
        <v>155.14082735862848</v>
      </c>
      <c r="D260" s="26"/>
      <c r="E260" s="26"/>
      <c r="F260" s="141">
        <f t="shared" ref="F260:G260" si="252">F259</f>
        <v>6.0606231572568161</v>
      </c>
      <c r="G260" s="141">
        <f t="shared" si="252"/>
        <v>0.7542108817919595</v>
      </c>
      <c r="H260" s="140">
        <f>(H$118)*('Product half-life and C flows'!L161/100)</f>
        <v>0.26450016093091572</v>
      </c>
      <c r="I260" s="140">
        <f>(($C$39*$C$118*0.28)*H$41)*('Product half-life and C flows'!N161/100)</f>
        <v>1.0472506267568134</v>
      </c>
      <c r="J260" s="140">
        <f>(($C$39*$C$118*0.28)*H$41)*(+'Product half-life and C flows'!P161/100)</f>
        <v>0.52310221116723898</v>
      </c>
      <c r="K260" s="141">
        <f t="shared" si="201"/>
        <v>1.3434381331919276</v>
      </c>
      <c r="L260" s="26"/>
      <c r="M260" s="142">
        <f>(C$158-C$138)*(0.4*D$14)*('Product half-life and C flows'!B121/100)</f>
        <v>0.10048610333784382</v>
      </c>
      <c r="N260" s="85"/>
      <c r="O260" s="143">
        <f t="shared" si="159"/>
        <v>7.7764117579468763</v>
      </c>
      <c r="P260" s="142">
        <f t="shared" si="160"/>
        <v>4.9627394570272001</v>
      </c>
      <c r="Q260" s="142">
        <f>(C$158-C$138)*(0.6*C$15)*('Product half-life and C flows'!L121/100)</f>
        <v>3.2228258635656966</v>
      </c>
      <c r="R260" s="142">
        <f>(C$158-C$138)*0.6*('Product half-life and C flows'!N121/100)</f>
        <v>8.198680449722632</v>
      </c>
      <c r="S260" s="142">
        <f>(C$158-C$138)*0.6*('Product half-life and C flows'!P121/100)</f>
        <v>4.0952449798814339</v>
      </c>
      <c r="T260" s="142">
        <f t="shared" si="108"/>
        <v>1.8370107422324469</v>
      </c>
      <c r="U260" s="3"/>
      <c r="V260" s="142">
        <f t="shared" si="165"/>
        <v>0.20097220667568763</v>
      </c>
      <c r="W260" s="142">
        <f t="shared" si="166"/>
        <v>0</v>
      </c>
      <c r="X260" s="142">
        <f t="shared" si="167"/>
        <v>7.7764117579468763</v>
      </c>
      <c r="Y260" s="142">
        <f t="shared" si="168"/>
        <v>4.9627394570272001</v>
      </c>
      <c r="Z260" s="142">
        <f t="shared" si="169"/>
        <v>4.3855892074435507</v>
      </c>
      <c r="AA260" s="142">
        <f t="shared" si="170"/>
        <v>7.422729711574811</v>
      </c>
      <c r="AB260" s="142">
        <f t="shared" si="171"/>
        <v>3.7076571985888176</v>
      </c>
      <c r="AC260" s="142">
        <f t="shared" si="172"/>
        <v>2.4997858482428237</v>
      </c>
      <c r="AD260" s="115"/>
      <c r="AE260" s="142">
        <f t="shared" ref="AE260:AL260" si="253">V240</f>
        <v>0.4019444133513751</v>
      </c>
      <c r="AF260" s="142">
        <f t="shared" si="253"/>
        <v>0</v>
      </c>
      <c r="AG260" s="142">
        <f t="shared" si="253"/>
        <v>7.7764117579468763</v>
      </c>
      <c r="AH260" s="142">
        <f t="shared" si="253"/>
        <v>4.9627394570272001</v>
      </c>
      <c r="AI260" s="142">
        <f t="shared" si="253"/>
        <v>5.9678659383618546</v>
      </c>
      <c r="AJ260" s="142">
        <f t="shared" si="253"/>
        <v>6.3668237064753317</v>
      </c>
      <c r="AK260" s="142">
        <f t="shared" si="253"/>
        <v>3.1802316216160484</v>
      </c>
      <c r="AL260" s="142">
        <f t="shared" si="253"/>
        <v>3.401683584866257</v>
      </c>
      <c r="AM260" s="115"/>
      <c r="AN260" s="144">
        <f t="shared" ref="AN260:AU260" si="254">AE240</f>
        <v>0.80388882670275008</v>
      </c>
      <c r="AO260" s="144">
        <f t="shared" si="254"/>
        <v>0</v>
      </c>
      <c r="AP260" s="144">
        <f t="shared" si="254"/>
        <v>7.7764117579468763</v>
      </c>
      <c r="AQ260" s="144">
        <f t="shared" si="254"/>
        <v>4.9627394570272001</v>
      </c>
      <c r="AR260" s="144">
        <f t="shared" si="254"/>
        <v>8.1210122913040852</v>
      </c>
      <c r="AS260" s="144">
        <f t="shared" si="254"/>
        <v>4.9299573736118827</v>
      </c>
      <c r="AT260" s="144">
        <f t="shared" si="254"/>
        <v>2.4625161706353049</v>
      </c>
      <c r="AU260" s="144">
        <f t="shared" si="254"/>
        <v>4.6289770060433284</v>
      </c>
      <c r="AV260" s="115"/>
      <c r="AW260" s="144">
        <f t="shared" ref="AW260:BD260" si="255">AN240</f>
        <v>1.6077776534055002</v>
      </c>
      <c r="AX260" s="144">
        <f t="shared" si="255"/>
        <v>0</v>
      </c>
      <c r="AY260" s="144">
        <f t="shared" si="255"/>
        <v>7.7764117579468763</v>
      </c>
      <c r="AZ260" s="144">
        <f t="shared" si="255"/>
        <v>4.9627394570272001</v>
      </c>
      <c r="BA260" s="144">
        <f t="shared" si="255"/>
        <v>11.050992317299807</v>
      </c>
      <c r="BB260" s="144">
        <f t="shared" si="255"/>
        <v>2.9746840362640703</v>
      </c>
      <c r="BC260" s="144">
        <f t="shared" si="255"/>
        <v>1.485856161970065</v>
      </c>
      <c r="BD260" s="144">
        <f t="shared" si="255"/>
        <v>6.2990656208608895</v>
      </c>
      <c r="BE260" s="17"/>
      <c r="BF260" s="142">
        <f t="shared" ref="BF260:BM260" si="256">AW240</f>
        <v>3.2155553068110003</v>
      </c>
      <c r="BG260" s="142">
        <f t="shared" si="256"/>
        <v>54.403837644461959</v>
      </c>
      <c r="BH260" s="142">
        <f t="shared" si="256"/>
        <v>7.7764117579468763</v>
      </c>
      <c r="BI260" s="142">
        <f t="shared" si="256"/>
        <v>4.9627394570272001</v>
      </c>
      <c r="BJ260" s="142">
        <f t="shared" si="256"/>
        <v>15.038079837385441</v>
      </c>
      <c r="BK260" s="142">
        <f t="shared" si="256"/>
        <v>0.3139676311935905</v>
      </c>
      <c r="BL260" s="142">
        <f t="shared" si="256"/>
        <v>0.15682698860818706</v>
      </c>
      <c r="BM260" s="142">
        <f t="shared" si="256"/>
        <v>8.5717055073096997</v>
      </c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>
        <f t="shared" si="72"/>
        <v>102</v>
      </c>
      <c r="CI260" s="113">
        <f t="shared" si="73"/>
        <v>155.14082735862848</v>
      </c>
      <c r="CJ260" s="124">
        <f t="shared" si="188"/>
        <v>6.3306245102841565</v>
      </c>
      <c r="CK260" s="124">
        <f t="shared" si="189"/>
        <v>54.403837644461959</v>
      </c>
      <c r="CL260" s="124">
        <f t="shared" si="190"/>
        <v>52.719093704938068</v>
      </c>
      <c r="CM260" s="124">
        <f t="shared" si="191"/>
        <v>30.530647623955165</v>
      </c>
      <c r="CN260" s="124">
        <f t="shared" si="192"/>
        <v>48.050865616291347</v>
      </c>
      <c r="CO260" s="124">
        <f t="shared" si="193"/>
        <v>31.254093535599136</v>
      </c>
      <c r="CP260" s="124">
        <f t="shared" si="194"/>
        <v>15.611435332467096</v>
      </c>
      <c r="CQ260" s="124">
        <f t="shared" si="195"/>
        <v>28.58166644274737</v>
      </c>
      <c r="CR260" s="144">
        <f t="shared" si="111"/>
        <v>267.48226441074428</v>
      </c>
    </row>
    <row r="261" spans="1:96" ht="14">
      <c r="A261">
        <f t="shared" si="233"/>
        <v>103</v>
      </c>
      <c r="B261" s="19">
        <f t="shared" si="233"/>
        <v>183</v>
      </c>
      <c r="C261" s="26">
        <f t="shared" si="105"/>
        <v>155.3894239292618</v>
      </c>
      <c r="D261" s="26"/>
      <c r="E261" s="26"/>
      <c r="F261" s="141">
        <f t="shared" ref="F261:G261" si="257">F260</f>
        <v>6.0606231572568161</v>
      </c>
      <c r="G261" s="141">
        <f t="shared" si="257"/>
        <v>0.7542108817919595</v>
      </c>
      <c r="H261" s="140">
        <f>(H$118)*('Product half-life and C flows'!L162/100)</f>
        <v>0.26045721062220401</v>
      </c>
      <c r="I261" s="140">
        <f>(($C$39*$C$118*0.28)*H$41)*('Product half-life and C flows'!N162/100)</f>
        <v>1.0492741233863236</v>
      </c>
      <c r="J261" s="140">
        <f>(($C$39*$C$118*0.28)*H$41)*(+'Product half-life and C flows'!P162/100)</f>
        <v>0.52411294874441705</v>
      </c>
      <c r="K261" s="141">
        <f t="shared" si="201"/>
        <v>1.3434381331919276</v>
      </c>
      <c r="L261" s="26"/>
      <c r="M261" s="142">
        <f>(C$158-C$138)*(0.4*D$14)*('Product half-life and C flows'!B122/100)</f>
        <v>9.7063177766119474E-2</v>
      </c>
      <c r="N261" s="85"/>
      <c r="O261" s="143">
        <f t="shared" si="159"/>
        <v>7.7764117579468763</v>
      </c>
      <c r="P261" s="142">
        <f t="shared" si="160"/>
        <v>4.9627394570272001</v>
      </c>
      <c r="Q261" s="142">
        <f>(C$158-C$138)*(0.6*C$15)*('Product half-life and C flows'!L122/100)</f>
        <v>3.1735641739917897</v>
      </c>
      <c r="R261" s="142">
        <f>(C$158-C$138)*0.6*('Product half-life and C flows'!N122/100)</f>
        <v>8.2315544172316191</v>
      </c>
      <c r="S261" s="142">
        <f>(C$158-C$138)*0.6*('Product half-life and C flows'!P122/100)</f>
        <v>4.1116655430727365</v>
      </c>
      <c r="T261" s="142">
        <f t="shared" si="108"/>
        <v>1.80893157917532</v>
      </c>
      <c r="U261" s="3"/>
      <c r="V261" s="142">
        <f t="shared" si="165"/>
        <v>0.19412635553223886</v>
      </c>
      <c r="W261" s="142">
        <f t="shared" si="166"/>
        <v>0</v>
      </c>
      <c r="X261" s="142">
        <f t="shared" si="167"/>
        <v>7.7764117579468763</v>
      </c>
      <c r="Y261" s="142">
        <f t="shared" si="168"/>
        <v>4.9627394570272001</v>
      </c>
      <c r="Z261" s="142">
        <f t="shared" si="169"/>
        <v>4.3185543928796832</v>
      </c>
      <c r="AA261" s="142">
        <f t="shared" si="170"/>
        <v>7.4674642778270988</v>
      </c>
      <c r="AB261" s="142">
        <f t="shared" si="171"/>
        <v>3.7300021367767719</v>
      </c>
      <c r="AC261" s="142">
        <f t="shared" si="172"/>
        <v>2.4615760039414192</v>
      </c>
      <c r="AD261" s="115"/>
      <c r="AE261" s="142">
        <f t="shared" ref="AE261:AL261" si="258">V241</f>
        <v>0.38825271106447801</v>
      </c>
      <c r="AF261" s="142">
        <f t="shared" si="258"/>
        <v>0</v>
      </c>
      <c r="AG261" s="142">
        <f t="shared" si="258"/>
        <v>7.7764117579468763</v>
      </c>
      <c r="AH261" s="142">
        <f t="shared" si="258"/>
        <v>4.9627394570272001</v>
      </c>
      <c r="AI261" s="142">
        <f t="shared" si="258"/>
        <v>5.8766456330398018</v>
      </c>
      <c r="AJ261" s="142">
        <f t="shared" si="258"/>
        <v>6.4276980568935826</v>
      </c>
      <c r="AK261" s="142">
        <f t="shared" si="258"/>
        <v>3.210638390056733</v>
      </c>
      <c r="AL261" s="142">
        <f t="shared" si="258"/>
        <v>3.3496880108326867</v>
      </c>
      <c r="AM261" s="115"/>
      <c r="AN261" s="144">
        <f t="shared" ref="AN261:AU261" si="259">AE241</f>
        <v>0.7765054221289559</v>
      </c>
      <c r="AO261" s="144">
        <f t="shared" si="259"/>
        <v>0</v>
      </c>
      <c r="AP261" s="144">
        <f t="shared" si="259"/>
        <v>7.7764117579468763</v>
      </c>
      <c r="AQ261" s="144">
        <f t="shared" si="259"/>
        <v>4.9627394570272001</v>
      </c>
      <c r="AR261" s="144">
        <f t="shared" si="259"/>
        <v>7.9968806120089821</v>
      </c>
      <c r="AS261" s="144">
        <f t="shared" si="259"/>
        <v>5.0127945809281487</v>
      </c>
      <c r="AT261" s="144">
        <f t="shared" si="259"/>
        <v>2.5038933970670061</v>
      </c>
      <c r="AU261" s="144">
        <f t="shared" si="259"/>
        <v>4.5582219488451194</v>
      </c>
      <c r="AV261" s="115"/>
      <c r="AW261" s="144">
        <f t="shared" ref="AW261:BD261" si="260">AN241</f>
        <v>1.5530108442579118</v>
      </c>
      <c r="AX261" s="144">
        <f t="shared" si="260"/>
        <v>0</v>
      </c>
      <c r="AY261" s="144">
        <f t="shared" si="260"/>
        <v>7.7764117579468763</v>
      </c>
      <c r="AZ261" s="144">
        <f t="shared" si="260"/>
        <v>4.9627394570272001</v>
      </c>
      <c r="BA261" s="144">
        <f t="shared" si="260"/>
        <v>10.882075169410175</v>
      </c>
      <c r="BB261" s="144">
        <f t="shared" si="260"/>
        <v>3.0874080796224175</v>
      </c>
      <c r="BC261" s="144">
        <f t="shared" si="260"/>
        <v>1.5421618779332751</v>
      </c>
      <c r="BD261" s="144">
        <f t="shared" si="260"/>
        <v>6.2027828465637995</v>
      </c>
      <c r="BE261" s="17"/>
      <c r="BF261" s="142">
        <f t="shared" ref="BF261:BM261" si="261">AW241</f>
        <v>3.1060216885158232</v>
      </c>
      <c r="BG261" s="142">
        <f t="shared" si="261"/>
        <v>56.127011067040847</v>
      </c>
      <c r="BH261" s="142">
        <f t="shared" si="261"/>
        <v>7.7764117579468763</v>
      </c>
      <c r="BI261" s="142">
        <f t="shared" si="261"/>
        <v>4.9627394570272001</v>
      </c>
      <c r="BJ261" s="142">
        <f t="shared" si="261"/>
        <v>14.808219071679254</v>
      </c>
      <c r="BK261" s="142">
        <f t="shared" si="261"/>
        <v>0.46736138217485096</v>
      </c>
      <c r="BL261" s="142">
        <f t="shared" si="261"/>
        <v>0.23344724384358187</v>
      </c>
      <c r="BM261" s="142">
        <f t="shared" si="261"/>
        <v>8.440684870857174</v>
      </c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>
        <f t="shared" si="72"/>
        <v>103</v>
      </c>
      <c r="CI261" s="113">
        <f t="shared" si="73"/>
        <v>155.3894239292618</v>
      </c>
      <c r="CJ261" s="124">
        <f t="shared" si="188"/>
        <v>6.1149801992655268</v>
      </c>
      <c r="CK261" s="124">
        <f t="shared" si="189"/>
        <v>56.127011067040847</v>
      </c>
      <c r="CL261" s="124">
        <f t="shared" si="190"/>
        <v>52.719093704938068</v>
      </c>
      <c r="CM261" s="124">
        <f t="shared" si="191"/>
        <v>30.530647623955165</v>
      </c>
      <c r="CN261" s="124">
        <f t="shared" si="192"/>
        <v>47.316396263631894</v>
      </c>
      <c r="CO261" s="124">
        <f t="shared" si="193"/>
        <v>31.743554918064039</v>
      </c>
      <c r="CP261" s="124">
        <f t="shared" si="194"/>
        <v>15.85592153749452</v>
      </c>
      <c r="CQ261" s="124">
        <f t="shared" si="195"/>
        <v>28.165323393407448</v>
      </c>
      <c r="CR261" s="144">
        <f t="shared" si="111"/>
        <v>268.57292870779747</v>
      </c>
    </row>
    <row r="262" spans="1:96" ht="14">
      <c r="A262">
        <f t="shared" si="233"/>
        <v>104</v>
      </c>
      <c r="B262" s="19">
        <f t="shared" si="233"/>
        <v>184</v>
      </c>
      <c r="C262" s="26">
        <f t="shared" si="105"/>
        <v>155.63335554999506</v>
      </c>
      <c r="D262" s="26"/>
      <c r="E262" s="26"/>
      <c r="F262" s="141">
        <f t="shared" ref="F262:G262" si="262">F261</f>
        <v>6.0606231572568161</v>
      </c>
      <c r="G262" s="141">
        <f t="shared" si="262"/>
        <v>0.7542108817919595</v>
      </c>
      <c r="H262" s="140">
        <f>(H$118)*('Product half-life and C flows'!L163/100)</f>
        <v>0.25647605780783472</v>
      </c>
      <c r="I262" s="140">
        <f>(($C$39*$C$118*0.28)*H$41)*('Product half-life and C flows'!N163/100)</f>
        <v>1.0512666903699155</v>
      </c>
      <c r="J262" s="140">
        <f>(($C$39*$C$118*0.28)*H$41)*(+'Product half-life and C flows'!P163/100)</f>
        <v>0.52510823694800934</v>
      </c>
      <c r="K262" s="141">
        <f t="shared" si="201"/>
        <v>1.3434381331919276</v>
      </c>
      <c r="L262" s="26"/>
      <c r="M262" s="142">
        <f>(C$158-C$138)*(0.4*D$14)*('Product half-life and C flows'!B123/100)</f>
        <v>9.3756849605185141E-2</v>
      </c>
      <c r="N262" s="85"/>
      <c r="O262" s="143">
        <f t="shared" si="159"/>
        <v>7.7764117579468763</v>
      </c>
      <c r="P262" s="142">
        <f t="shared" si="160"/>
        <v>4.9627394570272001</v>
      </c>
      <c r="Q262" s="142">
        <f>(C$158-C$138)*(0.6*C$15)*('Product half-life and C flows'!L123/100)</f>
        <v>3.1250554615138877</v>
      </c>
      <c r="R262" s="142">
        <f>(C$158-C$138)*0.6*('Product half-life and C flows'!N123/100)</f>
        <v>8.2639258980252048</v>
      </c>
      <c r="S262" s="142">
        <f>(C$158-C$138)*0.6*('Product half-life and C flows'!P123/100)</f>
        <v>4.1278351138987031</v>
      </c>
      <c r="T262" s="142">
        <f t="shared" si="108"/>
        <v>1.7812816130629159</v>
      </c>
      <c r="U262" s="3"/>
      <c r="V262" s="142">
        <f t="shared" si="165"/>
        <v>0.18751369921037031</v>
      </c>
      <c r="W262" s="142">
        <f t="shared" si="166"/>
        <v>0</v>
      </c>
      <c r="X262" s="142">
        <f t="shared" si="167"/>
        <v>7.7764117579468763</v>
      </c>
      <c r="Y262" s="142">
        <f t="shared" si="168"/>
        <v>4.9627394570272001</v>
      </c>
      <c r="Z262" s="142">
        <f t="shared" si="169"/>
        <v>4.25254422201842</v>
      </c>
      <c r="AA262" s="142">
        <f t="shared" si="170"/>
        <v>7.5115150651818494</v>
      </c>
      <c r="AB262" s="142">
        <f t="shared" si="171"/>
        <v>3.7520055270638606</v>
      </c>
      <c r="AC262" s="142">
        <f t="shared" si="172"/>
        <v>2.423950206550499</v>
      </c>
      <c r="AD262" s="115"/>
      <c r="AE262" s="142">
        <f t="shared" ref="AE262:AL262" si="263">V242</f>
        <v>0.37502739842074062</v>
      </c>
      <c r="AF262" s="142">
        <f t="shared" si="263"/>
        <v>0</v>
      </c>
      <c r="AG262" s="142">
        <f t="shared" si="263"/>
        <v>7.7764117579468763</v>
      </c>
      <c r="AH262" s="142">
        <f t="shared" si="263"/>
        <v>4.9627394570272001</v>
      </c>
      <c r="AI262" s="142">
        <f t="shared" si="263"/>
        <v>5.7868196526219924</v>
      </c>
      <c r="AJ262" s="142">
        <f t="shared" si="263"/>
        <v>6.4876419278257336</v>
      </c>
      <c r="AK262" s="142">
        <f t="shared" si="263"/>
        <v>3.2405803835293363</v>
      </c>
      <c r="AL262" s="142">
        <f t="shared" si="263"/>
        <v>3.2984872019945355</v>
      </c>
      <c r="AM262" s="115"/>
      <c r="AN262" s="144">
        <f t="shared" ref="AN262:AU262" si="264">AE242</f>
        <v>0.75005479684148113</v>
      </c>
      <c r="AO262" s="144">
        <f t="shared" si="264"/>
        <v>0</v>
      </c>
      <c r="AP262" s="144">
        <f t="shared" si="264"/>
        <v>7.7764117579468763</v>
      </c>
      <c r="AQ262" s="144">
        <f t="shared" si="264"/>
        <v>4.9627394570272001</v>
      </c>
      <c r="AR262" s="144">
        <f t="shared" si="264"/>
        <v>7.8746463161005691</v>
      </c>
      <c r="AS262" s="144">
        <f t="shared" si="264"/>
        <v>5.0943656010643634</v>
      </c>
      <c r="AT262" s="144">
        <f t="shared" si="264"/>
        <v>2.5446381623698104</v>
      </c>
      <c r="AU262" s="144">
        <f t="shared" si="264"/>
        <v>4.4885484001773239</v>
      </c>
      <c r="AV262" s="115"/>
      <c r="AW262" s="144">
        <f t="shared" ref="AW262:BD262" si="265">AN242</f>
        <v>1.5001095936829623</v>
      </c>
      <c r="AX262" s="144">
        <f t="shared" si="265"/>
        <v>0</v>
      </c>
      <c r="AY262" s="144">
        <f t="shared" si="265"/>
        <v>7.7764117579468763</v>
      </c>
      <c r="AZ262" s="144">
        <f t="shared" si="265"/>
        <v>4.9627394570272001</v>
      </c>
      <c r="BA262" s="144">
        <f t="shared" si="265"/>
        <v>10.715739961859647</v>
      </c>
      <c r="BB262" s="144">
        <f t="shared" si="265"/>
        <v>3.1984091081278025</v>
      </c>
      <c r="BC262" s="144">
        <f t="shared" si="265"/>
        <v>1.5976069471167842</v>
      </c>
      <c r="BD262" s="144">
        <f t="shared" si="265"/>
        <v>6.1079717782599987</v>
      </c>
      <c r="BE262" s="17"/>
      <c r="BF262" s="142">
        <f t="shared" ref="BF262:BM262" si="266">AW242</f>
        <v>3.0002191873659245</v>
      </c>
      <c r="BG262" s="142">
        <f t="shared" si="266"/>
        <v>57.850184489619735</v>
      </c>
      <c r="BH262" s="142">
        <f t="shared" si="266"/>
        <v>7.7764117579468763</v>
      </c>
      <c r="BI262" s="142">
        <f t="shared" si="266"/>
        <v>4.9627394570272001</v>
      </c>
      <c r="BJ262" s="142">
        <f t="shared" si="266"/>
        <v>14.581871784567571</v>
      </c>
      <c r="BK262" s="142">
        <f t="shared" si="266"/>
        <v>0.61841047177404773</v>
      </c>
      <c r="BL262" s="142">
        <f t="shared" si="266"/>
        <v>0.30889633954747636</v>
      </c>
      <c r="BM262" s="142">
        <f t="shared" si="266"/>
        <v>8.3116669172035156</v>
      </c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>
        <f t="shared" si="72"/>
        <v>104</v>
      </c>
      <c r="CI262" s="113">
        <f t="shared" si="73"/>
        <v>155.63335554999506</v>
      </c>
      <c r="CJ262" s="124">
        <f t="shared" si="188"/>
        <v>5.9066815251266647</v>
      </c>
      <c r="CK262" s="124">
        <f t="shared" si="189"/>
        <v>57.850184489619735</v>
      </c>
      <c r="CL262" s="124">
        <f t="shared" si="190"/>
        <v>52.719093704938068</v>
      </c>
      <c r="CM262" s="124">
        <f t="shared" si="191"/>
        <v>30.530647623955165</v>
      </c>
      <c r="CN262" s="124">
        <f t="shared" si="192"/>
        <v>46.593153456489915</v>
      </c>
      <c r="CO262" s="124">
        <f t="shared" si="193"/>
        <v>32.225534762368916</v>
      </c>
      <c r="CP262" s="124">
        <f t="shared" si="194"/>
        <v>16.09667071047398</v>
      </c>
      <c r="CQ262" s="124">
        <f t="shared" si="195"/>
        <v>27.755344250440714</v>
      </c>
      <c r="CR262" s="144">
        <f t="shared" si="111"/>
        <v>269.67731052341315</v>
      </c>
    </row>
    <row r="263" spans="1:96" ht="14">
      <c r="A263">
        <f t="shared" si="233"/>
        <v>105</v>
      </c>
      <c r="B263" s="19">
        <f t="shared" si="233"/>
        <v>185</v>
      </c>
      <c r="C263" s="26">
        <f t="shared" si="105"/>
        <v>155.87270462215298</v>
      </c>
      <c r="D263" s="26"/>
      <c r="E263" s="26"/>
      <c r="F263" s="141">
        <f t="shared" ref="F263:G263" si="267">F262</f>
        <v>6.0606231572568161</v>
      </c>
      <c r="G263" s="141">
        <f t="shared" si="267"/>
        <v>0.7542108817919595</v>
      </c>
      <c r="H263" s="140">
        <f>(H$118)*('Product half-life and C flows'!L164/100)</f>
        <v>0.25255575789783891</v>
      </c>
      <c r="I263" s="140">
        <f>(($C$39*$C$118*0.28)*H$41)*('Product half-life and C flows'!N164/100)</f>
        <v>1.0532288004748684</v>
      </c>
      <c r="J263" s="140">
        <f>(($C$39*$C$118*0.28)*H$41)*(+'Product half-life and C flows'!P164/100)</f>
        <v>0.52608831192550831</v>
      </c>
      <c r="K263" s="141">
        <f t="shared" si="201"/>
        <v>1.3434381331919276</v>
      </c>
      <c r="L263" s="26"/>
      <c r="M263" s="142">
        <f>(C$158-C$138)*(0.4*D$14)*('Product half-life and C flows'!B124/100)</f>
        <v>9.0563147119191389E-2</v>
      </c>
      <c r="N263" s="85"/>
      <c r="O263" s="143">
        <f t="shared" si="159"/>
        <v>7.7764117579468763</v>
      </c>
      <c r="P263" s="142">
        <f t="shared" si="160"/>
        <v>4.9627394570272001</v>
      </c>
      <c r="Q263" s="142">
        <f>(C$158-C$138)*(0.6*C$15)*('Product half-life and C flows'!L124/100)</f>
        <v>3.0772882166910422</v>
      </c>
      <c r="R263" s="142">
        <f>(C$158-C$138)*0.6*('Product half-life and C flows'!N124/100)</f>
        <v>8.2958025727369851</v>
      </c>
      <c r="S263" s="142">
        <f>(C$158-C$138)*0.6*('Product half-life and C flows'!P124/100)</f>
        <v>4.143757528839652</v>
      </c>
      <c r="T263" s="142">
        <f t="shared" si="108"/>
        <v>1.7540542835138939</v>
      </c>
      <c r="U263" s="3"/>
      <c r="V263" s="142">
        <f t="shared" si="165"/>
        <v>0.18112629423838278</v>
      </c>
      <c r="W263" s="142">
        <f t="shared" si="166"/>
        <v>0</v>
      </c>
      <c r="X263" s="142">
        <f t="shared" si="167"/>
        <v>7.7764117579468763</v>
      </c>
      <c r="Y263" s="142">
        <f t="shared" si="168"/>
        <v>4.9627394570272001</v>
      </c>
      <c r="Z263" s="142">
        <f t="shared" si="169"/>
        <v>4.1875430329276115</v>
      </c>
      <c r="AA263" s="142">
        <f t="shared" si="170"/>
        <v>7.5548925253684489</v>
      </c>
      <c r="AB263" s="142">
        <f t="shared" si="171"/>
        <v>3.7736725900941295</v>
      </c>
      <c r="AC263" s="142">
        <f t="shared" si="172"/>
        <v>2.3868995287687382</v>
      </c>
      <c r="AD263" s="115"/>
      <c r="AE263" s="142">
        <f t="shared" ref="AE263:AL263" si="268">V243</f>
        <v>0.36225258847676561</v>
      </c>
      <c r="AF263" s="142">
        <f t="shared" si="268"/>
        <v>0</v>
      </c>
      <c r="AG263" s="142">
        <f t="shared" si="268"/>
        <v>7.7764117579468763</v>
      </c>
      <c r="AH263" s="142">
        <f t="shared" si="268"/>
        <v>4.9627394570272001</v>
      </c>
      <c r="AI263" s="142">
        <f t="shared" si="268"/>
        <v>5.6983666845077758</v>
      </c>
      <c r="AJ263" s="142">
        <f t="shared" si="268"/>
        <v>6.54666954188062</v>
      </c>
      <c r="AK263" s="142">
        <f t="shared" si="268"/>
        <v>3.2700647062340749</v>
      </c>
      <c r="AL263" s="142">
        <f t="shared" si="268"/>
        <v>3.2480690101694321</v>
      </c>
      <c r="AM263" s="115"/>
      <c r="AN263" s="144">
        <f t="shared" ref="AN263:AU263" si="269">AE243</f>
        <v>0.72450517695353112</v>
      </c>
      <c r="AO263" s="144">
        <f t="shared" si="269"/>
        <v>0</v>
      </c>
      <c r="AP263" s="144">
        <f t="shared" si="269"/>
        <v>7.7764117579468763</v>
      </c>
      <c r="AQ263" s="144">
        <f t="shared" si="269"/>
        <v>4.9627394570272001</v>
      </c>
      <c r="AR263" s="144">
        <f t="shared" si="269"/>
        <v>7.7542804016050004</v>
      </c>
      <c r="AS263" s="144">
        <f t="shared" si="269"/>
        <v>5.1746897880044065</v>
      </c>
      <c r="AT263" s="144">
        <f t="shared" si="269"/>
        <v>2.5847601338683335</v>
      </c>
      <c r="AU263" s="144">
        <f t="shared" si="269"/>
        <v>4.4199398289148499</v>
      </c>
      <c r="AV263" s="115"/>
      <c r="AW263" s="144">
        <f t="shared" ref="AW263:BD263" si="270">AN243</f>
        <v>1.4490103539070622</v>
      </c>
      <c r="AX263" s="144">
        <f t="shared" si="270"/>
        <v>0</v>
      </c>
      <c r="AY263" s="144">
        <f t="shared" si="270"/>
        <v>7.7764117579468763</v>
      </c>
      <c r="AZ263" s="144">
        <f t="shared" si="270"/>
        <v>4.9627394570272001</v>
      </c>
      <c r="BA263" s="144">
        <f t="shared" si="270"/>
        <v>10.551947229052235</v>
      </c>
      <c r="BB263" s="144">
        <f t="shared" si="270"/>
        <v>3.3077134584879491</v>
      </c>
      <c r="BC263" s="144">
        <f t="shared" si="270"/>
        <v>1.6522045247192549</v>
      </c>
      <c r="BD263" s="144">
        <f t="shared" si="270"/>
        <v>6.0146099205597734</v>
      </c>
      <c r="BE263" s="17"/>
      <c r="BF263" s="142">
        <f t="shared" ref="BF263:BM263" si="271">AW243</f>
        <v>2.8980207078141245</v>
      </c>
      <c r="BG263" s="142">
        <f t="shared" si="271"/>
        <v>59.573357912198624</v>
      </c>
      <c r="BH263" s="142">
        <f t="shared" si="271"/>
        <v>7.7764117579468763</v>
      </c>
      <c r="BI263" s="142">
        <f t="shared" si="271"/>
        <v>4.9627394570272001</v>
      </c>
      <c r="BJ263" s="142">
        <f t="shared" si="271"/>
        <v>14.35898427166201</v>
      </c>
      <c r="BK263" s="142">
        <f t="shared" si="271"/>
        <v>0.76715073871969297</v>
      </c>
      <c r="BL263" s="142">
        <f t="shared" si="271"/>
        <v>0.38319217718266385</v>
      </c>
      <c r="BM263" s="142">
        <f t="shared" si="271"/>
        <v>8.1846210348473445</v>
      </c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>
        <f t="shared" si="72"/>
        <v>105</v>
      </c>
      <c r="CI263" s="113">
        <f t="shared" si="73"/>
        <v>155.87270462215298</v>
      </c>
      <c r="CJ263" s="124">
        <f t="shared" si="188"/>
        <v>5.7054782685090579</v>
      </c>
      <c r="CK263" s="124">
        <f t="shared" si="189"/>
        <v>59.573357912198624</v>
      </c>
      <c r="CL263" s="124">
        <f t="shared" si="190"/>
        <v>52.719093704938068</v>
      </c>
      <c r="CM263" s="124">
        <f t="shared" si="191"/>
        <v>30.530647623955165</v>
      </c>
      <c r="CN263" s="124">
        <f t="shared" si="192"/>
        <v>45.880965594343515</v>
      </c>
      <c r="CO263" s="124">
        <f t="shared" si="193"/>
        <v>32.700147425672974</v>
      </c>
      <c r="CP263" s="124">
        <f t="shared" si="194"/>
        <v>16.333739972863619</v>
      </c>
      <c r="CQ263" s="124">
        <f t="shared" si="195"/>
        <v>27.35163173996596</v>
      </c>
      <c r="CR263" s="144">
        <f t="shared" si="111"/>
        <v>270.79506224244699</v>
      </c>
    </row>
    <row r="264" spans="1:96" ht="14">
      <c r="A264">
        <f t="shared" si="233"/>
        <v>106</v>
      </c>
      <c r="B264" s="19">
        <f t="shared" si="233"/>
        <v>186</v>
      </c>
      <c r="C264" s="26">
        <f t="shared" si="105"/>
        <v>156.10755229882932</v>
      </c>
      <c r="D264" s="26"/>
      <c r="E264" s="26"/>
      <c r="F264" s="141">
        <f t="shared" ref="F264:G264" si="272">F263</f>
        <v>6.0606231572568161</v>
      </c>
      <c r="G264" s="141">
        <f t="shared" si="272"/>
        <v>0.7542108817919595</v>
      </c>
      <c r="H264" s="140">
        <f>(H$118)*('Product half-life and C flows'!L165/100)</f>
        <v>0.24869538074053849</v>
      </c>
      <c r="I264" s="140">
        <f>(($C$39*$C$118*0.28)*H$41)*('Product half-life and C flows'!N165/100)</f>
        <v>1.0551609192420972</v>
      </c>
      <c r="J264" s="140">
        <f>(($C$39*$C$118*0.28)*H$41)*(+'Product half-life and C flows'!P165/100)</f>
        <v>0.52705340621483332</v>
      </c>
      <c r="K264" s="141">
        <f t="shared" si="201"/>
        <v>1.3434381331919276</v>
      </c>
      <c r="L264" s="26"/>
      <c r="M264" s="142">
        <f>(C$158-C$138)*(0.4*D$14)*('Product half-life and C flows'!B125/100)</f>
        <v>8.747823386419247E-2</v>
      </c>
      <c r="N264" s="85"/>
      <c r="O264" s="143">
        <f t="shared" si="159"/>
        <v>7.7764117579468763</v>
      </c>
      <c r="P264" s="142">
        <f t="shared" si="160"/>
        <v>4.9627394570272001</v>
      </c>
      <c r="Q264" s="142">
        <f>(C$158-C$138)*(0.6*C$15)*('Product half-life and C flows'!L125/100)</f>
        <v>3.0302511060069559</v>
      </c>
      <c r="R264" s="142">
        <f>(C$158-C$138)*0.6*('Product half-life and C flows'!N125/100)</f>
        <v>8.3271920046001657</v>
      </c>
      <c r="S264" s="142">
        <f>(C$158-C$138)*0.6*('Product half-life and C flows'!P125/100)</f>
        <v>4.1594365657343468</v>
      </c>
      <c r="T264" s="142">
        <f t="shared" si="108"/>
        <v>1.7272431304239648</v>
      </c>
      <c r="U264" s="3"/>
      <c r="V264" s="142">
        <f t="shared" si="165"/>
        <v>0.17495646772838486</v>
      </c>
      <c r="W264" s="142">
        <f t="shared" si="166"/>
        <v>0</v>
      </c>
      <c r="X264" s="142">
        <f t="shared" si="167"/>
        <v>7.7764117579468763</v>
      </c>
      <c r="Y264" s="142">
        <f t="shared" si="168"/>
        <v>4.9627394570272001</v>
      </c>
      <c r="Z264" s="142">
        <f t="shared" si="169"/>
        <v>4.1235354030716129</v>
      </c>
      <c r="AA264" s="142">
        <f t="shared" si="170"/>
        <v>7.5976069503590189</v>
      </c>
      <c r="AB264" s="142">
        <f t="shared" si="171"/>
        <v>3.7950084667127957</v>
      </c>
      <c r="AC264" s="142">
        <f t="shared" si="172"/>
        <v>2.350415179750819</v>
      </c>
      <c r="AD264" s="115"/>
      <c r="AE264" s="142">
        <f t="shared" ref="AE264:AL264" si="273">V244</f>
        <v>0.34991293545676982</v>
      </c>
      <c r="AF264" s="142">
        <f t="shared" si="273"/>
        <v>0</v>
      </c>
      <c r="AG264" s="142">
        <f t="shared" si="273"/>
        <v>7.7764117579468763</v>
      </c>
      <c r="AH264" s="142">
        <f t="shared" si="273"/>
        <v>4.9627394570272001</v>
      </c>
      <c r="AI264" s="142">
        <f t="shared" si="273"/>
        <v>5.6112657418648686</v>
      </c>
      <c r="AJ264" s="142">
        <f t="shared" si="273"/>
        <v>6.604794904270987</v>
      </c>
      <c r="AK264" s="142">
        <f t="shared" si="273"/>
        <v>3.2990983537817109</v>
      </c>
      <c r="AL264" s="142">
        <f t="shared" si="273"/>
        <v>3.1984214728629747</v>
      </c>
      <c r="AM264" s="115"/>
      <c r="AN264" s="144">
        <f t="shared" ref="AN264:AU264" si="274">AE244</f>
        <v>0.69982587091353965</v>
      </c>
      <c r="AO264" s="144">
        <f t="shared" si="274"/>
        <v>0</v>
      </c>
      <c r="AP264" s="144">
        <f t="shared" si="274"/>
        <v>7.7764117579468763</v>
      </c>
      <c r="AQ264" s="144">
        <f t="shared" si="274"/>
        <v>4.9627394570272001</v>
      </c>
      <c r="AR264" s="144">
        <f t="shared" si="274"/>
        <v>7.6357543098507712</v>
      </c>
      <c r="AS264" s="144">
        <f t="shared" si="274"/>
        <v>5.2537861999017288</v>
      </c>
      <c r="AT264" s="144">
        <f t="shared" si="274"/>
        <v>2.6242688311197431</v>
      </c>
      <c r="AU264" s="144">
        <f t="shared" si="274"/>
        <v>4.3523799566149393</v>
      </c>
      <c r="AV264" s="115"/>
      <c r="AW264" s="144">
        <f t="shared" ref="AW264:BD264" si="275">AN244</f>
        <v>1.3996517418270789</v>
      </c>
      <c r="AX264" s="144">
        <f t="shared" si="275"/>
        <v>0</v>
      </c>
      <c r="AY264" s="144">
        <f t="shared" si="275"/>
        <v>7.7764117579468763</v>
      </c>
      <c r="AZ264" s="144">
        <f t="shared" si="275"/>
        <v>4.9627394570272001</v>
      </c>
      <c r="BA264" s="144">
        <f t="shared" si="275"/>
        <v>10.390658108633332</v>
      </c>
      <c r="BB264" s="144">
        <f t="shared" si="275"/>
        <v>3.4153470648474982</v>
      </c>
      <c r="BC264" s="144">
        <f t="shared" si="275"/>
        <v>1.7059675648588901</v>
      </c>
      <c r="BD264" s="144">
        <f t="shared" si="275"/>
        <v>5.9226751219209985</v>
      </c>
      <c r="BE264" s="17"/>
      <c r="BF264" s="142">
        <f t="shared" ref="BF264:BM264" si="276">AW244</f>
        <v>2.7993034836541577</v>
      </c>
      <c r="BG264" s="142">
        <f t="shared" si="276"/>
        <v>61.296531334777512</v>
      </c>
      <c r="BH264" s="142">
        <f t="shared" si="276"/>
        <v>7.7764117579468763</v>
      </c>
      <c r="BI264" s="142">
        <f t="shared" si="276"/>
        <v>4.9627394570272001</v>
      </c>
      <c r="BJ264" s="142">
        <f t="shared" si="276"/>
        <v>14.139503649459039</v>
      </c>
      <c r="BK264" s="142">
        <f t="shared" si="276"/>
        <v>0.91361747393647497</v>
      </c>
      <c r="BL264" s="142">
        <f t="shared" si="276"/>
        <v>0.4563523845836539</v>
      </c>
      <c r="BM264" s="142">
        <f t="shared" si="276"/>
        <v>8.059517080191652</v>
      </c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>
        <f t="shared" si="72"/>
        <v>106</v>
      </c>
      <c r="CI264" s="113">
        <f t="shared" si="73"/>
        <v>156.10755229882932</v>
      </c>
      <c r="CJ264" s="124">
        <f t="shared" si="188"/>
        <v>5.5111287334441235</v>
      </c>
      <c r="CK264" s="124">
        <f t="shared" si="189"/>
        <v>61.296531334777512</v>
      </c>
      <c r="CL264" s="124">
        <f t="shared" si="190"/>
        <v>52.719093704938068</v>
      </c>
      <c r="CM264" s="124">
        <f t="shared" si="191"/>
        <v>30.530647623955165</v>
      </c>
      <c r="CN264" s="124">
        <f t="shared" si="192"/>
        <v>45.17966369962712</v>
      </c>
      <c r="CO264" s="124">
        <f t="shared" si="193"/>
        <v>33.16750551715797</v>
      </c>
      <c r="CP264" s="124">
        <f t="shared" si="194"/>
        <v>16.567185573005972</v>
      </c>
      <c r="CQ264" s="124">
        <f t="shared" si="195"/>
        <v>26.954090074957278</v>
      </c>
      <c r="CR264" s="144">
        <f t="shared" si="111"/>
        <v>271.92584626186317</v>
      </c>
    </row>
    <row r="265" spans="1:96" ht="14">
      <c r="A265">
        <f t="shared" si="233"/>
        <v>107</v>
      </c>
      <c r="B265" s="19">
        <f t="shared" si="233"/>
        <v>187</v>
      </c>
      <c r="C265" s="26">
        <f t="shared" si="105"/>
        <v>156.33797849500814</v>
      </c>
      <c r="D265" s="26"/>
      <c r="E265" s="26"/>
      <c r="F265" s="141">
        <f t="shared" ref="F265:G265" si="277">F264</f>
        <v>6.0606231572568161</v>
      </c>
      <c r="G265" s="141">
        <f t="shared" si="277"/>
        <v>0.7542108817919595</v>
      </c>
      <c r="H265" s="140">
        <f>(H$118)*('Product half-life and C flows'!L166/100)</f>
        <v>0.24489401040185363</v>
      </c>
      <c r="I265" s="140">
        <f>(($C$39*$C$118*0.28)*H$41)*('Product half-life and C flows'!N166/100)</f>
        <v>1.0570635050966091</v>
      </c>
      <c r="J265" s="140">
        <f>(($C$39*$C$118*0.28)*H$41)*(+'Product half-life and C flows'!P166/100)</f>
        <v>0.52800374879950462</v>
      </c>
      <c r="K265" s="141">
        <f t="shared" si="201"/>
        <v>1.3434381331919276</v>
      </c>
      <c r="L265" s="26"/>
      <c r="M265" s="142">
        <f>(C$158-C$138)*(0.4*D$14)*('Product half-life and C flows'!B126/100)</f>
        <v>8.4498404079607195E-2</v>
      </c>
      <c r="N265" s="85"/>
      <c r="O265" s="143">
        <f t="shared" si="159"/>
        <v>7.7764117579468763</v>
      </c>
      <c r="P265" s="142">
        <f t="shared" si="160"/>
        <v>4.9627394570272001</v>
      </c>
      <c r="Q265" s="142">
        <f>(C$158-C$138)*(0.6*C$15)*('Product half-life and C flows'!L126/100)</f>
        <v>2.9839329691809273</v>
      </c>
      <c r="R265" s="142">
        <f>(C$158-C$138)*0.6*('Product half-life and C flows'!N126/100)</f>
        <v>8.358101641242067</v>
      </c>
      <c r="S265" s="142">
        <f>(C$158-C$138)*0.6*('Product half-life and C flows'!P126/100)</f>
        <v>4.1748759446763559</v>
      </c>
      <c r="T265" s="142">
        <f t="shared" si="108"/>
        <v>1.7008417924331285</v>
      </c>
      <c r="U265" s="3"/>
      <c r="V265" s="142">
        <f t="shared" si="165"/>
        <v>0.16899680815921439</v>
      </c>
      <c r="W265" s="142">
        <f t="shared" si="166"/>
        <v>0</v>
      </c>
      <c r="X265" s="142">
        <f t="shared" si="167"/>
        <v>7.7764117579468763</v>
      </c>
      <c r="Y265" s="142">
        <f t="shared" si="168"/>
        <v>4.9627394570272001</v>
      </c>
      <c r="Z265" s="142">
        <f t="shared" si="169"/>
        <v>4.0605061456520435</v>
      </c>
      <c r="AA265" s="142">
        <f t="shared" si="170"/>
        <v>7.6396684748103443</v>
      </c>
      <c r="AB265" s="142">
        <f t="shared" si="171"/>
        <v>3.816018219185985</v>
      </c>
      <c r="AC265" s="142">
        <f t="shared" si="172"/>
        <v>2.3144885030216646</v>
      </c>
      <c r="AD265" s="115"/>
      <c r="AE265" s="142">
        <f t="shared" ref="AE265:AL265" si="278">V245</f>
        <v>0.33799361631842861</v>
      </c>
      <c r="AF265" s="142">
        <f t="shared" si="278"/>
        <v>0</v>
      </c>
      <c r="AG265" s="142">
        <f t="shared" si="278"/>
        <v>7.7764117579468763</v>
      </c>
      <c r="AH265" s="142">
        <f t="shared" si="278"/>
        <v>4.9627394570272001</v>
      </c>
      <c r="AI265" s="142">
        <f t="shared" si="278"/>
        <v>5.5254961586499034</v>
      </c>
      <c r="AJ265" s="142">
        <f t="shared" si="278"/>
        <v>6.662031806136441</v>
      </c>
      <c r="AK265" s="142">
        <f t="shared" si="278"/>
        <v>3.327688214853366</v>
      </c>
      <c r="AL265" s="142">
        <f t="shared" si="278"/>
        <v>3.1495328104304448</v>
      </c>
      <c r="AM265" s="115"/>
      <c r="AN265" s="144">
        <f t="shared" ref="AN265:AU265" si="279">AE245</f>
        <v>0.67598723263685712</v>
      </c>
      <c r="AO265" s="144">
        <f t="shared" si="279"/>
        <v>0</v>
      </c>
      <c r="AP265" s="144">
        <f t="shared" si="279"/>
        <v>7.7764117579468763</v>
      </c>
      <c r="AQ265" s="144">
        <f t="shared" si="279"/>
        <v>4.9627394570272001</v>
      </c>
      <c r="AR265" s="144">
        <f t="shared" si="279"/>
        <v>7.5190399186927204</v>
      </c>
      <c r="AS265" s="144">
        <f t="shared" si="279"/>
        <v>5.3316736036012013</v>
      </c>
      <c r="AT265" s="144">
        <f t="shared" si="279"/>
        <v>2.6631736281724274</v>
      </c>
      <c r="AU265" s="144">
        <f t="shared" si="279"/>
        <v>4.2858527536548499</v>
      </c>
      <c r="AV265" s="115"/>
      <c r="AW265" s="144">
        <f t="shared" ref="AW265:BD265" si="280">AN245</f>
        <v>1.3519744652737142</v>
      </c>
      <c r="AX265" s="144">
        <f t="shared" si="280"/>
        <v>0</v>
      </c>
      <c r="AY265" s="144">
        <f t="shared" si="280"/>
        <v>7.7764117579468763</v>
      </c>
      <c r="AZ265" s="144">
        <f t="shared" si="280"/>
        <v>4.9627394570272001</v>
      </c>
      <c r="BA265" s="144">
        <f t="shared" si="280"/>
        <v>10.231834332269013</v>
      </c>
      <c r="BB265" s="144">
        <f t="shared" si="280"/>
        <v>3.5213354649412865</v>
      </c>
      <c r="BC265" s="144">
        <f t="shared" si="280"/>
        <v>1.7589088236469963</v>
      </c>
      <c r="BD265" s="144">
        <f t="shared" si="280"/>
        <v>5.8321455693933375</v>
      </c>
      <c r="BE265" s="17"/>
      <c r="BF265" s="142">
        <f t="shared" ref="BF265:BM265" si="281">AW245</f>
        <v>2.7039489305474285</v>
      </c>
      <c r="BG265" s="142">
        <f t="shared" si="281"/>
        <v>63.019704757356401</v>
      </c>
      <c r="BH265" s="142">
        <f t="shared" si="281"/>
        <v>7.7764117579468763</v>
      </c>
      <c r="BI265" s="142">
        <f t="shared" si="281"/>
        <v>4.9627394570272001</v>
      </c>
      <c r="BJ265" s="142">
        <f t="shared" si="281"/>
        <v>13.923377842792547</v>
      </c>
      <c r="BK265" s="142">
        <f t="shared" si="281"/>
        <v>1.0578454289185806</v>
      </c>
      <c r="BL265" s="142">
        <f t="shared" si="281"/>
        <v>0.52839432013915122</v>
      </c>
      <c r="BM265" s="142">
        <f t="shared" si="281"/>
        <v>7.9363253703917511</v>
      </c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>
        <f t="shared" si="72"/>
        <v>107</v>
      </c>
      <c r="CI265" s="113">
        <f t="shared" si="73"/>
        <v>156.33797849500814</v>
      </c>
      <c r="CJ265" s="124">
        <f t="shared" si="188"/>
        <v>5.3233994570152507</v>
      </c>
      <c r="CK265" s="124">
        <f t="shared" si="189"/>
        <v>63.019704757356401</v>
      </c>
      <c r="CL265" s="124">
        <f t="shared" si="190"/>
        <v>52.719093704938068</v>
      </c>
      <c r="CM265" s="124">
        <f t="shared" si="191"/>
        <v>30.530647623955165</v>
      </c>
      <c r="CN265" s="124">
        <f t="shared" si="192"/>
        <v>44.48908137763901</v>
      </c>
      <c r="CO265" s="124">
        <f t="shared" si="193"/>
        <v>33.627719924746536</v>
      </c>
      <c r="CP265" s="124">
        <f t="shared" si="194"/>
        <v>16.797062899473787</v>
      </c>
      <c r="CQ265" s="124">
        <f t="shared" si="195"/>
        <v>26.562624932517103</v>
      </c>
      <c r="CR265" s="144">
        <f t="shared" si="111"/>
        <v>273.06933467764128</v>
      </c>
    </row>
    <row r="266" spans="1:96" ht="14">
      <c r="A266">
        <f t="shared" si="233"/>
        <v>108</v>
      </c>
      <c r="B266" s="19">
        <f t="shared" si="233"/>
        <v>188</v>
      </c>
      <c r="C266" s="26">
        <f t="shared" si="105"/>
        <v>156.56406189803187</v>
      </c>
      <c r="D266" s="26"/>
      <c r="E266" s="26"/>
      <c r="F266" s="141">
        <f t="shared" ref="F266:G266" si="282">F265</f>
        <v>6.0606231572568161</v>
      </c>
      <c r="G266" s="141">
        <f t="shared" si="282"/>
        <v>0.7542108817919595</v>
      </c>
      <c r="H266" s="140">
        <f>(H$118)*('Product half-life and C flows'!L167/100)</f>
        <v>0.24115074494798339</v>
      </c>
      <c r="I266" s="140">
        <f>(($C$39*$C$118*0.28)*H$41)*('Product half-life and C flows'!N167/100)</f>
        <v>1.0589370094562709</v>
      </c>
      <c r="J266" s="140">
        <f>(($C$39*$C$118*0.28)*H$41)*(+'Product half-life and C flows'!P167/100)</f>
        <v>0.52893956516297214</v>
      </c>
      <c r="K266" s="141">
        <f t="shared" si="201"/>
        <v>1.3434381331919276</v>
      </c>
      <c r="L266" s="26"/>
      <c r="M266" s="142">
        <f>(C$158-C$138)*(0.4*D$14)*('Product half-life and C flows'!B127/100)</f>
        <v>8.1620078236663909E-2</v>
      </c>
      <c r="N266" s="85"/>
      <c r="O266" s="143">
        <f t="shared" si="159"/>
        <v>7.7764117579468763</v>
      </c>
      <c r="P266" s="142">
        <f t="shared" si="160"/>
        <v>4.9627394570272001</v>
      </c>
      <c r="Q266" s="142">
        <f>(C$158-C$138)*(0.6*C$15)*('Product half-life and C flows'!L127/100)</f>
        <v>2.9383228165199005</v>
      </c>
      <c r="R266" s="142">
        <f>(C$158-C$138)*0.6*('Product half-life and C flows'!N127/100)</f>
        <v>8.3885388164511934</v>
      </c>
      <c r="S266" s="142">
        <f>(C$158-C$138)*0.6*('Product half-life and C flows'!P127/100)</f>
        <v>4.1900793288966982</v>
      </c>
      <c r="T266" s="142">
        <f t="shared" si="108"/>
        <v>1.6748440054163432</v>
      </c>
      <c r="U266" s="3"/>
      <c r="V266" s="142">
        <f t="shared" si="165"/>
        <v>0.16324015647332785</v>
      </c>
      <c r="W266" s="142">
        <f t="shared" si="166"/>
        <v>0</v>
      </c>
      <c r="X266" s="142">
        <f t="shared" si="167"/>
        <v>7.7764117579468763</v>
      </c>
      <c r="Y266" s="142">
        <f t="shared" si="168"/>
        <v>4.9627394570272001</v>
      </c>
      <c r="Z266" s="142">
        <f t="shared" si="169"/>
        <v>3.998440306004492</v>
      </c>
      <c r="AA266" s="142">
        <f t="shared" si="170"/>
        <v>7.6810870784684777</v>
      </c>
      <c r="AB266" s="142">
        <f t="shared" si="171"/>
        <v>3.8367068324018359</v>
      </c>
      <c r="AC266" s="142">
        <f t="shared" si="172"/>
        <v>2.2791109744225602</v>
      </c>
      <c r="AD266" s="115"/>
      <c r="AE266" s="142">
        <f t="shared" ref="AE266:AL266" si="283">V246</f>
        <v>0.32648031294665569</v>
      </c>
      <c r="AF266" s="142">
        <f t="shared" si="283"/>
        <v>0</v>
      </c>
      <c r="AG266" s="142">
        <f t="shared" si="283"/>
        <v>7.7764117579468763</v>
      </c>
      <c r="AH266" s="142">
        <f t="shared" si="283"/>
        <v>4.9627394570272001</v>
      </c>
      <c r="AI266" s="142">
        <f t="shared" si="283"/>
        <v>5.4410375847050894</v>
      </c>
      <c r="AJ266" s="142">
        <f t="shared" si="283"/>
        <v>6.7183938278156141</v>
      </c>
      <c r="AK266" s="142">
        <f t="shared" si="283"/>
        <v>3.3558410728349708</v>
      </c>
      <c r="AL266" s="142">
        <f t="shared" si="283"/>
        <v>3.1013914232819007</v>
      </c>
      <c r="AM266" s="115"/>
      <c r="AN266" s="144">
        <f t="shared" ref="AN266:AU266" si="284">AE246</f>
        <v>0.65296062589331128</v>
      </c>
      <c r="AO266" s="144">
        <f t="shared" si="284"/>
        <v>0</v>
      </c>
      <c r="AP266" s="144">
        <f t="shared" si="284"/>
        <v>7.7764117579468763</v>
      </c>
      <c r="AQ266" s="144">
        <f t="shared" si="284"/>
        <v>4.9627394570272001</v>
      </c>
      <c r="AR266" s="144">
        <f t="shared" si="284"/>
        <v>7.4041095358396269</v>
      </c>
      <c r="AS266" s="144">
        <f t="shared" si="284"/>
        <v>5.4083704790918317</v>
      </c>
      <c r="AT266" s="144">
        <f t="shared" si="284"/>
        <v>2.7014837557901243</v>
      </c>
      <c r="AU266" s="144">
        <f t="shared" si="284"/>
        <v>4.220342435428587</v>
      </c>
      <c r="AV266" s="115"/>
      <c r="AW266" s="144">
        <f t="shared" ref="AW266:BD266" si="285">AN246</f>
        <v>1.3059212517866228</v>
      </c>
      <c r="AX266" s="144">
        <f t="shared" si="285"/>
        <v>0</v>
      </c>
      <c r="AY266" s="144">
        <f t="shared" si="285"/>
        <v>7.7764117579468763</v>
      </c>
      <c r="AZ266" s="144">
        <f t="shared" si="285"/>
        <v>4.9627394570272001</v>
      </c>
      <c r="BA266" s="144">
        <f t="shared" si="285"/>
        <v>10.075438216566313</v>
      </c>
      <c r="BB266" s="144">
        <f t="shared" si="285"/>
        <v>3.6257038061535538</v>
      </c>
      <c r="BC266" s="144">
        <f t="shared" si="285"/>
        <v>1.8110408622145622</v>
      </c>
      <c r="BD266" s="144">
        <f t="shared" si="285"/>
        <v>5.7429997834427979</v>
      </c>
      <c r="BE266" s="17"/>
      <c r="BF266" s="142">
        <f t="shared" ref="BF266:BM266" si="286">AW246</f>
        <v>2.6118425035732455</v>
      </c>
      <c r="BG266" s="142">
        <f t="shared" si="286"/>
        <v>64.742878179935289</v>
      </c>
      <c r="BH266" s="142">
        <f t="shared" si="286"/>
        <v>7.7764117579468763</v>
      </c>
      <c r="BI266" s="142">
        <f t="shared" si="286"/>
        <v>4.9627394570272001</v>
      </c>
      <c r="BJ266" s="142">
        <f t="shared" si="286"/>
        <v>13.710555572478198</v>
      </c>
      <c r="BK266" s="142">
        <f t="shared" si="286"/>
        <v>1.1998688239750228</v>
      </c>
      <c r="BL266" s="142">
        <f t="shared" si="286"/>
        <v>0.59933507691060084</v>
      </c>
      <c r="BM266" s="142">
        <f t="shared" si="286"/>
        <v>7.8150166763125721</v>
      </c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>
        <f t="shared" si="72"/>
        <v>108</v>
      </c>
      <c r="CI266" s="113">
        <f t="shared" si="73"/>
        <v>156.56406189803187</v>
      </c>
      <c r="CJ266" s="124">
        <f t="shared" si="188"/>
        <v>5.1420649289098268</v>
      </c>
      <c r="CK266" s="124">
        <f t="shared" si="189"/>
        <v>64.742878179935289</v>
      </c>
      <c r="CL266" s="124">
        <f t="shared" si="190"/>
        <v>52.719093704938068</v>
      </c>
      <c r="CM266" s="124">
        <f t="shared" si="191"/>
        <v>30.530647623955165</v>
      </c>
      <c r="CN266" s="124">
        <f t="shared" si="192"/>
        <v>43.809054777061604</v>
      </c>
      <c r="CO266" s="124">
        <f t="shared" si="193"/>
        <v>34.080899841411963</v>
      </c>
      <c r="CP266" s="124">
        <f t="shared" si="194"/>
        <v>17.023426494211765</v>
      </c>
      <c r="CQ266" s="124">
        <f t="shared" si="195"/>
        <v>26.177143431496688</v>
      </c>
      <c r="CR266" s="144">
        <f t="shared" si="111"/>
        <v>274.22520898192039</v>
      </c>
    </row>
    <row r="267" spans="1:96" ht="14">
      <c r="A267">
        <f t="shared" si="233"/>
        <v>109</v>
      </c>
      <c r="B267" s="19">
        <f t="shared" si="233"/>
        <v>189</v>
      </c>
      <c r="C267" s="26">
        <f t="shared" si="105"/>
        <v>156.78587997838801</v>
      </c>
      <c r="D267" s="26"/>
      <c r="E267" s="26"/>
      <c r="F267" s="141">
        <f t="shared" ref="F267:G267" si="287">F266</f>
        <v>6.0606231572568161</v>
      </c>
      <c r="G267" s="141">
        <f t="shared" si="287"/>
        <v>0.7542108817919595</v>
      </c>
      <c r="H267" s="140">
        <f>(H$118)*('Product half-life and C flows'!L168/100)</f>
        <v>0.23746469623140753</v>
      </c>
      <c r="I267" s="140">
        <f>(($C$39*$C$118*0.28)*H$41)*('Product half-life and C flows'!N168/100)</f>
        <v>1.0607818768389172</v>
      </c>
      <c r="J267" s="140">
        <f>(($C$39*$C$118*0.28)*H$41)*(+'Product half-life and C flows'!P168/100)</f>
        <v>0.52986107734211607</v>
      </c>
      <c r="K267" s="141">
        <f t="shared" si="201"/>
        <v>1.3434381331919276</v>
      </c>
      <c r="L267" s="26"/>
      <c r="M267" s="142">
        <f>(C$158-C$138)*(0.4*D$14)*('Product half-life and C flows'!B128/100)</f>
        <v>7.883979873848182E-2</v>
      </c>
      <c r="N267" s="85"/>
      <c r="O267" s="143">
        <f t="shared" si="159"/>
        <v>7.7764117579468763</v>
      </c>
      <c r="P267" s="142">
        <f t="shared" si="160"/>
        <v>4.9627394570272001</v>
      </c>
      <c r="Q267" s="142">
        <f>(C$158-C$138)*(0.6*C$15)*('Product half-life and C flows'!L128/100)</f>
        <v>2.8934098263109966</v>
      </c>
      <c r="R267" s="142">
        <f>(C$158-C$138)*0.6*('Product half-life and C flows'!N128/100)</f>
        <v>8.4185107519172675</v>
      </c>
      <c r="S267" s="142">
        <f>(C$158-C$138)*0.6*('Product half-life and C flows'!P128/100)</f>
        <v>4.2050503256329996</v>
      </c>
      <c r="T267" s="142">
        <f t="shared" si="108"/>
        <v>1.649243600997268</v>
      </c>
      <c r="U267" s="3"/>
      <c r="V267" s="142">
        <f t="shared" si="165"/>
        <v>0.15767959747696364</v>
      </c>
      <c r="W267" s="142">
        <f t="shared" si="166"/>
        <v>0</v>
      </c>
      <c r="X267" s="142">
        <f t="shared" si="167"/>
        <v>7.7764117579468763</v>
      </c>
      <c r="Y267" s="142">
        <f t="shared" si="168"/>
        <v>4.9627394570272001</v>
      </c>
      <c r="Z267" s="142">
        <f t="shared" si="169"/>
        <v>3.9373231580502845</v>
      </c>
      <c r="AA267" s="142">
        <f t="shared" si="170"/>
        <v>7.7218725885365851</v>
      </c>
      <c r="AB267" s="142">
        <f t="shared" si="171"/>
        <v>3.857079215053238</v>
      </c>
      <c r="AC267" s="142">
        <f t="shared" si="172"/>
        <v>2.244274200088662</v>
      </c>
      <c r="AD267" s="115"/>
      <c r="AE267" s="142">
        <f t="shared" ref="AE267:AL267" si="288">V247</f>
        <v>0.31535919495392739</v>
      </c>
      <c r="AF267" s="142">
        <f t="shared" si="288"/>
        <v>0</v>
      </c>
      <c r="AG267" s="142">
        <f t="shared" si="288"/>
        <v>7.7764117579468763</v>
      </c>
      <c r="AH267" s="142">
        <f t="shared" si="288"/>
        <v>4.9627394570272001</v>
      </c>
      <c r="AI267" s="142">
        <f t="shared" si="288"/>
        <v>5.3578699809298236</v>
      </c>
      <c r="AJ267" s="142">
        <f t="shared" si="288"/>
        <v>6.7738943420683073</v>
      </c>
      <c r="AK267" s="142">
        <f t="shared" si="288"/>
        <v>3.3835636074267259</v>
      </c>
      <c r="AL267" s="142">
        <f t="shared" si="288"/>
        <v>3.0539858891299994</v>
      </c>
      <c r="AM267" s="115"/>
      <c r="AN267" s="144">
        <f t="shared" ref="AN267:AU267" si="289">AE247</f>
        <v>0.63071838990785456</v>
      </c>
      <c r="AO267" s="144">
        <f t="shared" si="289"/>
        <v>0</v>
      </c>
      <c r="AP267" s="144">
        <f t="shared" si="289"/>
        <v>7.7764117579468763</v>
      </c>
      <c r="AQ267" s="144">
        <f t="shared" si="289"/>
        <v>4.9627394570272001</v>
      </c>
      <c r="AR267" s="144">
        <f t="shared" si="289"/>
        <v>7.2909358922837857</v>
      </c>
      <c r="AS267" s="144">
        <f t="shared" si="289"/>
        <v>5.4838950238914306</v>
      </c>
      <c r="AT267" s="144">
        <f t="shared" si="289"/>
        <v>2.7392083036420716</v>
      </c>
      <c r="AU267" s="144">
        <f t="shared" si="289"/>
        <v>4.1558334586017578</v>
      </c>
      <c r="AV267" s="115"/>
      <c r="AW267" s="144">
        <f t="shared" ref="AW267:BD267" si="290">AN247</f>
        <v>1.2614367798157096</v>
      </c>
      <c r="AX267" s="144">
        <f t="shared" si="290"/>
        <v>0</v>
      </c>
      <c r="AY267" s="144">
        <f t="shared" si="290"/>
        <v>7.7764117579468763</v>
      </c>
      <c r="AZ267" s="144">
        <f t="shared" si="290"/>
        <v>4.9627394570272001</v>
      </c>
      <c r="BA267" s="144">
        <f t="shared" si="290"/>
        <v>9.9214326541322233</v>
      </c>
      <c r="BB267" s="144">
        <f t="shared" si="290"/>
        <v>3.728476851484571</v>
      </c>
      <c r="BC267" s="144">
        <f t="shared" si="290"/>
        <v>1.8623760496925927</v>
      </c>
      <c r="BD267" s="144">
        <f t="shared" si="290"/>
        <v>5.6552166128553667</v>
      </c>
      <c r="BE267" s="17"/>
      <c r="BF267" s="142">
        <f t="shared" ref="BF267:BM267" si="291">AW247</f>
        <v>2.5228735596314182</v>
      </c>
      <c r="BG267" s="142">
        <f t="shared" si="291"/>
        <v>66.466051602514185</v>
      </c>
      <c r="BH267" s="142">
        <f t="shared" si="291"/>
        <v>7.7764117579468763</v>
      </c>
      <c r="BI267" s="142">
        <f t="shared" si="291"/>
        <v>4.9627394570272001</v>
      </c>
      <c r="BJ267" s="142">
        <f t="shared" si="291"/>
        <v>13.500986343146657</v>
      </c>
      <c r="BK267" s="142">
        <f t="shared" si="291"/>
        <v>1.3397213563489379</v>
      </c>
      <c r="BL267" s="142">
        <f t="shared" si="291"/>
        <v>0.66919148668778117</v>
      </c>
      <c r="BM267" s="142">
        <f t="shared" si="291"/>
        <v>7.6955622155935934</v>
      </c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>
        <f t="shared" si="72"/>
        <v>109</v>
      </c>
      <c r="CI267" s="113">
        <f t="shared" si="73"/>
        <v>156.78587997838801</v>
      </c>
      <c r="CJ267" s="124">
        <f t="shared" si="188"/>
        <v>4.9669073205243555</v>
      </c>
      <c r="CK267" s="124">
        <f t="shared" si="189"/>
        <v>66.466051602514185</v>
      </c>
      <c r="CL267" s="124">
        <f t="shared" si="190"/>
        <v>52.719093704938068</v>
      </c>
      <c r="CM267" s="124">
        <f t="shared" si="191"/>
        <v>30.530647623955165</v>
      </c>
      <c r="CN267" s="124">
        <f t="shared" si="192"/>
        <v>43.139422551085183</v>
      </c>
      <c r="CO267" s="124">
        <f t="shared" si="193"/>
        <v>34.527152791086017</v>
      </c>
      <c r="CP267" s="124">
        <f t="shared" si="194"/>
        <v>17.246330065477526</v>
      </c>
      <c r="CQ267" s="124">
        <f t="shared" si="195"/>
        <v>25.797554110458574</v>
      </c>
      <c r="CR267" s="144">
        <f t="shared" si="111"/>
        <v>275.39315977003906</v>
      </c>
    </row>
    <row r="268" spans="1:96" ht="14">
      <c r="A268">
        <f t="shared" si="233"/>
        <v>110</v>
      </c>
      <c r="B268" s="19">
        <f t="shared" si="233"/>
        <v>190</v>
      </c>
      <c r="C268" s="26">
        <f t="shared" si="105"/>
        <v>157.00350900079047</v>
      </c>
      <c r="D268" s="26"/>
      <c r="E268" s="26"/>
      <c r="F268" s="141">
        <f t="shared" ref="F268:G268" si="292">F267</f>
        <v>6.0606231572568161</v>
      </c>
      <c r="G268" s="141">
        <f t="shared" si="292"/>
        <v>0.7542108817919595</v>
      </c>
      <c r="H268" s="140">
        <f>(H$118)*('Product half-life and C flows'!L169/100)</f>
        <v>0.23383498968016014</v>
      </c>
      <c r="I268" s="140">
        <f>(($C$39*$C$118*0.28)*H$41)*('Product half-life and C flows'!N169/100)</f>
        <v>1.0625985449678166</v>
      </c>
      <c r="J268" s="140">
        <f>(($C$39*$C$118*0.28)*H$41)*(+'Product half-life and C flows'!P169/100)</f>
        <v>0.53076850397992792</v>
      </c>
      <c r="K268" s="141">
        <f t="shared" si="201"/>
        <v>1.3434381331919276</v>
      </c>
      <c r="L268" s="26"/>
      <c r="M268" s="142">
        <f>(C$158-C$138)*(0.4*D$14)*('Product half-life and C flows'!B129/100)</f>
        <v>7.6154225766622799E-2</v>
      </c>
      <c r="N268" s="85"/>
      <c r="O268" s="143">
        <f t="shared" si="159"/>
        <v>7.7764117579468763</v>
      </c>
      <c r="P268" s="142">
        <f t="shared" si="160"/>
        <v>4.9627394570272001</v>
      </c>
      <c r="Q268" s="142">
        <f>(C$158-C$138)*(0.6*C$15)*('Product half-life and C flows'!L129/100)</f>
        <v>2.8491833422538875</v>
      </c>
      <c r="R268" s="142">
        <f>(C$158-C$138)*0.6*('Product half-life and C flows'!N129/100)</f>
        <v>8.4480245589447129</v>
      </c>
      <c r="S268" s="142">
        <f>(C$158-C$138)*0.6*('Product half-life and C flows'!P129/100)</f>
        <v>4.2197924869853702</v>
      </c>
      <c r="T268" s="142">
        <f t="shared" si="108"/>
        <v>1.6240345050847158</v>
      </c>
      <c r="U268" s="3"/>
      <c r="V268" s="142">
        <f t="shared" si="165"/>
        <v>0.15230845153324563</v>
      </c>
      <c r="W268" s="142">
        <f t="shared" si="166"/>
        <v>0</v>
      </c>
      <c r="X268" s="142">
        <f t="shared" si="167"/>
        <v>7.7764117579468763</v>
      </c>
      <c r="Y268" s="142">
        <f t="shared" si="168"/>
        <v>4.9627394570272001</v>
      </c>
      <c r="Z268" s="142">
        <f t="shared" si="169"/>
        <v>3.8771402008025002</v>
      </c>
      <c r="AA268" s="142">
        <f t="shared" si="170"/>
        <v>7.7620346820066057</v>
      </c>
      <c r="AB268" s="142">
        <f t="shared" si="171"/>
        <v>3.8771402008024998</v>
      </c>
      <c r="AC268" s="142">
        <f t="shared" si="172"/>
        <v>2.209969914457425</v>
      </c>
      <c r="AD268" s="115"/>
      <c r="AE268" s="142">
        <f t="shared" ref="AE268:AL268" si="293">V248</f>
        <v>0.30461690306649125</v>
      </c>
      <c r="AF268" s="142">
        <f t="shared" si="293"/>
        <v>0</v>
      </c>
      <c r="AG268" s="142">
        <f t="shared" si="293"/>
        <v>7.7764117579468763</v>
      </c>
      <c r="AH268" s="142">
        <f t="shared" si="293"/>
        <v>4.9627394570272001</v>
      </c>
      <c r="AI268" s="142">
        <f t="shared" si="293"/>
        <v>5.2759736145261176</v>
      </c>
      <c r="AJ268" s="142">
        <f t="shared" si="293"/>
        <v>6.8285465172483804</v>
      </c>
      <c r="AK268" s="142">
        <f t="shared" si="293"/>
        <v>3.4108623962279605</v>
      </c>
      <c r="AL268" s="142">
        <f t="shared" si="293"/>
        <v>3.0073049602798867</v>
      </c>
      <c r="AM268" s="115"/>
      <c r="AN268" s="144">
        <f t="shared" ref="AN268:AU268" si="294">AE248</f>
        <v>0.6092338061329825</v>
      </c>
      <c r="AO268" s="144">
        <f t="shared" si="294"/>
        <v>0</v>
      </c>
      <c r="AP268" s="144">
        <f t="shared" si="294"/>
        <v>7.7764117579468763</v>
      </c>
      <c r="AQ268" s="144">
        <f t="shared" si="294"/>
        <v>4.9627394570272001</v>
      </c>
      <c r="AR268" s="144">
        <f t="shared" si="294"/>
        <v>7.1794921358310049</v>
      </c>
      <c r="AS268" s="144">
        <f t="shared" si="294"/>
        <v>5.5582651573642528</v>
      </c>
      <c r="AT268" s="144">
        <f t="shared" si="294"/>
        <v>2.7763562224596656</v>
      </c>
      <c r="AU268" s="144">
        <f t="shared" si="294"/>
        <v>4.0923105174236722</v>
      </c>
      <c r="AV268" s="115"/>
      <c r="AW268" s="144">
        <f t="shared" ref="AW268:BD268" si="295">AN248</f>
        <v>1.218467612265965</v>
      </c>
      <c r="AX268" s="144">
        <f t="shared" si="295"/>
        <v>0</v>
      </c>
      <c r="AY268" s="144">
        <f t="shared" si="295"/>
        <v>7.7764117579468763</v>
      </c>
      <c r="AZ268" s="144">
        <f t="shared" si="295"/>
        <v>4.9627394570272001</v>
      </c>
      <c r="BA268" s="144">
        <f t="shared" si="295"/>
        <v>9.769781104769411</v>
      </c>
      <c r="BB268" s="144">
        <f t="shared" si="295"/>
        <v>3.8296789854260211</v>
      </c>
      <c r="BC268" s="144">
        <f t="shared" si="295"/>
        <v>1.9129265661468633</v>
      </c>
      <c r="BD268" s="144">
        <f t="shared" si="295"/>
        <v>5.5687752297185638</v>
      </c>
      <c r="BE268" s="17"/>
      <c r="BF268" s="142">
        <f t="shared" ref="BF268:BM268" si="296">AW248</f>
        <v>2.43693522453193</v>
      </c>
      <c r="BG268" s="142">
        <f t="shared" si="296"/>
        <v>68.18922502509308</v>
      </c>
      <c r="BH268" s="142">
        <f t="shared" si="296"/>
        <v>7.7764117579468763</v>
      </c>
      <c r="BI268" s="142">
        <f t="shared" si="296"/>
        <v>4.9627394570272001</v>
      </c>
      <c r="BJ268" s="142">
        <f t="shared" si="296"/>
        <v>13.294620431262789</v>
      </c>
      <c r="BK268" s="142">
        <f t="shared" si="296"/>
        <v>1.4774362082127719</v>
      </c>
      <c r="BL268" s="142">
        <f t="shared" si="296"/>
        <v>0.73798012398240365</v>
      </c>
      <c r="BM268" s="142">
        <f t="shared" si="296"/>
        <v>7.5779336458197895</v>
      </c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>
        <f t="shared" si="72"/>
        <v>110</v>
      </c>
      <c r="CI268" s="113">
        <f t="shared" si="73"/>
        <v>157.00350900079047</v>
      </c>
      <c r="CJ268" s="124">
        <f t="shared" si="188"/>
        <v>4.797716223297237</v>
      </c>
      <c r="CK268" s="124">
        <f t="shared" si="189"/>
        <v>68.18922502509308</v>
      </c>
      <c r="CL268" s="124">
        <f t="shared" si="190"/>
        <v>52.719093704938068</v>
      </c>
      <c r="CM268" s="124">
        <f t="shared" si="191"/>
        <v>30.530647623955165</v>
      </c>
      <c r="CN268" s="124">
        <f t="shared" si="192"/>
        <v>42.480025819125871</v>
      </c>
      <c r="CO268" s="124">
        <f t="shared" si="193"/>
        <v>34.966584654170568</v>
      </c>
      <c r="CP268" s="124">
        <f t="shared" si="194"/>
        <v>17.46582650058469</v>
      </c>
      <c r="CQ268" s="124">
        <f t="shared" si="195"/>
        <v>25.423766905975981</v>
      </c>
      <c r="CR268" s="144">
        <f t="shared" si="111"/>
        <v>276.57288645714061</v>
      </c>
    </row>
    <row r="269" spans="1:96" ht="14">
      <c r="A269">
        <f t="shared" si="233"/>
        <v>111</v>
      </c>
      <c r="B269" s="19">
        <f t="shared" si="233"/>
        <v>191</v>
      </c>
      <c r="C269" s="26">
        <f t="shared" si="105"/>
        <v>157.21702403553022</v>
      </c>
      <c r="D269" s="26"/>
      <c r="E269" s="26"/>
      <c r="F269" s="141">
        <f t="shared" ref="F269:G269" si="297">F268</f>
        <v>6.0606231572568161</v>
      </c>
      <c r="G269" s="141">
        <f t="shared" si="297"/>
        <v>0.7542108817919595</v>
      </c>
      <c r="H269" s="140">
        <f>(H$118)*('Product half-life and C flows'!L170/100)</f>
        <v>0.2302607640903242</v>
      </c>
      <c r="I269" s="140">
        <f>(($C$39*$C$118*0.28)*H$41)*('Product half-life and C flows'!N170/100)</f>
        <v>1.0643874448755295</v>
      </c>
      <c r="J269" s="140">
        <f>(($C$39*$C$118*0.28)*H$41)*(+'Product half-life and C flows'!P170/100)</f>
        <v>0.53166206037738695</v>
      </c>
      <c r="K269" s="141">
        <f t="shared" si="201"/>
        <v>1.3434381331919276</v>
      </c>
      <c r="L269" s="26"/>
      <c r="M269" s="142">
        <f>(C$158-C$138)*(0.4*D$14)*('Product half-life and C flows'!B130/100)</f>
        <v>7.3560133269125541E-2</v>
      </c>
      <c r="N269" s="85"/>
      <c r="O269" s="143">
        <f t="shared" si="159"/>
        <v>7.7764117579468763</v>
      </c>
      <c r="P269" s="142">
        <f t="shared" si="160"/>
        <v>4.9627394570272001</v>
      </c>
      <c r="Q269" s="142">
        <f>(C$158-C$138)*(0.6*C$15)*('Product half-life and C flows'!L130/100)</f>
        <v>2.8056328709324343</v>
      </c>
      <c r="R269" s="142">
        <f>(C$158-C$138)*0.6*('Product half-life and C flows'!N130/100)</f>
        <v>8.4770872401398965</v>
      </c>
      <c r="S269" s="142">
        <f>(C$158-C$138)*0.6*('Product half-life and C flows'!P130/100)</f>
        <v>4.2343093107591878</v>
      </c>
      <c r="T269" s="142">
        <f t="shared" si="108"/>
        <v>1.5992107364314874</v>
      </c>
      <c r="U269" s="3"/>
      <c r="V269" s="142">
        <f t="shared" si="165"/>
        <v>0.14712026653825105</v>
      </c>
      <c r="W269" s="142">
        <f t="shared" si="166"/>
        <v>0</v>
      </c>
      <c r="X269" s="142">
        <f t="shared" si="167"/>
        <v>7.7764117579468763</v>
      </c>
      <c r="Y269" s="142">
        <f t="shared" si="168"/>
        <v>4.9627394570272001</v>
      </c>
      <c r="Z269" s="142">
        <f t="shared" si="169"/>
        <v>3.8178771549253856</v>
      </c>
      <c r="AA269" s="142">
        <f t="shared" si="170"/>
        <v>7.8015828879552673</v>
      </c>
      <c r="AB269" s="142">
        <f t="shared" si="171"/>
        <v>3.8968945494282048</v>
      </c>
      <c r="AC269" s="142">
        <f t="shared" si="172"/>
        <v>2.1761899783074696</v>
      </c>
      <c r="AD269" s="115"/>
      <c r="AE269" s="142">
        <f t="shared" ref="AE269:AL269" si="298">V249</f>
        <v>0.29424053307650211</v>
      </c>
      <c r="AF269" s="142">
        <f t="shared" si="298"/>
        <v>0</v>
      </c>
      <c r="AG269" s="142">
        <f t="shared" si="298"/>
        <v>7.7764117579468763</v>
      </c>
      <c r="AH269" s="142">
        <f t="shared" si="298"/>
        <v>4.9627394570272001</v>
      </c>
      <c r="AI269" s="142">
        <f t="shared" si="298"/>
        <v>5.1953290543166659</v>
      </c>
      <c r="AJ269" s="142">
        <f t="shared" si="298"/>
        <v>6.8823633204281549</v>
      </c>
      <c r="AK269" s="142">
        <f t="shared" si="298"/>
        <v>3.4377439162977783</v>
      </c>
      <c r="AL269" s="142">
        <f t="shared" si="298"/>
        <v>2.9613375609604993</v>
      </c>
      <c r="AM269" s="115"/>
      <c r="AN269" s="144">
        <f t="shared" ref="AN269:AU269" si="299">AE249</f>
        <v>0.58848106615300433</v>
      </c>
      <c r="AO269" s="144">
        <f t="shared" si="299"/>
        <v>0</v>
      </c>
      <c r="AP269" s="144">
        <f t="shared" si="299"/>
        <v>7.7764117579468763</v>
      </c>
      <c r="AQ269" s="144">
        <f t="shared" si="299"/>
        <v>4.9627394570272001</v>
      </c>
      <c r="AR269" s="144">
        <f t="shared" si="299"/>
        <v>7.0697518247295204</v>
      </c>
      <c r="AS269" s="144">
        <f t="shared" si="299"/>
        <v>5.6314985249726428</v>
      </c>
      <c r="AT269" s="144">
        <f t="shared" si="299"/>
        <v>2.8129363261601599</v>
      </c>
      <c r="AU269" s="144">
        <f t="shared" si="299"/>
        <v>4.029758540095826</v>
      </c>
      <c r="AV269" s="115"/>
      <c r="AW269" s="144">
        <f t="shared" ref="AW269:BD269" si="300">AN249</f>
        <v>1.1769621323060084</v>
      </c>
      <c r="AX269" s="144">
        <f t="shared" si="300"/>
        <v>0</v>
      </c>
      <c r="AY269" s="144">
        <f t="shared" si="300"/>
        <v>7.7764117579468763</v>
      </c>
      <c r="AZ269" s="144">
        <f t="shared" si="300"/>
        <v>4.9627394570272001</v>
      </c>
      <c r="BA269" s="144">
        <f t="shared" si="300"/>
        <v>9.6204475868064847</v>
      </c>
      <c r="BB269" s="144">
        <f t="shared" si="300"/>
        <v>3.9293342197466132</v>
      </c>
      <c r="BC269" s="144">
        <f t="shared" si="300"/>
        <v>1.9627044054678384</v>
      </c>
      <c r="BD269" s="144">
        <f t="shared" si="300"/>
        <v>5.4836551244796956</v>
      </c>
      <c r="BE269" s="17"/>
      <c r="BF269" s="142">
        <f t="shared" ref="BF269:BM269" si="301">AW249</f>
        <v>2.3539242646120164</v>
      </c>
      <c r="BG269" s="142">
        <f t="shared" si="301"/>
        <v>69.912398447671976</v>
      </c>
      <c r="BH269" s="142">
        <f t="shared" si="301"/>
        <v>7.7764117579468763</v>
      </c>
      <c r="BI269" s="142">
        <f t="shared" si="301"/>
        <v>4.9627394570272001</v>
      </c>
      <c r="BJ269" s="142">
        <f t="shared" si="301"/>
        <v>13.091408873327982</v>
      </c>
      <c r="BK269" s="142">
        <f t="shared" si="301"/>
        <v>1.6130460545412677</v>
      </c>
      <c r="BL269" s="142">
        <f t="shared" si="301"/>
        <v>0.80571730996067314</v>
      </c>
      <c r="BM269" s="142">
        <f t="shared" si="301"/>
        <v>7.4621030577969494</v>
      </c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>
        <f t="shared" si="72"/>
        <v>111</v>
      </c>
      <c r="CI269" s="113">
        <f t="shared" si="73"/>
        <v>157.21702403553022</v>
      </c>
      <c r="CJ269" s="124">
        <f t="shared" si="188"/>
        <v>4.6342883959549077</v>
      </c>
      <c r="CK269" s="124">
        <f t="shared" si="189"/>
        <v>69.912398447671976</v>
      </c>
      <c r="CL269" s="124">
        <f t="shared" si="190"/>
        <v>52.719093704938068</v>
      </c>
      <c r="CM269" s="124">
        <f t="shared" si="191"/>
        <v>30.530647623955165</v>
      </c>
      <c r="CN269" s="124">
        <f t="shared" si="192"/>
        <v>41.830708129128794</v>
      </c>
      <c r="CO269" s="124">
        <f t="shared" si="193"/>
        <v>35.399299692659369</v>
      </c>
      <c r="CP269" s="124">
        <f t="shared" si="194"/>
        <v>17.681967878451232</v>
      </c>
      <c r="CQ269" s="124">
        <f t="shared" si="195"/>
        <v>25.055693131263855</v>
      </c>
      <c r="CR269" s="144">
        <f t="shared" si="111"/>
        <v>277.76409700402337</v>
      </c>
    </row>
    <row r="270" spans="1:96" ht="14">
      <c r="A270">
        <f t="shared" si="233"/>
        <v>112</v>
      </c>
      <c r="B270" s="19">
        <f t="shared" si="233"/>
        <v>192</v>
      </c>
      <c r="C270" s="26">
        <f t="shared" si="105"/>
        <v>157.42649897007195</v>
      </c>
      <c r="D270" s="26"/>
      <c r="E270" s="26"/>
      <c r="F270" s="141">
        <f t="shared" ref="F270:G270" si="302">F269</f>
        <v>6.0606231572568161</v>
      </c>
      <c r="G270" s="141">
        <f t="shared" si="302"/>
        <v>0.7542108817919595</v>
      </c>
      <c r="H270" s="140">
        <f>(H$118)*('Product half-life and C flows'!L171/100)</f>
        <v>0.22674117142169692</v>
      </c>
      <c r="I270" s="140">
        <f>(($C$39*$C$118*0.28)*H$41)*('Product half-life and C flows'!N171/100)</f>
        <v>1.0661490010061774</v>
      </c>
      <c r="J270" s="140">
        <f>(($C$39*$C$118*0.28)*H$41)*(+'Product half-life and C flows'!P171/100)</f>
        <v>0.53254195854454378</v>
      </c>
      <c r="K270" s="141">
        <f t="shared" si="201"/>
        <v>1.3434381331919276</v>
      </c>
      <c r="L270" s="26"/>
      <c r="M270" s="142">
        <f>(C$158-C$138)*(0.4*D$14)*('Product half-life and C flows'!B131/100)</f>
        <v>7.1054405085201527E-2</v>
      </c>
      <c r="N270" s="85"/>
      <c r="O270" s="143">
        <f t="shared" si="159"/>
        <v>7.7764117579468763</v>
      </c>
      <c r="P270" s="142">
        <f t="shared" si="160"/>
        <v>4.9627394570272001</v>
      </c>
      <c r="Q270" s="142">
        <f>(C$158-C$138)*(0.6*C$15)*('Product half-life and C flows'!L131/100)</f>
        <v>2.7627480793249517</v>
      </c>
      <c r="R270" s="142">
        <f>(C$158-C$138)*0.6*('Product half-life and C flows'!N131/100)</f>
        <v>8.5057056910726221</v>
      </c>
      <c r="S270" s="142">
        <f>(C$158-C$138)*0.6*('Product half-life and C flows'!P131/100)</f>
        <v>4.2486042412950153</v>
      </c>
      <c r="T270" s="142">
        <f t="shared" si="108"/>
        <v>1.5747664052152224</v>
      </c>
      <c r="U270" s="3"/>
      <c r="V270" s="142">
        <f t="shared" si="165"/>
        <v>0.14210881017040305</v>
      </c>
      <c r="W270" s="142">
        <f t="shared" si="166"/>
        <v>0</v>
      </c>
      <c r="X270" s="142">
        <f t="shared" si="167"/>
        <v>7.7764117579468763</v>
      </c>
      <c r="Y270" s="142">
        <f t="shared" si="168"/>
        <v>4.9627394570272001</v>
      </c>
      <c r="Z270" s="142">
        <f t="shared" si="169"/>
        <v>3.7595199593463606</v>
      </c>
      <c r="AA270" s="142">
        <f t="shared" si="170"/>
        <v>7.8405265898050036</v>
      </c>
      <c r="AB270" s="142">
        <f t="shared" si="171"/>
        <v>3.9163469479545459</v>
      </c>
      <c r="AC270" s="142">
        <f t="shared" si="172"/>
        <v>2.1429263768274254</v>
      </c>
      <c r="AD270" s="115"/>
      <c r="AE270" s="142">
        <f t="shared" ref="AE270:AL270" si="303">V250</f>
        <v>0.284217620340806</v>
      </c>
      <c r="AF270" s="142">
        <f t="shared" si="303"/>
        <v>0</v>
      </c>
      <c r="AG270" s="142">
        <f t="shared" si="303"/>
        <v>7.7764117579468763</v>
      </c>
      <c r="AH270" s="142">
        <f t="shared" si="303"/>
        <v>4.9627394570272001</v>
      </c>
      <c r="AI270" s="142">
        <f t="shared" si="303"/>
        <v>5.1159171661345075</v>
      </c>
      <c r="AJ270" s="142">
        <f t="shared" si="303"/>
        <v>6.9353575204750486</v>
      </c>
      <c r="AK270" s="142">
        <f t="shared" si="303"/>
        <v>3.4642145456918314</v>
      </c>
      <c r="AL270" s="142">
        <f t="shared" si="303"/>
        <v>2.9160727846966692</v>
      </c>
      <c r="AM270" s="115"/>
      <c r="AN270" s="144">
        <f t="shared" ref="AN270:AU270" si="304">AE250</f>
        <v>0.56843524068161189</v>
      </c>
      <c r="AO270" s="144">
        <f t="shared" si="304"/>
        <v>0</v>
      </c>
      <c r="AP270" s="144">
        <f t="shared" si="304"/>
        <v>7.7764117579468763</v>
      </c>
      <c r="AQ270" s="144">
        <f t="shared" si="304"/>
        <v>4.9627394570272001</v>
      </c>
      <c r="AR270" s="144">
        <f t="shared" si="304"/>
        <v>6.9616889213962736</v>
      </c>
      <c r="AS270" s="144">
        <f t="shared" si="304"/>
        <v>5.7036125024636961</v>
      </c>
      <c r="AT270" s="144">
        <f t="shared" si="304"/>
        <v>2.8489572939379091</v>
      </c>
      <c r="AU270" s="144">
        <f t="shared" si="304"/>
        <v>3.9681626851958756</v>
      </c>
      <c r="AV270" s="115"/>
      <c r="AW270" s="144">
        <f t="shared" ref="AW270:BD270" si="305">AN250</f>
        <v>1.136870481363224</v>
      </c>
      <c r="AX270" s="144">
        <f t="shared" si="305"/>
        <v>0</v>
      </c>
      <c r="AY270" s="144">
        <f t="shared" si="305"/>
        <v>7.7764117579468763</v>
      </c>
      <c r="AZ270" s="144">
        <f t="shared" si="305"/>
        <v>4.9627394570272001</v>
      </c>
      <c r="BA270" s="144">
        <f t="shared" si="305"/>
        <v>9.4733966685607935</v>
      </c>
      <c r="BB270" s="144">
        <f t="shared" si="305"/>
        <v>4.027466199189238</v>
      </c>
      <c r="BC270" s="144">
        <f t="shared" si="305"/>
        <v>2.0117213782164023</v>
      </c>
      <c r="BD270" s="144">
        <f t="shared" si="305"/>
        <v>5.3998361010796518</v>
      </c>
      <c r="BE270" s="17"/>
      <c r="BF270" s="142">
        <f t="shared" ref="BF270:BM270" si="306">AW250</f>
        <v>2.2737409627264475</v>
      </c>
      <c r="BG270" s="142">
        <f t="shared" si="306"/>
        <v>71.635571870250871</v>
      </c>
      <c r="BH270" s="142">
        <f t="shared" si="306"/>
        <v>7.7764117579468763</v>
      </c>
      <c r="BI270" s="142">
        <f t="shared" si="306"/>
        <v>4.9627394570272001</v>
      </c>
      <c r="BJ270" s="142">
        <f t="shared" si="306"/>
        <v>12.891303454262784</v>
      </c>
      <c r="BK270" s="142">
        <f t="shared" si="306"/>
        <v>1.7465830708641092</v>
      </c>
      <c r="BL270" s="142">
        <f t="shared" si="306"/>
        <v>0.87241911631573887</v>
      </c>
      <c r="BM270" s="142">
        <f t="shared" si="306"/>
        <v>7.3480429689297866</v>
      </c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>
        <f t="shared" ref="CH270:CH318" si="307">A270</f>
        <v>112</v>
      </c>
      <c r="CI270" s="113">
        <f t="shared" ref="CI270:CI318" si="308">C270</f>
        <v>157.42649897007195</v>
      </c>
      <c r="CJ270" s="124">
        <f t="shared" si="188"/>
        <v>4.476427520367694</v>
      </c>
      <c r="CK270" s="124">
        <f t="shared" si="189"/>
        <v>71.635571870250871</v>
      </c>
      <c r="CL270" s="124">
        <f t="shared" si="190"/>
        <v>52.719093704938068</v>
      </c>
      <c r="CM270" s="124">
        <f t="shared" si="191"/>
        <v>30.530647623955165</v>
      </c>
      <c r="CN270" s="124">
        <f t="shared" si="192"/>
        <v>41.191315420447367</v>
      </c>
      <c r="CO270" s="124">
        <f t="shared" si="193"/>
        <v>35.825400574875893</v>
      </c>
      <c r="CP270" s="124">
        <f t="shared" si="194"/>
        <v>17.894805481955988</v>
      </c>
      <c r="CQ270" s="124">
        <f t="shared" si="195"/>
        <v>24.693245455136559</v>
      </c>
      <c r="CR270" s="144">
        <f t="shared" si="111"/>
        <v>278.9665076519276</v>
      </c>
    </row>
    <row r="271" spans="1:96" ht="14">
      <c r="A271">
        <f t="shared" si="233"/>
        <v>113</v>
      </c>
      <c r="B271" s="19">
        <f t="shared" si="233"/>
        <v>193</v>
      </c>
      <c r="C271" s="26">
        <f t="shared" si="105"/>
        <v>157.63200652087528</v>
      </c>
      <c r="D271" s="26"/>
      <c r="E271" s="26"/>
      <c r="F271" s="141">
        <f t="shared" ref="F271:G271" si="309">F270</f>
        <v>6.0606231572568161</v>
      </c>
      <c r="G271" s="141">
        <f t="shared" si="309"/>
        <v>0.7542108817919595</v>
      </c>
      <c r="H271" s="140">
        <f>(H$118)*('Product half-life and C flows'!L172/100)</f>
        <v>0.22327537659657981</v>
      </c>
      <c r="I271" s="140">
        <f>(($C$39*$C$118*0.28)*H$41)*('Product half-life and C flows'!N172/100)</f>
        <v>1.0678836313161484</v>
      </c>
      <c r="J271" s="140">
        <f>(($C$39*$C$118*0.28)*H$41)*(+'Product half-life and C flows'!P172/100)</f>
        <v>0.53340840725082306</v>
      </c>
      <c r="K271" s="141">
        <f t="shared" si="201"/>
        <v>1.3434381331919276</v>
      </c>
      <c r="L271" s="26"/>
      <c r="M271" s="142">
        <f>(C$158-C$138)*(0.4*D$14)*('Product half-life and C flows'!B132/100)</f>
        <v>6.8634031201938409E-2</v>
      </c>
      <c r="N271" s="85"/>
      <c r="O271" s="143">
        <f t="shared" si="159"/>
        <v>7.7764117579468763</v>
      </c>
      <c r="P271" s="142">
        <f t="shared" si="160"/>
        <v>4.9627394570272001</v>
      </c>
      <c r="Q271" s="142">
        <f>(C$158-C$138)*(0.6*C$15)*('Product half-life and C flows'!L132/100)</f>
        <v>2.7205187923525438</v>
      </c>
      <c r="R271" s="142">
        <f>(C$158-C$138)*0.6*('Product half-life and C flows'!N132/100)</f>
        <v>8.5338867019122109</v>
      </c>
      <c r="S271" s="142">
        <f>(C$158-C$138)*0.6*('Product half-life and C flows'!P132/100)</f>
        <v>4.2626806702858175</v>
      </c>
      <c r="T271" s="142">
        <f t="shared" si="108"/>
        <v>1.5506957116409499</v>
      </c>
      <c r="U271" s="3"/>
      <c r="V271" s="142">
        <f t="shared" si="165"/>
        <v>0.13726806240387682</v>
      </c>
      <c r="W271" s="142">
        <f t="shared" si="166"/>
        <v>0</v>
      </c>
      <c r="X271" s="142">
        <f t="shared" si="167"/>
        <v>7.7764117579468763</v>
      </c>
      <c r="Y271" s="142">
        <f t="shared" si="168"/>
        <v>4.9627394570272001</v>
      </c>
      <c r="Z271" s="142">
        <f t="shared" si="169"/>
        <v>3.7020547679198135</v>
      </c>
      <c r="AA271" s="142">
        <f t="shared" si="170"/>
        <v>7.8788750275503192</v>
      </c>
      <c r="AB271" s="142">
        <f t="shared" si="171"/>
        <v>3.9355020117633948</v>
      </c>
      <c r="AC271" s="142">
        <f t="shared" si="172"/>
        <v>2.1101712177142935</v>
      </c>
      <c r="AD271" s="115"/>
      <c r="AE271" s="142">
        <f t="shared" ref="AE271:AL271" si="310">V251</f>
        <v>0.27453612480775363</v>
      </c>
      <c r="AF271" s="142">
        <f t="shared" si="310"/>
        <v>0</v>
      </c>
      <c r="AG271" s="142">
        <f t="shared" si="310"/>
        <v>7.7764117579468763</v>
      </c>
      <c r="AH271" s="142">
        <f t="shared" si="310"/>
        <v>4.9627394570272001</v>
      </c>
      <c r="AI271" s="142">
        <f t="shared" si="310"/>
        <v>5.0377191082831567</v>
      </c>
      <c r="AJ271" s="142">
        <f t="shared" si="310"/>
        <v>6.9875416910811827</v>
      </c>
      <c r="AK271" s="142">
        <f t="shared" si="310"/>
        <v>3.4902805649756155</v>
      </c>
      <c r="AL271" s="142">
        <f t="shared" si="310"/>
        <v>2.871499891721399</v>
      </c>
      <c r="AM271" s="115"/>
      <c r="AN271" s="144">
        <f t="shared" ref="AN271:AU271" si="311">AE251</f>
        <v>0.54907224961550738</v>
      </c>
      <c r="AO271" s="144">
        <f t="shared" si="311"/>
        <v>0</v>
      </c>
      <c r="AP271" s="144">
        <f t="shared" si="311"/>
        <v>7.7764117579468763</v>
      </c>
      <c r="AQ271" s="144">
        <f t="shared" si="311"/>
        <v>4.9627394570272001</v>
      </c>
      <c r="AR271" s="144">
        <f t="shared" si="311"/>
        <v>6.8552777862390979</v>
      </c>
      <c r="AS271" s="144">
        <f t="shared" si="311"/>
        <v>5.7746241999919183</v>
      </c>
      <c r="AT271" s="144">
        <f t="shared" si="311"/>
        <v>2.8844276723236346</v>
      </c>
      <c r="AU271" s="144">
        <f t="shared" si="311"/>
        <v>3.9075083381562856</v>
      </c>
      <c r="AV271" s="115"/>
      <c r="AW271" s="144">
        <f t="shared" ref="AW271:BD271" si="312">AN251</f>
        <v>1.0981444992310145</v>
      </c>
      <c r="AX271" s="144">
        <f t="shared" si="312"/>
        <v>0</v>
      </c>
      <c r="AY271" s="144">
        <f t="shared" si="312"/>
        <v>7.7764117579468763</v>
      </c>
      <c r="AZ271" s="144">
        <f t="shared" si="312"/>
        <v>4.9627394570272001</v>
      </c>
      <c r="BA271" s="144">
        <f t="shared" si="312"/>
        <v>9.3285934599317049</v>
      </c>
      <c r="BB271" s="144">
        <f t="shared" si="312"/>
        <v>4.1240982070810492</v>
      </c>
      <c r="BC271" s="144">
        <f t="shared" si="312"/>
        <v>2.0599891144260982</v>
      </c>
      <c r="BD271" s="144">
        <f t="shared" si="312"/>
        <v>5.3172982721610715</v>
      </c>
      <c r="BE271" s="17"/>
      <c r="BF271" s="142">
        <f t="shared" ref="BF271:BM271" si="313">AW251</f>
        <v>2.1962889984620291</v>
      </c>
      <c r="BG271" s="142">
        <f t="shared" si="313"/>
        <v>73.358745292829767</v>
      </c>
      <c r="BH271" s="142">
        <f t="shared" si="313"/>
        <v>7.7764117579468763</v>
      </c>
      <c r="BI271" s="142">
        <f t="shared" si="313"/>
        <v>4.9627394570272001</v>
      </c>
      <c r="BJ271" s="142">
        <f t="shared" si="313"/>
        <v>12.694256695967157</v>
      </c>
      <c r="BK271" s="142">
        <f t="shared" si="313"/>
        <v>1.8780789409000571</v>
      </c>
      <c r="BL271" s="142">
        <f t="shared" si="313"/>
        <v>0.93810136908094788</v>
      </c>
      <c r="BM271" s="142">
        <f t="shared" si="313"/>
        <v>7.2357263167012791</v>
      </c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>
        <f t="shared" si="307"/>
        <v>113</v>
      </c>
      <c r="CI271" s="113">
        <f t="shared" si="308"/>
        <v>157.63200652087528</v>
      </c>
      <c r="CJ271" s="124">
        <f t="shared" si="188"/>
        <v>4.3239439657221199</v>
      </c>
      <c r="CK271" s="124">
        <f t="shared" si="189"/>
        <v>73.358745292829767</v>
      </c>
      <c r="CL271" s="124">
        <f t="shared" si="190"/>
        <v>52.719093704938068</v>
      </c>
      <c r="CM271" s="124">
        <f t="shared" si="191"/>
        <v>30.530647623955165</v>
      </c>
      <c r="CN271" s="124">
        <f t="shared" si="192"/>
        <v>40.561695987290051</v>
      </c>
      <c r="CO271" s="124">
        <f t="shared" si="193"/>
        <v>36.244988399832891</v>
      </c>
      <c r="CP271" s="124">
        <f t="shared" si="194"/>
        <v>18.10438981010633</v>
      </c>
      <c r="CQ271" s="124">
        <f t="shared" si="195"/>
        <v>24.336337881287204</v>
      </c>
      <c r="CR271" s="144">
        <f t="shared" si="111"/>
        <v>280.17984266596159</v>
      </c>
    </row>
    <row r="272" spans="1:96" ht="14">
      <c r="A272">
        <f t="shared" ref="A272:B287" si="314">A271+1</f>
        <v>114</v>
      </c>
      <c r="B272" s="19">
        <f t="shared" si="314"/>
        <v>194</v>
      </c>
      <c r="C272" s="26">
        <f t="shared" si="105"/>
        <v>157.83361824541831</v>
      </c>
      <c r="D272" s="26"/>
      <c r="E272" s="26"/>
      <c r="F272" s="141">
        <f t="shared" ref="F272:G272" si="315">F271</f>
        <v>6.0606231572568161</v>
      </c>
      <c r="G272" s="141">
        <f t="shared" si="315"/>
        <v>0.7542108817919595</v>
      </c>
      <c r="H272" s="140">
        <f>(H$118)*('Product half-life and C flows'!L173/100)</f>
        <v>0.2198625573016432</v>
      </c>
      <c r="I272" s="140">
        <f>(($C$39*$C$118*0.28)*H$41)*('Product half-life and C flows'!N173/100)</f>
        <v>1.0695917473732641</v>
      </c>
      <c r="J272" s="140">
        <f>(($C$39*$C$118*0.28)*H$41)*(+'Product half-life and C flows'!P173/100)</f>
        <v>0.53426161207455714</v>
      </c>
      <c r="K272" s="141">
        <f t="shared" si="201"/>
        <v>1.3434381331919276</v>
      </c>
      <c r="L272" s="26"/>
      <c r="M272" s="142">
        <f>(C$158-C$138)*(0.4*D$14)*('Product half-life and C flows'!B133/100)</f>
        <v>6.6296104138513695E-2</v>
      </c>
      <c r="N272" s="85"/>
      <c r="O272" s="143">
        <f t="shared" si="159"/>
        <v>7.7764117579468763</v>
      </c>
      <c r="P272" s="142">
        <f t="shared" si="160"/>
        <v>4.9627394570272001</v>
      </c>
      <c r="Q272" s="142">
        <f>(C$158-C$138)*(0.6*C$15)*('Product half-life and C flows'!L133/100)</f>
        <v>2.6789349904649127</v>
      </c>
      <c r="R272" s="142">
        <f>(C$158-C$138)*0.6*('Product half-life and C flows'!N133/100)</f>
        <v>8.561636959038557</v>
      </c>
      <c r="S272" s="142">
        <f>(C$158-C$138)*0.6*('Product half-life and C flows'!P133/100)</f>
        <v>4.2765419375816949</v>
      </c>
      <c r="T272" s="142">
        <f t="shared" si="108"/>
        <v>1.5269929445650001</v>
      </c>
      <c r="U272" s="3"/>
      <c r="V272" s="142">
        <f t="shared" si="165"/>
        <v>0.13259220827702739</v>
      </c>
      <c r="W272" s="142">
        <f t="shared" si="166"/>
        <v>0</v>
      </c>
      <c r="X272" s="142">
        <f t="shared" si="167"/>
        <v>7.7764117579468763</v>
      </c>
      <c r="Y272" s="142">
        <f t="shared" si="168"/>
        <v>4.9627394570272001</v>
      </c>
      <c r="Z272" s="142">
        <f t="shared" si="169"/>
        <v>3.6454679461418928</v>
      </c>
      <c r="AA272" s="142">
        <f t="shared" si="170"/>
        <v>7.9166372999501187</v>
      </c>
      <c r="AB272" s="142">
        <f t="shared" si="171"/>
        <v>3.954364285689369</v>
      </c>
      <c r="AC272" s="142">
        <f t="shared" si="172"/>
        <v>2.0779167293008789</v>
      </c>
      <c r="AD272" s="115"/>
      <c r="AE272" s="142">
        <f t="shared" ref="AE272:AL272" si="316">V252</f>
        <v>0.26518441655405484</v>
      </c>
      <c r="AF272" s="142">
        <f t="shared" si="316"/>
        <v>0</v>
      </c>
      <c r="AG272" s="142">
        <f t="shared" si="316"/>
        <v>7.7764117579468763</v>
      </c>
      <c r="AH272" s="142">
        <f t="shared" si="316"/>
        <v>4.9627394570272001</v>
      </c>
      <c r="AI272" s="142">
        <f t="shared" si="316"/>
        <v>4.9607163270661125</v>
      </c>
      <c r="AJ272" s="142">
        <f t="shared" si="316"/>
        <v>7.03892821374669</v>
      </c>
      <c r="AK272" s="142">
        <f t="shared" si="316"/>
        <v>3.5159481587146297</v>
      </c>
      <c r="AL272" s="142">
        <f t="shared" si="316"/>
        <v>2.8276083064276838</v>
      </c>
      <c r="AM272" s="115"/>
      <c r="AN272" s="144">
        <f t="shared" ref="AN272:AU272" si="317">AE252</f>
        <v>0.53036883310810956</v>
      </c>
      <c r="AO272" s="144">
        <f t="shared" si="317"/>
        <v>0</v>
      </c>
      <c r="AP272" s="144">
        <f t="shared" si="317"/>
        <v>7.7764117579468763</v>
      </c>
      <c r="AQ272" s="144">
        <f t="shared" si="317"/>
        <v>4.9627394570272001</v>
      </c>
      <c r="AR272" s="144">
        <f t="shared" si="317"/>
        <v>6.7504931715733285</v>
      </c>
      <c r="AS272" s="144">
        <f t="shared" si="317"/>
        <v>5.8445504661788741</v>
      </c>
      <c r="AT272" s="144">
        <f t="shared" si="317"/>
        <v>2.9193558772122241</v>
      </c>
      <c r="AU272" s="144">
        <f t="shared" si="317"/>
        <v>3.8477811077967967</v>
      </c>
      <c r="AV272" s="115"/>
      <c r="AW272" s="144">
        <f t="shared" ref="AW272:BD272" si="318">AN252</f>
        <v>1.0607376662162191</v>
      </c>
      <c r="AX272" s="144">
        <f t="shared" si="318"/>
        <v>0</v>
      </c>
      <c r="AY272" s="144">
        <f t="shared" si="318"/>
        <v>7.7764117579468763</v>
      </c>
      <c r="AZ272" s="144">
        <f t="shared" si="318"/>
        <v>4.9627394570272001</v>
      </c>
      <c r="BA272" s="144">
        <f t="shared" si="318"/>
        <v>9.1860036041224014</v>
      </c>
      <c r="BB272" s="144">
        <f t="shared" si="318"/>
        <v>4.2192531708577921</v>
      </c>
      <c r="BC272" s="144">
        <f t="shared" si="318"/>
        <v>2.1075190663625332</v>
      </c>
      <c r="BD272" s="144">
        <f t="shared" si="318"/>
        <v>5.2360220543497684</v>
      </c>
      <c r="BE272" s="17"/>
      <c r="BF272" s="142">
        <f t="shared" ref="BF272:BM272" si="319">AW252</f>
        <v>2.1214753324324382</v>
      </c>
      <c r="BG272" s="142">
        <f t="shared" si="319"/>
        <v>75.081918715408662</v>
      </c>
      <c r="BH272" s="142">
        <f t="shared" si="319"/>
        <v>7.7764117579468763</v>
      </c>
      <c r="BI272" s="142">
        <f t="shared" si="319"/>
        <v>4.9627394570272001</v>
      </c>
      <c r="BJ272" s="142">
        <f t="shared" si="319"/>
        <v>12.500221846055549</v>
      </c>
      <c r="BK272" s="142">
        <f t="shared" si="319"/>
        <v>2.0075648640744035</v>
      </c>
      <c r="BL272" s="142">
        <f t="shared" si="319"/>
        <v>1.0027796523848169</v>
      </c>
      <c r="BM272" s="142">
        <f t="shared" si="319"/>
        <v>7.1251264522516626</v>
      </c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>
        <f t="shared" si="307"/>
        <v>114</v>
      </c>
      <c r="CI272" s="113">
        <f t="shared" si="308"/>
        <v>157.83361824541831</v>
      </c>
      <c r="CJ272" s="124">
        <f t="shared" si="188"/>
        <v>4.1766545607263623</v>
      </c>
      <c r="CK272" s="124">
        <f t="shared" si="189"/>
        <v>75.081918715408662</v>
      </c>
      <c r="CL272" s="124">
        <f t="shared" si="190"/>
        <v>52.719093704938068</v>
      </c>
      <c r="CM272" s="124">
        <f t="shared" si="191"/>
        <v>30.530647623955165</v>
      </c>
      <c r="CN272" s="124">
        <f t="shared" si="192"/>
        <v>39.941700442725839</v>
      </c>
      <c r="CO272" s="124">
        <f t="shared" si="193"/>
        <v>36.658162721219696</v>
      </c>
      <c r="CP272" s="124">
        <f t="shared" si="194"/>
        <v>18.310770590019825</v>
      </c>
      <c r="CQ272" s="124">
        <f t="shared" si="195"/>
        <v>23.984885727883718</v>
      </c>
      <c r="CR272" s="144">
        <f t="shared" si="111"/>
        <v>281.40383408687734</v>
      </c>
    </row>
    <row r="273" spans="1:96" ht="14">
      <c r="A273">
        <f t="shared" si="314"/>
        <v>115</v>
      </c>
      <c r="B273" s="19">
        <f t="shared" si="314"/>
        <v>195</v>
      </c>
      <c r="C273" s="26">
        <f t="shared" si="105"/>
        <v>158.03140455440482</v>
      </c>
      <c r="D273" s="26"/>
      <c r="E273" s="26"/>
      <c r="F273" s="141">
        <f t="shared" ref="F273:G273" si="320">F272</f>
        <v>6.0606231572568161</v>
      </c>
      <c r="G273" s="141">
        <f t="shared" si="320"/>
        <v>0.7542108817919595</v>
      </c>
      <c r="H273" s="140">
        <f>(H$118)*('Product half-life and C flows'!L174/100)</f>
        <v>0.21650190379281975</v>
      </c>
      <c r="I273" s="140">
        <f>(($C$39*$C$118*0.28)*H$41)*('Product half-life and C flows'!N174/100)</f>
        <v>1.0712737544544302</v>
      </c>
      <c r="J273" s="140">
        <f>(($C$39*$C$118*0.28)*H$41)*(+'Product half-life and C flows'!P174/100)</f>
        <v>0.53510177545176296</v>
      </c>
      <c r="K273" s="141">
        <f t="shared" si="201"/>
        <v>1.3434381331919276</v>
      </c>
      <c r="L273" s="26"/>
      <c r="M273" s="142">
        <f>(C$158-C$138)*(0.4*D$14)*('Product half-life and C flows'!B134/100)</f>
        <v>6.4037815453575175E-2</v>
      </c>
      <c r="N273" s="85"/>
      <c r="O273" s="143">
        <f t="shared" si="159"/>
        <v>7.7764117579468763</v>
      </c>
      <c r="P273" s="142">
        <f t="shared" si="160"/>
        <v>4.9627394570272001</v>
      </c>
      <c r="Q273" s="142">
        <f>(C$158-C$138)*(0.6*C$15)*('Product half-life and C flows'!L134/100)</f>
        <v>2.6379868072630592</v>
      </c>
      <c r="R273" s="142">
        <f>(C$158-C$138)*0.6*('Product half-life and C flows'!N134/100)</f>
        <v>8.5889630466285922</v>
      </c>
      <c r="S273" s="142">
        <f>(C$158-C$138)*0.6*('Product half-life and C flows'!P134/100)</f>
        <v>4.290191331982312</v>
      </c>
      <c r="T273" s="142">
        <f t="shared" si="108"/>
        <v>1.5036524801399436</v>
      </c>
      <c r="U273" s="3"/>
      <c r="V273" s="142">
        <f t="shared" si="165"/>
        <v>0.12807563090715035</v>
      </c>
      <c r="W273" s="142">
        <f t="shared" si="166"/>
        <v>0</v>
      </c>
      <c r="X273" s="142">
        <f t="shared" si="167"/>
        <v>7.7764117579468763</v>
      </c>
      <c r="Y273" s="142">
        <f t="shared" si="168"/>
        <v>4.9627394570272001</v>
      </c>
      <c r="Z273" s="142">
        <f t="shared" si="169"/>
        <v>3.5897460679155024</v>
      </c>
      <c r="AA273" s="142">
        <f t="shared" si="170"/>
        <v>7.9538223666865298</v>
      </c>
      <c r="AB273" s="142">
        <f t="shared" si="171"/>
        <v>3.9729382450981658</v>
      </c>
      <c r="AC273" s="142">
        <f t="shared" si="172"/>
        <v>2.0461552587118361</v>
      </c>
      <c r="AD273" s="115"/>
      <c r="AE273" s="142">
        <f t="shared" ref="AE273:AL273" si="321">V253</f>
        <v>0.25615126181430076</v>
      </c>
      <c r="AF273" s="142">
        <f t="shared" si="321"/>
        <v>0</v>
      </c>
      <c r="AG273" s="142">
        <f t="shared" si="321"/>
        <v>7.7764117579468763</v>
      </c>
      <c r="AH273" s="142">
        <f t="shared" si="321"/>
        <v>4.9627394570272001</v>
      </c>
      <c r="AI273" s="142">
        <f t="shared" si="321"/>
        <v>4.8848905523847055</v>
      </c>
      <c r="AJ273" s="142">
        <f t="shared" si="321"/>
        <v>7.0895292807174144</v>
      </c>
      <c r="AK273" s="142">
        <f t="shared" si="321"/>
        <v>3.5412234169417656</v>
      </c>
      <c r="AL273" s="142">
        <f t="shared" si="321"/>
        <v>2.7843876148592819</v>
      </c>
      <c r="AM273" s="115"/>
      <c r="AN273" s="144">
        <f t="shared" ref="AN273:AU273" si="322">AE253</f>
        <v>0.5123025236286014</v>
      </c>
      <c r="AO273" s="144">
        <f t="shared" si="322"/>
        <v>0</v>
      </c>
      <c r="AP273" s="144">
        <f t="shared" si="322"/>
        <v>7.7764117579468763</v>
      </c>
      <c r="AQ273" s="144">
        <f t="shared" si="322"/>
        <v>4.9627394570272001</v>
      </c>
      <c r="AR273" s="144">
        <f t="shared" si="322"/>
        <v>6.6473102156313946</v>
      </c>
      <c r="AS273" s="144">
        <f t="shared" si="322"/>
        <v>5.9134078921107918</v>
      </c>
      <c r="AT273" s="144">
        <f t="shared" si="322"/>
        <v>2.9537501958595356</v>
      </c>
      <c r="AU273" s="144">
        <f t="shared" si="322"/>
        <v>3.7889668229098947</v>
      </c>
      <c r="AV273" s="115"/>
      <c r="AW273" s="144">
        <f t="shared" ref="AW273:BD273" si="323">AN253</f>
        <v>1.024605047257203</v>
      </c>
      <c r="AX273" s="144">
        <f t="shared" si="323"/>
        <v>0</v>
      </c>
      <c r="AY273" s="144">
        <f t="shared" si="323"/>
        <v>7.7764117579468763</v>
      </c>
      <c r="AZ273" s="144">
        <f t="shared" si="323"/>
        <v>4.9627394570272001</v>
      </c>
      <c r="BA273" s="144">
        <f t="shared" si="323"/>
        <v>9.0455932694881849</v>
      </c>
      <c r="BB273" s="144">
        <f t="shared" si="323"/>
        <v>4.3129536675036926</v>
      </c>
      <c r="BC273" s="144">
        <f t="shared" si="323"/>
        <v>2.1543225112406055</v>
      </c>
      <c r="BD273" s="144">
        <f t="shared" si="323"/>
        <v>5.1559881636082645</v>
      </c>
      <c r="BE273" s="17"/>
      <c r="BF273" s="142">
        <f t="shared" ref="BF273:BM273" si="324">AW253</f>
        <v>2.0492100945144056</v>
      </c>
      <c r="BG273" s="142">
        <f t="shared" si="324"/>
        <v>76.805092137987558</v>
      </c>
      <c r="BH273" s="142">
        <f t="shared" si="324"/>
        <v>7.7764117579468763</v>
      </c>
      <c r="BI273" s="142">
        <f t="shared" si="324"/>
        <v>4.9627394570272001</v>
      </c>
      <c r="BJ273" s="142">
        <f t="shared" si="324"/>
        <v>12.309152866764171</v>
      </c>
      <c r="BK273" s="142">
        <f t="shared" si="324"/>
        <v>2.1350715629215169</v>
      </c>
      <c r="BL273" s="142">
        <f t="shared" si="324"/>
        <v>1.0664693121486097</v>
      </c>
      <c r="BM273" s="142">
        <f t="shared" si="324"/>
        <v>7.0162171340555766</v>
      </c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>
        <f t="shared" si="307"/>
        <v>115</v>
      </c>
      <c r="CI273" s="113">
        <f t="shared" si="308"/>
        <v>158.03140455440482</v>
      </c>
      <c r="CJ273" s="124">
        <f t="shared" si="188"/>
        <v>4.0343823735752364</v>
      </c>
      <c r="CK273" s="124">
        <f t="shared" si="189"/>
        <v>76.805092137987558</v>
      </c>
      <c r="CL273" s="124">
        <f t="shared" si="190"/>
        <v>52.719093704938068</v>
      </c>
      <c r="CM273" s="124">
        <f t="shared" si="191"/>
        <v>30.530647623955165</v>
      </c>
      <c r="CN273" s="124">
        <f t="shared" si="192"/>
        <v>39.331181683239841</v>
      </c>
      <c r="CO273" s="124">
        <f t="shared" si="193"/>
        <v>37.065021571022967</v>
      </c>
      <c r="CP273" s="124">
        <f t="shared" si="194"/>
        <v>18.513996788722757</v>
      </c>
      <c r="CQ273" s="124">
        <f t="shared" si="195"/>
        <v>23.638805607476726</v>
      </c>
      <c r="CR273" s="144">
        <f t="shared" si="111"/>
        <v>282.63822149091834</v>
      </c>
    </row>
    <row r="274" spans="1:96" ht="14">
      <c r="A274">
        <f t="shared" si="314"/>
        <v>116</v>
      </c>
      <c r="B274" s="19">
        <f t="shared" si="314"/>
        <v>196</v>
      </c>
      <c r="C274" s="26">
        <f t="shared" si="105"/>
        <v>158.22543472413426</v>
      </c>
      <c r="D274" s="26"/>
      <c r="E274" s="26"/>
      <c r="F274" s="141">
        <f t="shared" ref="F274:G274" si="325">F273</f>
        <v>6.0606231572568161</v>
      </c>
      <c r="G274" s="141">
        <f t="shared" si="325"/>
        <v>0.7542108817919595</v>
      </c>
      <c r="H274" s="140">
        <f>(H$118)*('Product half-life and C flows'!L175/100)</f>
        <v>0.21319261870318051</v>
      </c>
      <c r="I274" s="140">
        <f>(($C$39*$C$118*0.28)*H$41)*('Product half-life and C flows'!N175/100)</f>
        <v>1.0729300516417946</v>
      </c>
      <c r="J274" s="140">
        <f>(($C$39*$C$118*0.28)*H$41)*(+'Product half-life and C flows'!P175/100)</f>
        <v>0.53592909672417277</v>
      </c>
      <c r="K274" s="141">
        <f t="shared" si="201"/>
        <v>1.3434381331919276</v>
      </c>
      <c r="L274" s="26"/>
      <c r="M274" s="142">
        <f>(C$158-C$138)*(0.4*D$14)*('Product half-life and C flows'!B135/100)</f>
        <v>6.1856452371593179E-2</v>
      </c>
      <c r="N274" s="85"/>
      <c r="O274" s="143">
        <f t="shared" ref="O274:O305" si="326">(C$158-C$138)*((0.4*B$14))-(C$158*0.03)</f>
        <v>7.7764117579468763</v>
      </c>
      <c r="P274" s="142">
        <f t="shared" ref="P274:P305" si="327">(C$158-C$138)*((0.6*B$15))</f>
        <v>4.9627394570272001</v>
      </c>
      <c r="Q274" s="142">
        <f>(C$158-C$138)*(0.6*C$15)*('Product half-life and C flows'!L135/100)</f>
        <v>2.5976645271583321</v>
      </c>
      <c r="R274" s="142">
        <f>(C$158-C$138)*0.6*('Product half-life and C flows'!N135/100)</f>
        <v>8.6158714482184813</v>
      </c>
      <c r="S274" s="142">
        <f>(C$158-C$138)*0.6*('Product half-life and C flows'!P135/100)</f>
        <v>4.3036320920172217</v>
      </c>
      <c r="T274" s="142">
        <f t="shared" si="108"/>
        <v>1.4806687804802492</v>
      </c>
      <c r="U274" s="3"/>
      <c r="V274" s="142">
        <f t="shared" si="165"/>
        <v>0.1237129047431863</v>
      </c>
      <c r="W274" s="142">
        <f t="shared" si="166"/>
        <v>0</v>
      </c>
      <c r="X274" s="142">
        <f t="shared" si="167"/>
        <v>7.7764117579468763</v>
      </c>
      <c r="Y274" s="142">
        <f t="shared" si="168"/>
        <v>4.9627394570272001</v>
      </c>
      <c r="Z274" s="142">
        <f t="shared" si="169"/>
        <v>3.5348759123647602</v>
      </c>
      <c r="AA274" s="142">
        <f t="shared" si="170"/>
        <v>7.990439050490723</v>
      </c>
      <c r="AB274" s="142">
        <f t="shared" si="171"/>
        <v>3.9912282969484125</v>
      </c>
      <c r="AC274" s="142">
        <f t="shared" si="172"/>
        <v>2.014879270047913</v>
      </c>
      <c r="AD274" s="115"/>
      <c r="AE274" s="142">
        <f t="shared" ref="AE274:AL274" si="328">V254</f>
        <v>0.24742580948637261</v>
      </c>
      <c r="AF274" s="142">
        <f t="shared" si="328"/>
        <v>0</v>
      </c>
      <c r="AG274" s="142">
        <f t="shared" si="328"/>
        <v>7.7764117579468763</v>
      </c>
      <c r="AH274" s="142">
        <f t="shared" si="328"/>
        <v>4.9627394570272001</v>
      </c>
      <c r="AI274" s="142">
        <f t="shared" si="328"/>
        <v>4.8102237934032424</v>
      </c>
      <c r="AJ274" s="142">
        <f t="shared" si="328"/>
        <v>7.1393568978777102</v>
      </c>
      <c r="AK274" s="142">
        <f t="shared" si="328"/>
        <v>3.5661123366022531</v>
      </c>
      <c r="AL274" s="142">
        <f t="shared" si="328"/>
        <v>2.7418275622398478</v>
      </c>
      <c r="AM274" s="115"/>
      <c r="AN274" s="144">
        <f t="shared" ref="AN274:AU274" si="329">AE254</f>
        <v>0.49485161897274532</v>
      </c>
      <c r="AO274" s="144">
        <f t="shared" si="329"/>
        <v>0</v>
      </c>
      <c r="AP274" s="144">
        <f t="shared" si="329"/>
        <v>7.7764117579468763</v>
      </c>
      <c r="AQ274" s="144">
        <f t="shared" si="329"/>
        <v>4.9627394570272001</v>
      </c>
      <c r="AR274" s="144">
        <f t="shared" si="329"/>
        <v>6.5457044366639909</v>
      </c>
      <c r="AS274" s="144">
        <f t="shared" si="329"/>
        <v>5.9812128152750397</v>
      </c>
      <c r="AT274" s="144">
        <f t="shared" si="329"/>
        <v>2.9876187888486698</v>
      </c>
      <c r="AU274" s="144">
        <f t="shared" si="329"/>
        <v>3.7310515288984747</v>
      </c>
      <c r="AV274" s="115"/>
      <c r="AW274" s="144">
        <f t="shared" ref="AW274:BD274" si="330">AN254</f>
        <v>0.98970323794549042</v>
      </c>
      <c r="AX274" s="144">
        <f t="shared" si="330"/>
        <v>0</v>
      </c>
      <c r="AY274" s="144">
        <f t="shared" si="330"/>
        <v>7.7764117579468763</v>
      </c>
      <c r="AZ274" s="144">
        <f t="shared" si="330"/>
        <v>4.9627394570272001</v>
      </c>
      <c r="BA274" s="144">
        <f t="shared" si="330"/>
        <v>8.9073291415094129</v>
      </c>
      <c r="BB274" s="144">
        <f t="shared" si="330"/>
        <v>4.4052219289081931</v>
      </c>
      <c r="BC274" s="144">
        <f t="shared" si="330"/>
        <v>2.2004105539001961</v>
      </c>
      <c r="BD274" s="144">
        <f t="shared" si="330"/>
        <v>5.0771776106603648</v>
      </c>
      <c r="BE274" s="17"/>
      <c r="BF274" s="142">
        <f t="shared" ref="BF274:BM274" si="331">AW254</f>
        <v>1.9794064758909808</v>
      </c>
      <c r="BG274" s="142">
        <f t="shared" si="331"/>
        <v>78.528265560566453</v>
      </c>
      <c r="BH274" s="142">
        <f t="shared" si="331"/>
        <v>7.7764117579468763</v>
      </c>
      <c r="BI274" s="142">
        <f t="shared" si="331"/>
        <v>4.9627394570272001</v>
      </c>
      <c r="BJ274" s="142">
        <f t="shared" si="331"/>
        <v>12.121004424027827</v>
      </c>
      <c r="BK274" s="142">
        <f t="shared" si="331"/>
        <v>2.2606292903742373</v>
      </c>
      <c r="BL274" s="142">
        <f t="shared" si="331"/>
        <v>1.1291854597273911</v>
      </c>
      <c r="BM274" s="142">
        <f t="shared" si="331"/>
        <v>6.9089725216958611</v>
      </c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>
        <f t="shared" si="307"/>
        <v>116</v>
      </c>
      <c r="CI274" s="113">
        <f t="shared" si="308"/>
        <v>158.22543472413426</v>
      </c>
      <c r="CJ274" s="124">
        <f t="shared" si="188"/>
        <v>3.8969564994103685</v>
      </c>
      <c r="CK274" s="124">
        <f t="shared" si="189"/>
        <v>78.528265560566453</v>
      </c>
      <c r="CL274" s="124">
        <f t="shared" si="190"/>
        <v>52.719093704938068</v>
      </c>
      <c r="CM274" s="124">
        <f t="shared" si="191"/>
        <v>30.530647623955165</v>
      </c>
      <c r="CN274" s="124">
        <f t="shared" si="192"/>
        <v>38.729994853830746</v>
      </c>
      <c r="CO274" s="124">
        <f t="shared" si="193"/>
        <v>37.465661482786182</v>
      </c>
      <c r="CP274" s="124">
        <f t="shared" si="194"/>
        <v>18.714116624768319</v>
      </c>
      <c r="CQ274" s="124">
        <f t="shared" si="195"/>
        <v>23.298015407214638</v>
      </c>
      <c r="CR274" s="144">
        <f t="shared" si="111"/>
        <v>283.88275175746992</v>
      </c>
    </row>
    <row r="275" spans="1:96" ht="14">
      <c r="A275">
        <f t="shared" si="314"/>
        <v>117</v>
      </c>
      <c r="B275" s="19">
        <f t="shared" si="314"/>
        <v>197</v>
      </c>
      <c r="C275" s="26">
        <f t="shared" si="105"/>
        <v>158.41577690901786</v>
      </c>
      <c r="D275" s="26"/>
      <c r="E275" s="26"/>
      <c r="F275" s="141">
        <f t="shared" ref="F275:G275" si="332">F274</f>
        <v>6.0606231572568161</v>
      </c>
      <c r="G275" s="141">
        <f t="shared" si="332"/>
        <v>0.7542108817919595</v>
      </c>
      <c r="H275" s="140">
        <f>(H$118)*('Product half-life and C flows'!L176/100)</f>
        <v>0.20993391685374679</v>
      </c>
      <c r="I275" s="140">
        <f>(($C$39*$C$118*0.28)*H$41)*('Product half-life and C flows'!N176/100)</f>
        <v>1.0745610319174361</v>
      </c>
      <c r="J275" s="140">
        <f>(($C$39*$C$118*0.28)*H$41)*(+'Product half-life and C flows'!P176/100)</f>
        <v>0.53674377218653124</v>
      </c>
      <c r="K275" s="141">
        <f t="shared" si="201"/>
        <v>1.3434381331919276</v>
      </c>
      <c r="L275" s="26"/>
      <c r="M275" s="142">
        <f>(C$158-C$138)*(0.4*D$14)*('Product half-life and C flows'!B136/100)</f>
        <v>5.9749394524131291E-2</v>
      </c>
      <c r="N275" s="85"/>
      <c r="O275" s="143">
        <f t="shared" si="326"/>
        <v>7.7764117579468763</v>
      </c>
      <c r="P275" s="142">
        <f t="shared" si="327"/>
        <v>4.9627394570272001</v>
      </c>
      <c r="Q275" s="142">
        <f>(C$158-C$138)*(0.6*C$15)*('Product half-life and C flows'!L136/100)</f>
        <v>2.5579585830672533</v>
      </c>
      <c r="R275" s="142">
        <f>(C$158-C$138)*0.6*('Product half-life and C flows'!N136/100)</f>
        <v>8.6423685482419277</v>
      </c>
      <c r="S275" s="142">
        <f>(C$158-C$138)*0.6*('Product half-life and C flows'!P136/100)</f>
        <v>4.3168674067142483</v>
      </c>
      <c r="T275" s="142">
        <f t="shared" si="108"/>
        <v>1.4580363923483344</v>
      </c>
      <c r="U275" s="3"/>
      <c r="V275" s="142">
        <f t="shared" si="165"/>
        <v>0.11949878904826254</v>
      </c>
      <c r="W275" s="142">
        <f t="shared" si="166"/>
        <v>0</v>
      </c>
      <c r="X275" s="142">
        <f t="shared" si="167"/>
        <v>7.7764117579468763</v>
      </c>
      <c r="Y275" s="142">
        <f t="shared" si="168"/>
        <v>4.9627394570272001</v>
      </c>
      <c r="Z275" s="142">
        <f t="shared" si="169"/>
        <v>3.4808444606981377</v>
      </c>
      <c r="AA275" s="142">
        <f t="shared" si="170"/>
        <v>8.0264960392362497</v>
      </c>
      <c r="AB275" s="142">
        <f t="shared" si="171"/>
        <v>4.0092387808372871</v>
      </c>
      <c r="AC275" s="142">
        <f t="shared" si="172"/>
        <v>1.9840813425979382</v>
      </c>
      <c r="AD275" s="115"/>
      <c r="AE275" s="142">
        <f t="shared" ref="AE275:AL275" si="333">V255</f>
        <v>0.23899757809652497</v>
      </c>
      <c r="AF275" s="142">
        <f t="shared" si="333"/>
        <v>0</v>
      </c>
      <c r="AG275" s="142">
        <f t="shared" si="333"/>
        <v>7.7764117579468763</v>
      </c>
      <c r="AH275" s="142">
        <f t="shared" si="333"/>
        <v>4.9627394570272001</v>
      </c>
      <c r="AI275" s="142">
        <f t="shared" si="333"/>
        <v>4.7366983342803968</v>
      </c>
      <c r="AJ275" s="142">
        <f t="shared" si="333"/>
        <v>7.1884228875990228</v>
      </c>
      <c r="AK275" s="142">
        <f t="shared" si="333"/>
        <v>3.5906208229765353</v>
      </c>
      <c r="AL275" s="142">
        <f t="shared" si="333"/>
        <v>2.6999180505398259</v>
      </c>
      <c r="AM275" s="115"/>
      <c r="AN275" s="144">
        <f t="shared" ref="AN275:AU275" si="334">AE255</f>
        <v>0.47799515619304994</v>
      </c>
      <c r="AO275" s="144">
        <f t="shared" si="334"/>
        <v>0</v>
      </c>
      <c r="AP275" s="144">
        <f t="shared" si="334"/>
        <v>7.7764117579468763</v>
      </c>
      <c r="AQ275" s="144">
        <f t="shared" si="334"/>
        <v>4.9627394570272001</v>
      </c>
      <c r="AR275" s="144">
        <f t="shared" si="334"/>
        <v>6.4456517271313922</v>
      </c>
      <c r="AS275" s="144">
        <f t="shared" si="334"/>
        <v>6.0479813234364608</v>
      </c>
      <c r="AT275" s="144">
        <f t="shared" si="334"/>
        <v>3.020969692026203</v>
      </c>
      <c r="AU275" s="144">
        <f t="shared" si="334"/>
        <v>3.6740214844648933</v>
      </c>
      <c r="AV275" s="115"/>
      <c r="AW275" s="144">
        <f t="shared" ref="AW275:BD275" si="335">AN255</f>
        <v>0.95599031238609988</v>
      </c>
      <c r="AX275" s="144">
        <f t="shared" si="335"/>
        <v>0</v>
      </c>
      <c r="AY275" s="144">
        <f t="shared" si="335"/>
        <v>7.7764117579468763</v>
      </c>
      <c r="AZ275" s="144">
        <f t="shared" si="335"/>
        <v>4.9627394570272001</v>
      </c>
      <c r="BA275" s="144">
        <f t="shared" si="335"/>
        <v>8.7711784148871015</v>
      </c>
      <c r="BB275" s="144">
        <f t="shared" si="335"/>
        <v>4.4960798471408161</v>
      </c>
      <c r="BC275" s="144">
        <f t="shared" si="335"/>
        <v>2.2457941294409669</v>
      </c>
      <c r="BD275" s="144">
        <f t="shared" si="335"/>
        <v>4.9995716964856474</v>
      </c>
      <c r="BE275" s="17"/>
      <c r="BF275" s="142">
        <f t="shared" ref="BF275:BM275" si="336">AW255</f>
        <v>1.9119806247721998</v>
      </c>
      <c r="BG275" s="142">
        <f t="shared" si="336"/>
        <v>80.251438983145349</v>
      </c>
      <c r="BH275" s="142">
        <f t="shared" si="336"/>
        <v>7.7764117579468763</v>
      </c>
      <c r="BI275" s="142">
        <f t="shared" si="336"/>
        <v>4.9627394570272001</v>
      </c>
      <c r="BJ275" s="142">
        <f t="shared" si="336"/>
        <v>11.935731876723709</v>
      </c>
      <c r="BK275" s="142">
        <f t="shared" si="336"/>
        <v>2.3842678369418517</v>
      </c>
      <c r="BL275" s="142">
        <f t="shared" si="336"/>
        <v>1.1909429754954304</v>
      </c>
      <c r="BM275" s="142">
        <f t="shared" si="336"/>
        <v>6.803367169732514</v>
      </c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>
        <f t="shared" si="307"/>
        <v>117</v>
      </c>
      <c r="CI275" s="113">
        <f t="shared" si="308"/>
        <v>158.41577690901786</v>
      </c>
      <c r="CJ275" s="124">
        <f t="shared" si="188"/>
        <v>3.7642118550202683</v>
      </c>
      <c r="CK275" s="124">
        <f t="shared" si="189"/>
        <v>80.251438983145349</v>
      </c>
      <c r="CL275" s="124">
        <f t="shared" si="190"/>
        <v>52.719093704938068</v>
      </c>
      <c r="CM275" s="124">
        <f t="shared" si="191"/>
        <v>30.530647623955165</v>
      </c>
      <c r="CN275" s="124">
        <f t="shared" si="192"/>
        <v>38.137997313641733</v>
      </c>
      <c r="CO275" s="124">
        <f t="shared" si="193"/>
        <v>37.860177514513772</v>
      </c>
      <c r="CP275" s="124">
        <f t="shared" si="194"/>
        <v>18.911177579677204</v>
      </c>
      <c r="CQ275" s="124">
        <f t="shared" si="195"/>
        <v>22.962434269361079</v>
      </c>
      <c r="CR275" s="144">
        <f t="shared" si="111"/>
        <v>285.13717884425267</v>
      </c>
    </row>
    <row r="276" spans="1:96" ht="14">
      <c r="A276">
        <f t="shared" si="314"/>
        <v>118</v>
      </c>
      <c r="B276" s="19">
        <f t="shared" si="314"/>
        <v>198</v>
      </c>
      <c r="C276" s="26">
        <f t="shared" si="105"/>
        <v>158.60249815422287</v>
      </c>
      <c r="D276" s="26"/>
      <c r="E276" s="26"/>
      <c r="F276" s="141">
        <f t="shared" ref="F276:G276" si="337">F275</f>
        <v>6.0606231572568161</v>
      </c>
      <c r="G276" s="141">
        <f t="shared" si="337"/>
        <v>0.7542108817919595</v>
      </c>
      <c r="H276" s="140">
        <f>(H$118)*('Product half-life and C flows'!L177/100)</f>
        <v>0.20672502506719473</v>
      </c>
      <c r="I276" s="140">
        <f>(($C$39*$C$118*0.28)*H$41)*('Product half-life and C flows'!N177/100)</f>
        <v>1.0761670822566054</v>
      </c>
      <c r="J276" s="140">
        <f>(($C$39*$C$118*0.28)*H$41)*(+'Product half-life and C flows'!P177/100)</f>
        <v>0.53754599513316925</v>
      </c>
      <c r="K276" s="141">
        <f t="shared" si="201"/>
        <v>1.3434381331919276</v>
      </c>
      <c r="L276" s="26"/>
      <c r="M276" s="142">
        <f>(C$158-C$138)*(0.4*D$14)*('Product half-life and C flows'!B137/100)</f>
        <v>5.7714110802121577E-2</v>
      </c>
      <c r="N276" s="85"/>
      <c r="O276" s="143">
        <f t="shared" si="326"/>
        <v>7.7764117579468763</v>
      </c>
      <c r="P276" s="142">
        <f t="shared" si="327"/>
        <v>4.9627394570272001</v>
      </c>
      <c r="Q276" s="142">
        <f>(C$158-C$138)*(0.6*C$15)*('Product half-life and C flows'!L137/100)</f>
        <v>2.5188595541415784</v>
      </c>
      <c r="R276" s="142">
        <f>(C$158-C$138)*0.6*('Product half-life and C flows'!N137/100)</f>
        <v>8.6684606335449956</v>
      </c>
      <c r="S276" s="142">
        <f>(C$158-C$138)*0.6*('Product half-life and C flows'!P137/100)</f>
        <v>4.3299004163561392</v>
      </c>
      <c r="T276" s="142">
        <f t="shared" si="108"/>
        <v>1.4357499458606995</v>
      </c>
      <c r="U276" s="3"/>
      <c r="V276" s="142">
        <f t="shared" si="165"/>
        <v>0.11542822160424319</v>
      </c>
      <c r="W276" s="142">
        <f t="shared" si="166"/>
        <v>0</v>
      </c>
      <c r="X276" s="142">
        <f t="shared" si="167"/>
        <v>7.7764117579468763</v>
      </c>
      <c r="Y276" s="142">
        <f t="shared" si="168"/>
        <v>4.9627394570272001</v>
      </c>
      <c r="Z276" s="142">
        <f t="shared" si="169"/>
        <v>3.4276388931195498</v>
      </c>
      <c r="AA276" s="142">
        <f t="shared" si="170"/>
        <v>8.0620018880003617</v>
      </c>
      <c r="AB276" s="142">
        <f t="shared" si="171"/>
        <v>4.0269739700301503</v>
      </c>
      <c r="AC276" s="142">
        <f t="shared" si="172"/>
        <v>1.9537541690781433</v>
      </c>
      <c r="AD276" s="115"/>
      <c r="AE276" s="142">
        <f t="shared" ref="AE276:AL276" si="338">V256</f>
        <v>0.23085644320848644</v>
      </c>
      <c r="AF276" s="142">
        <f t="shared" si="338"/>
        <v>0</v>
      </c>
      <c r="AG276" s="142">
        <f t="shared" si="338"/>
        <v>7.7764117579468763</v>
      </c>
      <c r="AH276" s="142">
        <f t="shared" si="338"/>
        <v>4.9627394570272001</v>
      </c>
      <c r="AI276" s="142">
        <f t="shared" si="338"/>
        <v>4.6642967299658524</v>
      </c>
      <c r="AJ276" s="142">
        <f t="shared" si="338"/>
        <v>7.2367388915449284</v>
      </c>
      <c r="AK276" s="142">
        <f t="shared" si="338"/>
        <v>3.6147546910813833</v>
      </c>
      <c r="AL276" s="142">
        <f t="shared" si="338"/>
        <v>2.6586491360805358</v>
      </c>
      <c r="AM276" s="115"/>
      <c r="AN276" s="144">
        <f t="shared" ref="AN276:AU276" si="339">AE256</f>
        <v>0.46171288641697289</v>
      </c>
      <c r="AO276" s="144">
        <f t="shared" si="339"/>
        <v>0</v>
      </c>
      <c r="AP276" s="144">
        <f t="shared" si="339"/>
        <v>7.7764117579468763</v>
      </c>
      <c r="AQ276" s="144">
        <f t="shared" si="339"/>
        <v>4.9627394570272001</v>
      </c>
      <c r="AR276" s="144">
        <f t="shared" si="339"/>
        <v>6.3471283479835785</v>
      </c>
      <c r="AS276" s="144">
        <f t="shared" si="339"/>
        <v>6.1137292584544349</v>
      </c>
      <c r="AT276" s="144">
        <f t="shared" si="339"/>
        <v>3.0538108184088073</v>
      </c>
      <c r="AU276" s="144">
        <f t="shared" si="339"/>
        <v>3.6178631583506395</v>
      </c>
      <c r="AV276" s="115"/>
      <c r="AW276" s="144">
        <f t="shared" ref="AW276:BD276" si="340">AN256</f>
        <v>0.92342577283394556</v>
      </c>
      <c r="AX276" s="144">
        <f t="shared" si="340"/>
        <v>0</v>
      </c>
      <c r="AY276" s="144">
        <f t="shared" si="340"/>
        <v>7.7764117579468763</v>
      </c>
      <c r="AZ276" s="144">
        <f t="shared" si="340"/>
        <v>4.9627394570272001</v>
      </c>
      <c r="BA276" s="144">
        <f t="shared" si="340"/>
        <v>8.6371087857593665</v>
      </c>
      <c r="BB276" s="144">
        <f t="shared" si="340"/>
        <v>4.5855489796453908</v>
      </c>
      <c r="BC276" s="144">
        <f t="shared" si="340"/>
        <v>2.2904840058168778</v>
      </c>
      <c r="BD276" s="144">
        <f t="shared" si="340"/>
        <v>4.9231520078828384</v>
      </c>
      <c r="BE276" s="17"/>
      <c r="BF276" s="142">
        <f t="shared" ref="BF276:BM276" si="341">AW256</f>
        <v>1.8468515456678911</v>
      </c>
      <c r="BG276" s="142">
        <f t="shared" si="341"/>
        <v>81.974612405724244</v>
      </c>
      <c r="BH276" s="142">
        <f t="shared" si="341"/>
        <v>7.7764117579468763</v>
      </c>
      <c r="BI276" s="142">
        <f t="shared" si="341"/>
        <v>4.9627394570272001</v>
      </c>
      <c r="BJ276" s="142">
        <f t="shared" si="341"/>
        <v>11.753291266079604</v>
      </c>
      <c r="BK276" s="142">
        <f t="shared" si="341"/>
        <v>2.5060165377783514</v>
      </c>
      <c r="BL276" s="142">
        <f t="shared" si="341"/>
        <v>1.2517565123767991</v>
      </c>
      <c r="BM276" s="142">
        <f t="shared" si="341"/>
        <v>6.6993760216653735</v>
      </c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>
        <f t="shared" si="307"/>
        <v>118</v>
      </c>
      <c r="CI276" s="113">
        <f t="shared" si="308"/>
        <v>158.60249815422287</v>
      </c>
      <c r="CJ276" s="124">
        <f t="shared" si="188"/>
        <v>3.6359889805336607</v>
      </c>
      <c r="CK276" s="124">
        <f t="shared" si="189"/>
        <v>81.974612405724244</v>
      </c>
      <c r="CL276" s="124">
        <f t="shared" si="190"/>
        <v>52.719093704938068</v>
      </c>
      <c r="CM276" s="124">
        <f t="shared" si="191"/>
        <v>30.530647623955165</v>
      </c>
      <c r="CN276" s="124">
        <f t="shared" si="192"/>
        <v>37.555048602116727</v>
      </c>
      <c r="CO276" s="124">
        <f t="shared" si="193"/>
        <v>38.248663271225062</v>
      </c>
      <c r="CP276" s="124">
        <f t="shared" si="194"/>
        <v>19.105226409203325</v>
      </c>
      <c r="CQ276" s="124">
        <f t="shared" si="195"/>
        <v>22.631982572110157</v>
      </c>
      <c r="CR276" s="144">
        <f t="shared" si="111"/>
        <v>286.40126356980642</v>
      </c>
    </row>
    <row r="277" spans="1:96" ht="14">
      <c r="A277">
        <f t="shared" si="314"/>
        <v>119</v>
      </c>
      <c r="B277" s="19">
        <f t="shared" si="314"/>
        <v>199</v>
      </c>
      <c r="C277" s="26">
        <f t="shared" si="105"/>
        <v>158.78566440842806</v>
      </c>
      <c r="D277" s="26"/>
      <c r="E277" s="26"/>
      <c r="F277" s="141">
        <f t="shared" ref="F277:G277" si="342">F276</f>
        <v>6.0606231572568161</v>
      </c>
      <c r="G277" s="141">
        <f t="shared" si="342"/>
        <v>0.7542108817919595</v>
      </c>
      <c r="H277" s="140">
        <f>(H$118)*('Product half-life and C flows'!L178/100)</f>
        <v>0.20356518198440673</v>
      </c>
      <c r="I277" s="140">
        <f>(($C$39*$C$118*0.28)*H$41)*('Product half-life and C flows'!N178/100)</f>
        <v>1.0777485837195409</v>
      </c>
      <c r="J277" s="140">
        <f>(($C$39*$C$118*0.28)*H$41)*(+'Product half-life and C flows'!P178/100)</f>
        <v>0.53833595590386629</v>
      </c>
      <c r="K277" s="141">
        <f t="shared" si="201"/>
        <v>1.3434381331919276</v>
      </c>
      <c r="L277" s="26"/>
      <c r="M277" s="142">
        <f>(C$158-C$138)*(0.4*D$14)*('Product half-life and C flows'!B138/100)</f>
        <v>5.5748156315363104E-2</v>
      </c>
      <c r="N277" s="85"/>
      <c r="O277" s="143">
        <f t="shared" si="326"/>
        <v>7.7764117579468763</v>
      </c>
      <c r="P277" s="142">
        <f t="shared" si="327"/>
        <v>4.9627394570272001</v>
      </c>
      <c r="Q277" s="142">
        <f>(C$158-C$138)*(0.6*C$15)*('Product half-life and C flows'!L138/100)</f>
        <v>2.4803581635330563</v>
      </c>
      <c r="R277" s="142">
        <f>(C$158-C$138)*0.6*('Product half-life and C flows'!N138/100)</f>
        <v>8.6941538948777488</v>
      </c>
      <c r="S277" s="142">
        <f>(C$158-C$138)*0.6*('Product half-life and C flows'!P138/100)</f>
        <v>4.342734213225647</v>
      </c>
      <c r="T277" s="142">
        <f t="shared" si="108"/>
        <v>1.4138041532138419</v>
      </c>
      <c r="U277" s="3"/>
      <c r="V277" s="142">
        <f t="shared" si="165"/>
        <v>0.11149631263072624</v>
      </c>
      <c r="W277" s="142">
        <f t="shared" si="166"/>
        <v>0</v>
      </c>
      <c r="X277" s="142">
        <f t="shared" si="167"/>
        <v>7.7764117579468763</v>
      </c>
      <c r="Y277" s="142">
        <f t="shared" si="168"/>
        <v>4.9627394570272001</v>
      </c>
      <c r="Z277" s="142">
        <f t="shared" si="169"/>
        <v>3.3752465857866643</v>
      </c>
      <c r="AA277" s="142">
        <f t="shared" si="170"/>
        <v>8.0969650210938404</v>
      </c>
      <c r="AB277" s="142">
        <f t="shared" si="171"/>
        <v>4.0444380724744446</v>
      </c>
      <c r="AC277" s="142">
        <f t="shared" si="172"/>
        <v>1.9238905538983984</v>
      </c>
      <c r="AD277" s="115"/>
      <c r="AE277" s="142">
        <f t="shared" ref="AE277:AL277" si="343">V257</f>
        <v>0.22299262526145247</v>
      </c>
      <c r="AF277" s="142">
        <f t="shared" si="343"/>
        <v>0</v>
      </c>
      <c r="AG277" s="142">
        <f t="shared" si="343"/>
        <v>7.7764117579468763</v>
      </c>
      <c r="AH277" s="142">
        <f t="shared" si="343"/>
        <v>4.9627394570272001</v>
      </c>
      <c r="AI277" s="142">
        <f t="shared" si="343"/>
        <v>4.5930018020612007</v>
      </c>
      <c r="AJ277" s="142">
        <f t="shared" si="343"/>
        <v>7.284316373433299</v>
      </c>
      <c r="AK277" s="142">
        <f t="shared" si="343"/>
        <v>3.6385196670496005</v>
      </c>
      <c r="AL277" s="142">
        <f t="shared" si="343"/>
        <v>2.6180110271748842</v>
      </c>
      <c r="AM277" s="115"/>
      <c r="AN277" s="144">
        <f t="shared" ref="AN277:AU277" si="344">AE257</f>
        <v>0.44598525052290477</v>
      </c>
      <c r="AO277" s="144">
        <f t="shared" si="344"/>
        <v>0</v>
      </c>
      <c r="AP277" s="144">
        <f t="shared" si="344"/>
        <v>7.7764117579468763</v>
      </c>
      <c r="AQ277" s="144">
        <f t="shared" si="344"/>
        <v>4.9627394570272001</v>
      </c>
      <c r="AR277" s="144">
        <f t="shared" si="344"/>
        <v>6.2501109230277745</v>
      </c>
      <c r="AS277" s="144">
        <f t="shared" si="344"/>
        <v>6.1784722200416082</v>
      </c>
      <c r="AT277" s="144">
        <f t="shared" si="344"/>
        <v>3.0861499600607418</v>
      </c>
      <c r="AU277" s="144">
        <f t="shared" si="344"/>
        <v>3.5625632261258313</v>
      </c>
      <c r="AV277" s="115"/>
      <c r="AW277" s="144">
        <f t="shared" ref="AW277:BD277" si="345">AN257</f>
        <v>0.89197050104580988</v>
      </c>
      <c r="AX277" s="144">
        <f t="shared" si="345"/>
        <v>0</v>
      </c>
      <c r="AY277" s="144">
        <f t="shared" si="345"/>
        <v>7.7764117579468763</v>
      </c>
      <c r="AZ277" s="144">
        <f t="shared" si="345"/>
        <v>4.9627394570272001</v>
      </c>
      <c r="BA277" s="144">
        <f t="shared" si="345"/>
        <v>8.5050884440368399</v>
      </c>
      <c r="BB277" s="144">
        <f t="shared" si="345"/>
        <v>4.6736505543548903</v>
      </c>
      <c r="BC277" s="144">
        <f t="shared" si="345"/>
        <v>2.3344907863910538</v>
      </c>
      <c r="BD277" s="144">
        <f t="shared" si="345"/>
        <v>4.847900413100998</v>
      </c>
      <c r="BE277" s="17"/>
      <c r="BF277" s="142">
        <f t="shared" ref="BF277:BM277" si="346">AW257</f>
        <v>1.7839410020916198</v>
      </c>
      <c r="BG277" s="142">
        <f t="shared" si="346"/>
        <v>83.69778582830314</v>
      </c>
      <c r="BH277" s="142">
        <f t="shared" si="346"/>
        <v>7.7764117579468763</v>
      </c>
      <c r="BI277" s="142">
        <f t="shared" si="346"/>
        <v>4.9627394570272001</v>
      </c>
      <c r="BJ277" s="142">
        <f t="shared" si="346"/>
        <v>11.573639305243985</v>
      </c>
      <c r="BK277" s="142">
        <f t="shared" si="346"/>
        <v>2.6259042796426555</v>
      </c>
      <c r="BL277" s="142">
        <f t="shared" si="346"/>
        <v>1.3116404993220057</v>
      </c>
      <c r="BM277" s="142">
        <f t="shared" si="346"/>
        <v>6.596974403989071</v>
      </c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>
        <f t="shared" si="307"/>
        <v>119</v>
      </c>
      <c r="CI277" s="113">
        <f t="shared" si="308"/>
        <v>158.78566440842806</v>
      </c>
      <c r="CJ277" s="124">
        <f t="shared" si="188"/>
        <v>3.5121338478678763</v>
      </c>
      <c r="CK277" s="124">
        <f t="shared" si="189"/>
        <v>83.69778582830314</v>
      </c>
      <c r="CL277" s="124">
        <f t="shared" si="190"/>
        <v>52.719093704938068</v>
      </c>
      <c r="CM277" s="124">
        <f t="shared" si="191"/>
        <v>30.530647623955165</v>
      </c>
      <c r="CN277" s="124">
        <f t="shared" si="192"/>
        <v>36.981010405673928</v>
      </c>
      <c r="CO277" s="124">
        <f t="shared" si="193"/>
        <v>38.631210927163586</v>
      </c>
      <c r="CP277" s="124">
        <f t="shared" si="194"/>
        <v>19.296309154427359</v>
      </c>
      <c r="CQ277" s="124">
        <f t="shared" si="195"/>
        <v>22.306581910694952</v>
      </c>
      <c r="CR277" s="144">
        <f t="shared" si="111"/>
        <v>287.67477340302406</v>
      </c>
    </row>
    <row r="278" spans="1:96" s="137" customFormat="1" ht="14">
      <c r="A278" s="137">
        <f t="shared" si="314"/>
        <v>120</v>
      </c>
      <c r="B278" s="145">
        <f t="shared" si="314"/>
        <v>200</v>
      </c>
      <c r="C278" s="139">
        <f t="shared" si="105"/>
        <v>158.96534053667563</v>
      </c>
      <c r="D278" s="139"/>
      <c r="E278" s="139"/>
      <c r="F278" s="141">
        <f t="shared" ref="F278:G278" si="347">F277</f>
        <v>6.0606231572568161</v>
      </c>
      <c r="G278" s="141">
        <f t="shared" si="347"/>
        <v>0.7542108817919595</v>
      </c>
      <c r="H278" s="140">
        <f>(H$118)*('Product half-life and C flows'!L179/100)</f>
        <v>0.20045363788382764</v>
      </c>
      <c r="I278" s="140">
        <f>(($C$39*$C$118*0.28)*H$41)*('Product half-life and C flows'!N179/100)</f>
        <v>1.0793059115418806</v>
      </c>
      <c r="J278" s="140">
        <f>(($C$39*$C$118*0.28)*H$41)*(+'Product half-life and C flows'!P179/100)</f>
        <v>0.53911384192901102</v>
      </c>
      <c r="K278" s="141">
        <f t="shared" si="201"/>
        <v>1.3434381331919276</v>
      </c>
      <c r="L278" s="139"/>
      <c r="M278" s="142">
        <f>(C$158-C$138)*(0.4*D$14)*('Product half-life and C flows'!B139/100)</f>
        <v>5.384916945559029E-2</v>
      </c>
      <c r="N278" s="146"/>
      <c r="O278" s="143">
        <f t="shared" si="326"/>
        <v>7.7764117579468763</v>
      </c>
      <c r="P278" s="142">
        <f t="shared" si="327"/>
        <v>4.9627394570272001</v>
      </c>
      <c r="Q278" s="142">
        <f>(C$158-C$138)*(0.6*C$15)*('Product half-life and C flows'!L139/100)</f>
        <v>2.4424452761923532</v>
      </c>
      <c r="R278" s="142">
        <f>(C$158-C$138)*0.6*('Product half-life and C flows'!N139/100)</f>
        <v>8.719454428363111</v>
      </c>
      <c r="S278" s="142">
        <f>(C$158-C$138)*0.6*('Product half-life and C flows'!P139/100)</f>
        <v>4.3553718423392143</v>
      </c>
      <c r="T278" s="142">
        <f t="shared" si="108"/>
        <v>1.3921938074296412</v>
      </c>
      <c r="U278" s="144"/>
      <c r="V278" s="142">
        <f t="shared" si="165"/>
        <v>0.10769833891118058</v>
      </c>
      <c r="W278" s="142">
        <f t="shared" si="166"/>
        <v>0</v>
      </c>
      <c r="X278" s="142">
        <f t="shared" si="167"/>
        <v>7.7764117579468763</v>
      </c>
      <c r="Y278" s="142">
        <f t="shared" si="168"/>
        <v>4.9627394570272001</v>
      </c>
      <c r="Z278" s="142">
        <f t="shared" si="169"/>
        <v>3.3236551078156982</v>
      </c>
      <c r="AA278" s="142">
        <f t="shared" si="170"/>
        <v>8.131393734059797</v>
      </c>
      <c r="AB278" s="142">
        <f t="shared" si="171"/>
        <v>4.0616352317981006</v>
      </c>
      <c r="AC278" s="142">
        <f t="shared" si="172"/>
        <v>1.8944834114549478</v>
      </c>
      <c r="AD278" s="144"/>
      <c r="AE278" s="142">
        <f t="shared" ref="AE278:AL278" si="348">V258</f>
        <v>0.21539667782236116</v>
      </c>
      <c r="AF278" s="142">
        <f t="shared" si="348"/>
        <v>0</v>
      </c>
      <c r="AG278" s="142">
        <f t="shared" si="348"/>
        <v>7.7764117579468763</v>
      </c>
      <c r="AH278" s="142">
        <f t="shared" si="348"/>
        <v>4.9627394570272001</v>
      </c>
      <c r="AI278" s="142">
        <f t="shared" si="348"/>
        <v>4.5227966347440924</v>
      </c>
      <c r="AJ278" s="142">
        <f t="shared" si="348"/>
        <v>7.3311666217562506</v>
      </c>
      <c r="AK278" s="142">
        <f t="shared" si="348"/>
        <v>3.6619213894886364</v>
      </c>
      <c r="AL278" s="142">
        <f t="shared" si="348"/>
        <v>2.5779940818041323</v>
      </c>
      <c r="AM278" s="144"/>
      <c r="AN278" s="144">
        <f t="shared" ref="AN278:AU278" si="349">AE258</f>
        <v>0.43079335564472232</v>
      </c>
      <c r="AO278" s="144">
        <f t="shared" si="349"/>
        <v>0</v>
      </c>
      <c r="AP278" s="144">
        <f t="shared" si="349"/>
        <v>7.7764117579468763</v>
      </c>
      <c r="AQ278" s="144">
        <f t="shared" si="349"/>
        <v>4.9627394570272001</v>
      </c>
      <c r="AR278" s="144">
        <f t="shared" si="349"/>
        <v>6.1545764333820854</v>
      </c>
      <c r="AS278" s="144">
        <f t="shared" si="349"/>
        <v>6.2422255694651652</v>
      </c>
      <c r="AT278" s="144">
        <f t="shared" si="349"/>
        <v>3.1179947899426383</v>
      </c>
      <c r="AU278" s="144">
        <f t="shared" si="349"/>
        <v>3.5081085670277883</v>
      </c>
      <c r="AV278" s="144"/>
      <c r="AW278" s="144">
        <f t="shared" ref="AW278:BD278" si="350">AN258</f>
        <v>0.86158671128944464</v>
      </c>
      <c r="AX278" s="144">
        <f t="shared" si="350"/>
        <v>0</v>
      </c>
      <c r="AY278" s="144">
        <f t="shared" si="350"/>
        <v>7.7764117579468763</v>
      </c>
      <c r="AZ278" s="144">
        <f t="shared" si="350"/>
        <v>4.9627394570272001</v>
      </c>
      <c r="BA278" s="144">
        <f t="shared" si="350"/>
        <v>8.3750860658552231</v>
      </c>
      <c r="BB278" s="144">
        <f t="shared" si="350"/>
        <v>4.7604054747280893</v>
      </c>
      <c r="BC278" s="144">
        <f t="shared" si="350"/>
        <v>2.3778249124515924</v>
      </c>
      <c r="BD278" s="144">
        <f t="shared" si="350"/>
        <v>4.7737990575374765</v>
      </c>
      <c r="BE278" s="142"/>
      <c r="BF278" s="142">
        <f t="shared" ref="BF278:BM278" si="351">AW258</f>
        <v>1.7231734225788893</v>
      </c>
      <c r="BG278" s="142">
        <f t="shared" si="351"/>
        <v>0</v>
      </c>
      <c r="BH278" s="142">
        <f t="shared" si="351"/>
        <v>7.7764117579468763</v>
      </c>
      <c r="BI278" s="142">
        <f t="shared" si="351"/>
        <v>4.9627394570272001</v>
      </c>
      <c r="BJ278" s="142">
        <f t="shared" si="351"/>
        <v>11.396733369015552</v>
      </c>
      <c r="BK278" s="142">
        <f t="shared" si="351"/>
        <v>2.7439595077524288</v>
      </c>
      <c r="BL278" s="142">
        <f t="shared" si="351"/>
        <v>1.370609144731483</v>
      </c>
      <c r="BM278" s="142">
        <f t="shared" si="351"/>
        <v>6.4961380203388641</v>
      </c>
      <c r="BN278" s="142"/>
      <c r="BO278" s="142">
        <f>BF258</f>
        <v>3.4463468451577786</v>
      </c>
      <c r="BP278" s="142">
        <f t="shared" ref="BP278:BV278" si="352">BG258</f>
        <v>50.957490799304182</v>
      </c>
      <c r="BQ278" s="142">
        <f t="shared" si="352"/>
        <v>7.7764117579468763</v>
      </c>
      <c r="BR278" s="142">
        <f t="shared" si="352"/>
        <v>4.9627394570272001</v>
      </c>
      <c r="BS278" s="142">
        <f t="shared" si="352"/>
        <v>15.508560803210001</v>
      </c>
      <c r="BT278" s="142">
        <f t="shared" si="352"/>
        <v>0</v>
      </c>
      <c r="BU278" s="142">
        <f t="shared" si="352"/>
        <v>0</v>
      </c>
      <c r="BV278" s="142">
        <f t="shared" si="352"/>
        <v>8.8398796578296999</v>
      </c>
      <c r="BW278" s="142"/>
      <c r="BX278" s="142"/>
      <c r="BY278" s="142"/>
      <c r="BZ278" s="142"/>
      <c r="CA278" s="142"/>
      <c r="CB278" s="142"/>
      <c r="CC278" s="142"/>
      <c r="CD278" s="142"/>
      <c r="CE278" s="142"/>
      <c r="CF278" s="142"/>
      <c r="CG278" s="142"/>
      <c r="CH278" s="137">
        <f t="shared" si="307"/>
        <v>120</v>
      </c>
      <c r="CI278" s="144">
        <f t="shared" si="308"/>
        <v>158.96534053667563</v>
      </c>
      <c r="CJ278" s="124">
        <f t="shared" ref="CJ278:CJ309" si="353">D278+M278+V278+AE278+AN278+AW278+BF278+BO278+BX278</f>
        <v>6.8388445208599666</v>
      </c>
      <c r="CK278" s="124">
        <f t="shared" ref="CK278:CK309" si="354">E278+N278+W278+AF278+AO278+AX278+BG278+BP278+BY278</f>
        <v>50.957490799304182</v>
      </c>
      <c r="CL278" s="124">
        <f t="shared" ref="CL278:CL309" si="355">F278+O278+X278+AG278+AP278+AY278+BH278+BQ278+BZ278</f>
        <v>60.495505462884942</v>
      </c>
      <c r="CM278" s="124">
        <f t="shared" ref="CM278:CM309" si="356">G278+P278+Y278+AH278+AQ278+AZ278+BI278+BR278+CA278</f>
        <v>35.493387080982366</v>
      </c>
      <c r="CN278" s="124">
        <f t="shared" ref="CN278:CN309" si="357">H278+Q278+Z278+AI278+AR278+BA278+BJ278+BS278+CB278</f>
        <v>51.924307328098834</v>
      </c>
      <c r="CO278" s="124">
        <f t="shared" ref="CO278:CO309" si="358">I278+R278+AA278+AJ278+AS278+BB278+BK278+BT278+CC278</f>
        <v>39.007911247666719</v>
      </c>
      <c r="CP278" s="124">
        <f t="shared" ref="CP278:CP309" si="359">J278+S278+AB278+AK278+AT278+BC278+BL278+BU278+CD278</f>
        <v>19.484471152680676</v>
      </c>
      <c r="CQ278" s="124">
        <f t="shared" ref="CQ278:CQ309" si="360">K278+T278+AC278+AL278+AU278+BD278+BM278+BV278+CE278</f>
        <v>30.826034736614481</v>
      </c>
      <c r="CR278" s="144">
        <f t="shared" si="111"/>
        <v>295.02795232909216</v>
      </c>
    </row>
    <row r="279" spans="1:96" ht="14">
      <c r="A279">
        <f t="shared" si="314"/>
        <v>121</v>
      </c>
      <c r="B279" s="19">
        <f t="shared" si="314"/>
        <v>201</v>
      </c>
      <c r="C279" s="26">
        <f t="shared" si="105"/>
        <v>159.14159033330424</v>
      </c>
      <c r="D279" s="26"/>
      <c r="E279" s="26"/>
      <c r="F279" s="141">
        <f t="shared" ref="F279:G279" si="361">F278</f>
        <v>6.0606231572568161</v>
      </c>
      <c r="G279" s="141">
        <f t="shared" si="361"/>
        <v>0.7542108817919595</v>
      </c>
      <c r="H279" s="140">
        <f>(H$118)*('Product half-life and C flows'!L180/100)</f>
        <v>0</v>
      </c>
      <c r="I279" s="140">
        <f>(($C$39*$C$118*0.28)*H$41)*('Product half-life and C flows'!N180/100)</f>
        <v>0</v>
      </c>
      <c r="J279" s="140">
        <f>(($C$39*$C$118*0.28)*H$41)*(+'Product half-life and C flows'!P180/100)</f>
        <v>0</v>
      </c>
      <c r="K279" s="141">
        <f t="shared" si="201"/>
        <v>1.3434381331919276</v>
      </c>
      <c r="L279" s="26"/>
      <c r="M279" s="142">
        <f>(C$158-C$138)*(0.4*D$14)*('Product half-life and C flows'!B140/100)</f>
        <v>5.2014869059584808E-2</v>
      </c>
      <c r="N279" s="85"/>
      <c r="O279" s="143">
        <f t="shared" si="326"/>
        <v>7.7764117579468763</v>
      </c>
      <c r="P279" s="142">
        <f t="shared" si="327"/>
        <v>4.9627394570272001</v>
      </c>
      <c r="Q279" s="142">
        <f>(C$158-C$138)*(0.6*C$15)*('Product half-life and C flows'!L140/100)</f>
        <v>2.4051118967016212</v>
      </c>
      <c r="R279" s="142">
        <f>(C$158-C$138)*0.6*('Product half-life and C flows'!N140/100)</f>
        <v>8.7443682369432594</v>
      </c>
      <c r="S279" s="142">
        <f>(C$158-C$138)*0.6*('Product half-life and C flows'!P140/100)</f>
        <v>4.3678163021694578</v>
      </c>
      <c r="T279" s="142">
        <f t="shared" si="108"/>
        <v>1.3709137811199239</v>
      </c>
      <c r="U279" s="3"/>
      <c r="V279" s="142">
        <f t="shared" si="165"/>
        <v>0.10402973811916966</v>
      </c>
      <c r="W279" s="142">
        <f t="shared" si="166"/>
        <v>0</v>
      </c>
      <c r="X279" s="142">
        <f t="shared" si="167"/>
        <v>7.7764117579468763</v>
      </c>
      <c r="Y279" s="142">
        <f t="shared" si="168"/>
        <v>4.9627394570272001</v>
      </c>
      <c r="Z279" s="142">
        <f t="shared" si="169"/>
        <v>3.2728522183319959</v>
      </c>
      <c r="AA279" s="142">
        <f t="shared" si="170"/>
        <v>8.1652961956419219</v>
      </c>
      <c r="AB279" s="142">
        <f t="shared" si="171"/>
        <v>4.0785695282926682</v>
      </c>
      <c r="AC279" s="142">
        <f t="shared" si="172"/>
        <v>1.8655257644492376</v>
      </c>
      <c r="AD279" s="115"/>
      <c r="AE279" s="142">
        <f t="shared" ref="AE279:AL279" si="362">V259</f>
        <v>0.20805947623833926</v>
      </c>
      <c r="AF279" s="142">
        <f t="shared" si="362"/>
        <v>0</v>
      </c>
      <c r="AG279" s="142">
        <f t="shared" si="362"/>
        <v>7.7764117579468763</v>
      </c>
      <c r="AH279" s="142">
        <f t="shared" si="362"/>
        <v>4.9627394570272001</v>
      </c>
      <c r="AI279" s="142">
        <f t="shared" si="362"/>
        <v>4.4536645707547065</v>
      </c>
      <c r="AJ279" s="142">
        <f t="shared" si="362"/>
        <v>7.377300752458499</v>
      </c>
      <c r="AK279" s="142">
        <f t="shared" si="362"/>
        <v>3.6849654108184318</v>
      </c>
      <c r="AL279" s="142">
        <f t="shared" si="362"/>
        <v>2.5385888053301824</v>
      </c>
      <c r="AM279" s="115"/>
      <c r="AN279" s="144">
        <f t="shared" ref="AN279:AU279" si="363">AE259</f>
        <v>0.41611895247667857</v>
      </c>
      <c r="AO279" s="144">
        <f t="shared" si="363"/>
        <v>0</v>
      </c>
      <c r="AP279" s="144">
        <f t="shared" si="363"/>
        <v>7.7764117579468763</v>
      </c>
      <c r="AQ279" s="144">
        <f t="shared" si="363"/>
        <v>4.9627394570272001</v>
      </c>
      <c r="AR279" s="144">
        <f t="shared" si="363"/>
        <v>6.0605022120139136</v>
      </c>
      <c r="AS279" s="144">
        <f t="shared" si="363"/>
        <v>6.3050044331915256</v>
      </c>
      <c r="AT279" s="144">
        <f t="shared" si="363"/>
        <v>3.1493528637320294</v>
      </c>
      <c r="AU279" s="144">
        <f t="shared" si="363"/>
        <v>3.4544862608479305</v>
      </c>
      <c r="AV279" s="115"/>
      <c r="AW279" s="144">
        <f t="shared" ref="AW279:BD279" si="364">AN259</f>
        <v>0.83223790495335714</v>
      </c>
      <c r="AX279" s="144">
        <f t="shared" si="364"/>
        <v>0</v>
      </c>
      <c r="AY279" s="144">
        <f t="shared" si="364"/>
        <v>7.7764117579468763</v>
      </c>
      <c r="AZ279" s="144">
        <f t="shared" si="364"/>
        <v>4.9627394570272001</v>
      </c>
      <c r="BA279" s="144">
        <f t="shared" si="364"/>
        <v>8.2470708061432259</v>
      </c>
      <c r="BB279" s="144">
        <f t="shared" si="364"/>
        <v>4.8458343247092301</v>
      </c>
      <c r="BC279" s="144">
        <f t="shared" si="364"/>
        <v>2.4204966656889253</v>
      </c>
      <c r="BD279" s="144">
        <f t="shared" si="364"/>
        <v>4.7008303595016381</v>
      </c>
      <c r="BE279" s="17"/>
      <c r="BF279" s="142">
        <f t="shared" ref="BF279:BM279" si="365">AW259</f>
        <v>1.6644758099067141</v>
      </c>
      <c r="BG279" s="142">
        <f t="shared" si="365"/>
        <v>0</v>
      </c>
      <c r="BH279" s="142">
        <f t="shared" si="365"/>
        <v>7.7764117579468763</v>
      </c>
      <c r="BI279" s="142">
        <f t="shared" si="365"/>
        <v>4.9627394570272001</v>
      </c>
      <c r="BJ279" s="142">
        <f t="shared" si="365"/>
        <v>11.222531483729737</v>
      </c>
      <c r="BK279" s="142">
        <f t="shared" si="365"/>
        <v>2.8602102325331629</v>
      </c>
      <c r="BL279" s="142">
        <f t="shared" si="365"/>
        <v>1.4286764398267544</v>
      </c>
      <c r="BM279" s="142">
        <f t="shared" si="365"/>
        <v>6.3968429457259495</v>
      </c>
      <c r="BN279" s="17"/>
      <c r="BO279" s="142">
        <f t="shared" ref="BO279:BV279" si="366">BF259</f>
        <v>3.3289516198134281</v>
      </c>
      <c r="BP279" s="142">
        <f t="shared" si="366"/>
        <v>52.68066422188307</v>
      </c>
      <c r="BQ279" s="142">
        <f t="shared" si="366"/>
        <v>7.7764117579468763</v>
      </c>
      <c r="BR279" s="142">
        <f t="shared" si="366"/>
        <v>4.9627394570272001</v>
      </c>
      <c r="BS279" s="142">
        <f t="shared" si="366"/>
        <v>15.271508619701541</v>
      </c>
      <c r="BT279" s="142">
        <f t="shared" si="366"/>
        <v>0.15819282379464625</v>
      </c>
      <c r="BU279" s="142">
        <f t="shared" si="366"/>
        <v>7.9017394502820304E-2</v>
      </c>
      <c r="BV279" s="142">
        <f t="shared" si="366"/>
        <v>8.7047599132298767</v>
      </c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>
        <f t="shared" si="307"/>
        <v>121</v>
      </c>
      <c r="CI279" s="113">
        <f t="shared" si="308"/>
        <v>159.14159033330424</v>
      </c>
      <c r="CJ279" s="124">
        <f t="shared" si="353"/>
        <v>6.6058883705672713</v>
      </c>
      <c r="CK279" s="124">
        <f t="shared" si="354"/>
        <v>52.68066422188307</v>
      </c>
      <c r="CL279" s="124">
        <f t="shared" si="355"/>
        <v>60.495505462884942</v>
      </c>
      <c r="CM279" s="124">
        <f t="shared" si="356"/>
        <v>35.493387080982366</v>
      </c>
      <c r="CN279" s="124">
        <f t="shared" si="357"/>
        <v>50.933241807376746</v>
      </c>
      <c r="CO279" s="124">
        <f t="shared" si="358"/>
        <v>38.45620699927224</v>
      </c>
      <c r="CP279" s="124">
        <f t="shared" si="359"/>
        <v>19.208894605031091</v>
      </c>
      <c r="CQ279" s="124">
        <f t="shared" si="360"/>
        <v>30.375385963396667</v>
      </c>
      <c r="CR279" s="144">
        <f t="shared" si="111"/>
        <v>294.24917451139436</v>
      </c>
    </row>
    <row r="280" spans="1:96" ht="14">
      <c r="A280">
        <f t="shared" si="314"/>
        <v>122</v>
      </c>
      <c r="B280" s="19">
        <f t="shared" si="314"/>
        <v>202</v>
      </c>
      <c r="C280" s="26">
        <f t="shared" si="105"/>
        <v>159.31447653494916</v>
      </c>
      <c r="D280" s="26"/>
      <c r="E280" s="26"/>
      <c r="F280" s="141">
        <f t="shared" ref="F280:G280" si="367">F279</f>
        <v>6.0606231572568161</v>
      </c>
      <c r="G280" s="141">
        <f t="shared" si="367"/>
        <v>0.7542108817919595</v>
      </c>
      <c r="H280" s="140">
        <f>(H$118)*('Product half-life and C flows'!L181/100)</f>
        <v>0</v>
      </c>
      <c r="I280" s="140">
        <f>(($C$39*$C$118*0.28)*H$41)*('Product half-life and C flows'!N181/100)</f>
        <v>0</v>
      </c>
      <c r="J280" s="140">
        <f>(($C$39*$C$118*0.28)*H$41)*(+'Product half-life and C flows'!P181/100)</f>
        <v>0</v>
      </c>
      <c r="K280" s="141">
        <f t="shared" si="201"/>
        <v>1.3434381331919276</v>
      </c>
      <c r="L280" s="26"/>
      <c r="M280" s="142">
        <f>(C$158-C$138)*(0.4*D$14)*('Product half-life and C flows'!B141/100)</f>
        <v>5.0243051668921894E-2</v>
      </c>
      <c r="N280" s="85"/>
      <c r="O280" s="143">
        <f t="shared" si="326"/>
        <v>7.7764117579468763</v>
      </c>
      <c r="P280" s="142">
        <f t="shared" si="327"/>
        <v>4.9627394570272001</v>
      </c>
      <c r="Q280" s="142">
        <f>(C$158-C$138)*(0.6*C$15)*('Product half-life and C flows'!L141/100)</f>
        <v>2.3683491671401984</v>
      </c>
      <c r="R280" s="142">
        <f>(C$158-C$138)*0.6*('Product half-life and C flows'!N141/100)</f>
        <v>8.7689012318039143</v>
      </c>
      <c r="S280" s="142">
        <f>(C$158-C$138)*0.6*('Product half-life and C flows'!P141/100)</f>
        <v>4.380070545356598</v>
      </c>
      <c r="T280" s="142">
        <f t="shared" si="108"/>
        <v>1.349959025269913</v>
      </c>
      <c r="U280" s="3"/>
      <c r="V280" s="142">
        <f t="shared" si="165"/>
        <v>0.10048610333784382</v>
      </c>
      <c r="W280" s="142">
        <f t="shared" si="166"/>
        <v>0</v>
      </c>
      <c r="X280" s="142">
        <f t="shared" si="167"/>
        <v>7.7764117579468763</v>
      </c>
      <c r="Y280" s="142">
        <f t="shared" si="168"/>
        <v>4.9627394570272001</v>
      </c>
      <c r="Z280" s="142">
        <f t="shared" si="169"/>
        <v>3.2228258635656966</v>
      </c>
      <c r="AA280" s="142">
        <f t="shared" si="170"/>
        <v>8.198680449722632</v>
      </c>
      <c r="AB280" s="142">
        <f t="shared" si="171"/>
        <v>4.0952449798814339</v>
      </c>
      <c r="AC280" s="142">
        <f t="shared" si="172"/>
        <v>1.8370107422324469</v>
      </c>
      <c r="AD280" s="115"/>
      <c r="AE280" s="142">
        <f t="shared" ref="AE280:AL280" si="368">V260</f>
        <v>0.20097220667568763</v>
      </c>
      <c r="AF280" s="142">
        <f t="shared" si="368"/>
        <v>0</v>
      </c>
      <c r="AG280" s="142">
        <f t="shared" si="368"/>
        <v>7.7764117579468763</v>
      </c>
      <c r="AH280" s="142">
        <f t="shared" si="368"/>
        <v>4.9627394570272001</v>
      </c>
      <c r="AI280" s="142">
        <f t="shared" si="368"/>
        <v>4.3855892074435507</v>
      </c>
      <c r="AJ280" s="142">
        <f t="shared" si="368"/>
        <v>7.422729711574811</v>
      </c>
      <c r="AK280" s="142">
        <f t="shared" si="368"/>
        <v>3.7076571985888176</v>
      </c>
      <c r="AL280" s="142">
        <f t="shared" si="368"/>
        <v>2.4997858482428237</v>
      </c>
      <c r="AM280" s="115"/>
      <c r="AN280" s="144">
        <f t="shared" ref="AN280:AU280" si="369">AE260</f>
        <v>0.4019444133513751</v>
      </c>
      <c r="AO280" s="144">
        <f t="shared" si="369"/>
        <v>0</v>
      </c>
      <c r="AP280" s="144">
        <f t="shared" si="369"/>
        <v>7.7764117579468763</v>
      </c>
      <c r="AQ280" s="144">
        <f t="shared" si="369"/>
        <v>4.9627394570272001</v>
      </c>
      <c r="AR280" s="144">
        <f t="shared" si="369"/>
        <v>5.9678659383618546</v>
      </c>
      <c r="AS280" s="144">
        <f t="shared" si="369"/>
        <v>6.3668237064753317</v>
      </c>
      <c r="AT280" s="144">
        <f t="shared" si="369"/>
        <v>3.1802316216160484</v>
      </c>
      <c r="AU280" s="144">
        <f t="shared" si="369"/>
        <v>3.401683584866257</v>
      </c>
      <c r="AV280" s="115"/>
      <c r="AW280" s="144">
        <f t="shared" ref="AW280:BD280" si="370">AN260</f>
        <v>0.80388882670275008</v>
      </c>
      <c r="AX280" s="144">
        <f t="shared" si="370"/>
        <v>0</v>
      </c>
      <c r="AY280" s="144">
        <f t="shared" si="370"/>
        <v>7.7764117579468763</v>
      </c>
      <c r="AZ280" s="144">
        <f t="shared" si="370"/>
        <v>4.9627394570272001</v>
      </c>
      <c r="BA280" s="144">
        <f t="shared" si="370"/>
        <v>8.1210122913040852</v>
      </c>
      <c r="BB280" s="144">
        <f t="shared" si="370"/>
        <v>4.9299573736118827</v>
      </c>
      <c r="BC280" s="144">
        <f t="shared" si="370"/>
        <v>2.4625161706353049</v>
      </c>
      <c r="BD280" s="144">
        <f t="shared" si="370"/>
        <v>4.6289770060433284</v>
      </c>
      <c r="BE280" s="17"/>
      <c r="BF280" s="142">
        <f t="shared" ref="BF280:BM280" si="371">AW260</f>
        <v>1.6077776534055002</v>
      </c>
      <c r="BG280" s="142">
        <f t="shared" si="371"/>
        <v>0</v>
      </c>
      <c r="BH280" s="142">
        <f t="shared" si="371"/>
        <v>7.7764117579468763</v>
      </c>
      <c r="BI280" s="142">
        <f t="shared" si="371"/>
        <v>4.9627394570272001</v>
      </c>
      <c r="BJ280" s="142">
        <f t="shared" si="371"/>
        <v>11.050992317299807</v>
      </c>
      <c r="BK280" s="142">
        <f t="shared" si="371"/>
        <v>2.9746840362640703</v>
      </c>
      <c r="BL280" s="142">
        <f t="shared" si="371"/>
        <v>1.485856161970065</v>
      </c>
      <c r="BM280" s="142">
        <f t="shared" si="371"/>
        <v>6.2990656208608895</v>
      </c>
      <c r="BN280" s="17"/>
      <c r="BO280" s="142">
        <f t="shared" ref="BO280:BV280" si="372">BF260</f>
        <v>3.2155553068110003</v>
      </c>
      <c r="BP280" s="142">
        <f t="shared" si="372"/>
        <v>54.403837644461959</v>
      </c>
      <c r="BQ280" s="142">
        <f t="shared" si="372"/>
        <v>7.7764117579468763</v>
      </c>
      <c r="BR280" s="142">
        <f t="shared" si="372"/>
        <v>4.9627394570272001</v>
      </c>
      <c r="BS280" s="142">
        <f t="shared" si="372"/>
        <v>15.038079837385441</v>
      </c>
      <c r="BT280" s="142">
        <f t="shared" si="372"/>
        <v>0.3139676311935905</v>
      </c>
      <c r="BU280" s="142">
        <f t="shared" si="372"/>
        <v>0.15682698860818706</v>
      </c>
      <c r="BV280" s="142">
        <f t="shared" si="372"/>
        <v>8.5717055073096997</v>
      </c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>
        <f t="shared" si="307"/>
        <v>122</v>
      </c>
      <c r="CI280" s="113">
        <f t="shared" si="308"/>
        <v>159.31447653494916</v>
      </c>
      <c r="CJ280" s="124">
        <f t="shared" si="353"/>
        <v>6.380867561953079</v>
      </c>
      <c r="CK280" s="124">
        <f t="shared" si="354"/>
        <v>54.403837644461959</v>
      </c>
      <c r="CL280" s="124">
        <f t="shared" si="355"/>
        <v>60.495505462884942</v>
      </c>
      <c r="CM280" s="124">
        <f t="shared" si="356"/>
        <v>35.493387080982366</v>
      </c>
      <c r="CN280" s="124">
        <f t="shared" si="357"/>
        <v>50.154714622500634</v>
      </c>
      <c r="CO280" s="124">
        <f t="shared" si="358"/>
        <v>38.975744140646235</v>
      </c>
      <c r="CP280" s="124">
        <f t="shared" si="359"/>
        <v>19.468403666656457</v>
      </c>
      <c r="CQ280" s="124">
        <f t="shared" si="360"/>
        <v>29.931625468017288</v>
      </c>
      <c r="CR280" s="144">
        <f t="shared" si="111"/>
        <v>295.30408564810296</v>
      </c>
    </row>
    <row r="281" spans="1:96" ht="14">
      <c r="A281">
        <f t="shared" si="314"/>
        <v>123</v>
      </c>
      <c r="B281" s="19">
        <f t="shared" si="314"/>
        <v>203</v>
      </c>
      <c r="C281" s="26">
        <f t="shared" si="105"/>
        <v>159.48406083359615</v>
      </c>
      <c r="D281" s="26"/>
      <c r="E281" s="26"/>
      <c r="F281" s="141">
        <f t="shared" ref="F281:G281" si="373">F280</f>
        <v>6.0606231572568161</v>
      </c>
      <c r="G281" s="141">
        <f t="shared" si="373"/>
        <v>0.7542108817919595</v>
      </c>
      <c r="H281" s="140">
        <f>(H$118)*('Product half-life and C flows'!L182/100)</f>
        <v>0</v>
      </c>
      <c r="I281" s="140">
        <f>(($C$39*$C$118*0.28)*H$41)*('Product half-life and C flows'!N182/100)</f>
        <v>0</v>
      </c>
      <c r="J281" s="140">
        <f>(($C$39*$C$118*0.28)*H$41)*(+'Product half-life and C flows'!P182/100)</f>
        <v>0</v>
      </c>
      <c r="K281" s="141">
        <f t="shared" si="201"/>
        <v>1.3434381331919276</v>
      </c>
      <c r="L281" s="26"/>
      <c r="M281" s="142">
        <f>(C$158-C$138)*(0.4*D$14)*('Product half-life and C flows'!B142/100)</f>
        <v>4.8531588883059737E-2</v>
      </c>
      <c r="N281" s="85"/>
      <c r="O281" s="143">
        <f t="shared" si="326"/>
        <v>7.7764117579468763</v>
      </c>
      <c r="P281" s="142">
        <f t="shared" si="327"/>
        <v>4.9627394570272001</v>
      </c>
      <c r="Q281" s="142">
        <f>(C$158-C$138)*(0.6*C$15)*('Product half-life and C flows'!L142/100)</f>
        <v>2.3321483649829262</v>
      </c>
      <c r="R281" s="142">
        <f>(C$158-C$138)*0.6*('Product half-life and C flows'!N142/100)</f>
        <v>8.7930592337768658</v>
      </c>
      <c r="S281" s="142">
        <f>(C$158-C$138)*0.6*('Product half-life and C flows'!P142/100)</f>
        <v>4.3921374794090227</v>
      </c>
      <c r="T281" s="142">
        <f t="shared" si="108"/>
        <v>1.3293245680402679</v>
      </c>
      <c r="U281" s="3"/>
      <c r="V281" s="142">
        <f t="shared" si="165"/>
        <v>9.7063177766119474E-2</v>
      </c>
      <c r="W281" s="142">
        <f t="shared" si="166"/>
        <v>0</v>
      </c>
      <c r="X281" s="142">
        <f t="shared" si="167"/>
        <v>7.7764117579468763</v>
      </c>
      <c r="Y281" s="142">
        <f t="shared" si="168"/>
        <v>4.9627394570272001</v>
      </c>
      <c r="Z281" s="142">
        <f t="shared" si="169"/>
        <v>3.1735641739917897</v>
      </c>
      <c r="AA281" s="142">
        <f t="shared" si="170"/>
        <v>8.2315544172316191</v>
      </c>
      <c r="AB281" s="142">
        <f t="shared" si="171"/>
        <v>4.1116655430727365</v>
      </c>
      <c r="AC281" s="142">
        <f t="shared" si="172"/>
        <v>1.80893157917532</v>
      </c>
      <c r="AD281" s="115"/>
      <c r="AE281" s="142">
        <f t="shared" ref="AE281:AL281" si="374">V261</f>
        <v>0.19412635553223886</v>
      </c>
      <c r="AF281" s="142">
        <f t="shared" si="374"/>
        <v>0</v>
      </c>
      <c r="AG281" s="142">
        <f t="shared" si="374"/>
        <v>7.7764117579468763</v>
      </c>
      <c r="AH281" s="142">
        <f t="shared" si="374"/>
        <v>4.9627394570272001</v>
      </c>
      <c r="AI281" s="142">
        <f t="shared" si="374"/>
        <v>4.3185543928796832</v>
      </c>
      <c r="AJ281" s="142">
        <f t="shared" si="374"/>
        <v>7.4674642778270988</v>
      </c>
      <c r="AK281" s="142">
        <f t="shared" si="374"/>
        <v>3.7300021367767719</v>
      </c>
      <c r="AL281" s="142">
        <f t="shared" si="374"/>
        <v>2.4615760039414192</v>
      </c>
      <c r="AM281" s="115"/>
      <c r="AN281" s="144">
        <f t="shared" ref="AN281:AU281" si="375">AE261</f>
        <v>0.38825271106447801</v>
      </c>
      <c r="AO281" s="144">
        <f t="shared" si="375"/>
        <v>0</v>
      </c>
      <c r="AP281" s="144">
        <f t="shared" si="375"/>
        <v>7.7764117579468763</v>
      </c>
      <c r="AQ281" s="144">
        <f t="shared" si="375"/>
        <v>4.9627394570272001</v>
      </c>
      <c r="AR281" s="144">
        <f t="shared" si="375"/>
        <v>5.8766456330398018</v>
      </c>
      <c r="AS281" s="144">
        <f t="shared" si="375"/>
        <v>6.4276980568935826</v>
      </c>
      <c r="AT281" s="144">
        <f t="shared" si="375"/>
        <v>3.210638390056733</v>
      </c>
      <c r="AU281" s="144">
        <f t="shared" si="375"/>
        <v>3.3496880108326867</v>
      </c>
      <c r="AV281" s="115"/>
      <c r="AW281" s="144">
        <f t="shared" ref="AW281:BD281" si="376">AN261</f>
        <v>0.7765054221289559</v>
      </c>
      <c r="AX281" s="144">
        <f t="shared" si="376"/>
        <v>0</v>
      </c>
      <c r="AY281" s="144">
        <f t="shared" si="376"/>
        <v>7.7764117579468763</v>
      </c>
      <c r="AZ281" s="144">
        <f t="shared" si="376"/>
        <v>4.9627394570272001</v>
      </c>
      <c r="BA281" s="144">
        <f t="shared" si="376"/>
        <v>7.9968806120089821</v>
      </c>
      <c r="BB281" s="144">
        <f t="shared" si="376"/>
        <v>5.0127945809281487</v>
      </c>
      <c r="BC281" s="144">
        <f t="shared" si="376"/>
        <v>2.5038933970670061</v>
      </c>
      <c r="BD281" s="144">
        <f t="shared" si="376"/>
        <v>4.5582219488451194</v>
      </c>
      <c r="BE281" s="17"/>
      <c r="BF281" s="142">
        <f t="shared" ref="BF281:BM281" si="377">AW261</f>
        <v>1.5530108442579118</v>
      </c>
      <c r="BG281" s="142">
        <f t="shared" si="377"/>
        <v>0</v>
      </c>
      <c r="BH281" s="142">
        <f t="shared" si="377"/>
        <v>7.7764117579468763</v>
      </c>
      <c r="BI281" s="142">
        <f t="shared" si="377"/>
        <v>4.9627394570272001</v>
      </c>
      <c r="BJ281" s="142">
        <f t="shared" si="377"/>
        <v>10.882075169410175</v>
      </c>
      <c r="BK281" s="142">
        <f t="shared" si="377"/>
        <v>3.0874080796224175</v>
      </c>
      <c r="BL281" s="142">
        <f t="shared" si="377"/>
        <v>1.5421618779332751</v>
      </c>
      <c r="BM281" s="142">
        <f t="shared" si="377"/>
        <v>6.2027828465637995</v>
      </c>
      <c r="BN281" s="17"/>
      <c r="BO281" s="142">
        <f t="shared" ref="BO281:BV281" si="378">BF261</f>
        <v>3.1060216885158232</v>
      </c>
      <c r="BP281" s="142">
        <f t="shared" si="378"/>
        <v>56.127011067040847</v>
      </c>
      <c r="BQ281" s="142">
        <f t="shared" si="378"/>
        <v>7.7764117579468763</v>
      </c>
      <c r="BR281" s="142">
        <f t="shared" si="378"/>
        <v>4.9627394570272001</v>
      </c>
      <c r="BS281" s="142">
        <f t="shared" si="378"/>
        <v>14.808219071679254</v>
      </c>
      <c r="BT281" s="142">
        <f t="shared" si="378"/>
        <v>0.46736138217485096</v>
      </c>
      <c r="BU281" s="142">
        <f t="shared" si="378"/>
        <v>0.23344724384358187</v>
      </c>
      <c r="BV281" s="142">
        <f t="shared" si="378"/>
        <v>8.440684870857174</v>
      </c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>
        <f t="shared" si="307"/>
        <v>123</v>
      </c>
      <c r="CI281" s="113">
        <f t="shared" si="308"/>
        <v>159.48406083359615</v>
      </c>
      <c r="CJ281" s="124">
        <f t="shared" si="353"/>
        <v>6.163511788148587</v>
      </c>
      <c r="CK281" s="124">
        <f t="shared" si="354"/>
        <v>56.127011067040847</v>
      </c>
      <c r="CL281" s="124">
        <f t="shared" si="355"/>
        <v>60.495505462884942</v>
      </c>
      <c r="CM281" s="124">
        <f t="shared" si="356"/>
        <v>35.493387080982366</v>
      </c>
      <c r="CN281" s="124">
        <f t="shared" si="357"/>
        <v>49.388087417992615</v>
      </c>
      <c r="CO281" s="124">
        <f t="shared" si="358"/>
        <v>39.487340028454589</v>
      </c>
      <c r="CP281" s="124">
        <f t="shared" si="359"/>
        <v>19.723946068159126</v>
      </c>
      <c r="CQ281" s="124">
        <f t="shared" si="360"/>
        <v>29.494647961447711</v>
      </c>
      <c r="CR281" s="144">
        <f t="shared" si="111"/>
        <v>296.37343687511077</v>
      </c>
    </row>
    <row r="282" spans="1:96" ht="14">
      <c r="A282">
        <f t="shared" si="314"/>
        <v>124</v>
      </c>
      <c r="B282" s="19">
        <f t="shared" si="314"/>
        <v>204</v>
      </c>
      <c r="C282" s="26">
        <f t="shared" si="105"/>
        <v>159.65040388967657</v>
      </c>
      <c r="D282" s="26"/>
      <c r="E282" s="26"/>
      <c r="F282" s="141">
        <f t="shared" ref="F282:G282" si="379">F281</f>
        <v>6.0606231572568161</v>
      </c>
      <c r="G282" s="141">
        <f t="shared" si="379"/>
        <v>0.7542108817919595</v>
      </c>
      <c r="H282" s="140">
        <f>(H$118)*('Product half-life and C flows'!L183/100)</f>
        <v>0</v>
      </c>
      <c r="I282" s="140">
        <f>(($C$39*$C$118*0.28)*H$41)*('Product half-life and C flows'!N183/100)</f>
        <v>0</v>
      </c>
      <c r="J282" s="140">
        <f>(($C$39*$C$118*0.28)*H$41)*(+'Product half-life and C flows'!P183/100)</f>
        <v>0</v>
      </c>
      <c r="K282" s="141">
        <f t="shared" si="201"/>
        <v>1.3434381331919276</v>
      </c>
      <c r="L282" s="26"/>
      <c r="M282" s="142">
        <f>(C$158-C$138)*(0.4*D$14)*('Product half-life and C flows'!B143/100)</f>
        <v>4.6878424802592585E-2</v>
      </c>
      <c r="N282" s="85"/>
      <c r="O282" s="143">
        <f t="shared" si="326"/>
        <v>7.7764117579468763</v>
      </c>
      <c r="P282" s="142">
        <f t="shared" si="327"/>
        <v>4.9627394570272001</v>
      </c>
      <c r="Q282" s="142">
        <f>(C$158-C$138)*(0.6*C$15)*('Product half-life and C flows'!L143/100)</f>
        <v>2.2965009010306003</v>
      </c>
      <c r="R282" s="142">
        <f>(C$158-C$138)*0.6*('Product half-life and C flows'!N143/100)</f>
        <v>8.8168479747210533</v>
      </c>
      <c r="S282" s="142">
        <f>(C$158-C$138)*0.6*('Product half-life and C flows'!P143/100)</f>
        <v>4.4040199673931317</v>
      </c>
      <c r="T282" s="142">
        <f t="shared" si="108"/>
        <v>1.3090055135874421</v>
      </c>
      <c r="U282" s="3"/>
      <c r="V282" s="142">
        <f t="shared" si="165"/>
        <v>9.3756849605185141E-2</v>
      </c>
      <c r="W282" s="142">
        <f t="shared" si="166"/>
        <v>0</v>
      </c>
      <c r="X282" s="142">
        <f t="shared" si="167"/>
        <v>7.7764117579468763</v>
      </c>
      <c r="Y282" s="142">
        <f t="shared" si="168"/>
        <v>4.9627394570272001</v>
      </c>
      <c r="Z282" s="142">
        <f t="shared" si="169"/>
        <v>3.1250554615138877</v>
      </c>
      <c r="AA282" s="142">
        <f t="shared" si="170"/>
        <v>8.2639258980252048</v>
      </c>
      <c r="AB282" s="142">
        <f t="shared" si="171"/>
        <v>4.1278351138987031</v>
      </c>
      <c r="AC282" s="142">
        <f t="shared" si="172"/>
        <v>1.7812816130629159</v>
      </c>
      <c r="AD282" s="115"/>
      <c r="AE282" s="142">
        <f t="shared" ref="AE282:AL282" si="380">V262</f>
        <v>0.18751369921037031</v>
      </c>
      <c r="AF282" s="142">
        <f t="shared" si="380"/>
        <v>0</v>
      </c>
      <c r="AG282" s="142">
        <f t="shared" si="380"/>
        <v>7.7764117579468763</v>
      </c>
      <c r="AH282" s="142">
        <f t="shared" si="380"/>
        <v>4.9627394570272001</v>
      </c>
      <c r="AI282" s="142">
        <f t="shared" si="380"/>
        <v>4.25254422201842</v>
      </c>
      <c r="AJ282" s="142">
        <f t="shared" si="380"/>
        <v>7.5115150651818494</v>
      </c>
      <c r="AK282" s="142">
        <f t="shared" si="380"/>
        <v>3.7520055270638606</v>
      </c>
      <c r="AL282" s="142">
        <f t="shared" si="380"/>
        <v>2.423950206550499</v>
      </c>
      <c r="AM282" s="115"/>
      <c r="AN282" s="144">
        <f t="shared" ref="AN282:AU282" si="381">AE262</f>
        <v>0.37502739842074062</v>
      </c>
      <c r="AO282" s="144">
        <f t="shared" si="381"/>
        <v>0</v>
      </c>
      <c r="AP282" s="144">
        <f t="shared" si="381"/>
        <v>7.7764117579468763</v>
      </c>
      <c r="AQ282" s="144">
        <f t="shared" si="381"/>
        <v>4.9627394570272001</v>
      </c>
      <c r="AR282" s="144">
        <f t="shared" si="381"/>
        <v>5.7868196526219924</v>
      </c>
      <c r="AS282" s="144">
        <f t="shared" si="381"/>
        <v>6.4876419278257336</v>
      </c>
      <c r="AT282" s="144">
        <f t="shared" si="381"/>
        <v>3.2405803835293363</v>
      </c>
      <c r="AU282" s="144">
        <f t="shared" si="381"/>
        <v>3.2984872019945355</v>
      </c>
      <c r="AV282" s="115"/>
      <c r="AW282" s="144">
        <f t="shared" ref="AW282:BD282" si="382">AN262</f>
        <v>0.75005479684148113</v>
      </c>
      <c r="AX282" s="144">
        <f t="shared" si="382"/>
        <v>0</v>
      </c>
      <c r="AY282" s="144">
        <f t="shared" si="382"/>
        <v>7.7764117579468763</v>
      </c>
      <c r="AZ282" s="144">
        <f t="shared" si="382"/>
        <v>4.9627394570272001</v>
      </c>
      <c r="BA282" s="144">
        <f t="shared" si="382"/>
        <v>7.8746463161005691</v>
      </c>
      <c r="BB282" s="144">
        <f t="shared" si="382"/>
        <v>5.0943656010643634</v>
      </c>
      <c r="BC282" s="144">
        <f t="shared" si="382"/>
        <v>2.5446381623698104</v>
      </c>
      <c r="BD282" s="144">
        <f t="shared" si="382"/>
        <v>4.4885484001773239</v>
      </c>
      <c r="BE282" s="17"/>
      <c r="BF282" s="142">
        <f t="shared" ref="BF282:BM282" si="383">AW262</f>
        <v>1.5001095936829623</v>
      </c>
      <c r="BG282" s="142">
        <f t="shared" si="383"/>
        <v>0</v>
      </c>
      <c r="BH282" s="142">
        <f t="shared" si="383"/>
        <v>7.7764117579468763</v>
      </c>
      <c r="BI282" s="142">
        <f t="shared" si="383"/>
        <v>4.9627394570272001</v>
      </c>
      <c r="BJ282" s="142">
        <f t="shared" si="383"/>
        <v>10.715739961859647</v>
      </c>
      <c r="BK282" s="142">
        <f t="shared" si="383"/>
        <v>3.1984091081278025</v>
      </c>
      <c r="BL282" s="142">
        <f t="shared" si="383"/>
        <v>1.5976069471167842</v>
      </c>
      <c r="BM282" s="142">
        <f t="shared" si="383"/>
        <v>6.1079717782599987</v>
      </c>
      <c r="BN282" s="17"/>
      <c r="BO282" s="142">
        <f t="shared" ref="BO282:BV282" si="384">BF262</f>
        <v>3.0002191873659245</v>
      </c>
      <c r="BP282" s="142">
        <f t="shared" si="384"/>
        <v>57.850184489619735</v>
      </c>
      <c r="BQ282" s="142">
        <f t="shared" si="384"/>
        <v>7.7764117579468763</v>
      </c>
      <c r="BR282" s="142">
        <f t="shared" si="384"/>
        <v>4.9627394570272001</v>
      </c>
      <c r="BS282" s="142">
        <f t="shared" si="384"/>
        <v>14.581871784567571</v>
      </c>
      <c r="BT282" s="142">
        <f t="shared" si="384"/>
        <v>0.61841047177404773</v>
      </c>
      <c r="BU282" s="142">
        <f t="shared" si="384"/>
        <v>0.30889633954747636</v>
      </c>
      <c r="BV282" s="142">
        <f t="shared" si="384"/>
        <v>8.3116669172035156</v>
      </c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>
        <f t="shared" si="307"/>
        <v>124</v>
      </c>
      <c r="CI282" s="113">
        <f t="shared" si="308"/>
        <v>159.65040388967657</v>
      </c>
      <c r="CJ282" s="124">
        <f t="shared" si="353"/>
        <v>5.9535599499292573</v>
      </c>
      <c r="CK282" s="124">
        <f t="shared" si="354"/>
        <v>57.850184489619735</v>
      </c>
      <c r="CL282" s="124">
        <f t="shared" si="355"/>
        <v>60.495505462884942</v>
      </c>
      <c r="CM282" s="124">
        <f t="shared" si="356"/>
        <v>35.493387080982366</v>
      </c>
      <c r="CN282" s="124">
        <f t="shared" si="357"/>
        <v>48.633178299712682</v>
      </c>
      <c r="CO282" s="124">
        <f t="shared" si="358"/>
        <v>39.991116046720059</v>
      </c>
      <c r="CP282" s="124">
        <f t="shared" si="359"/>
        <v>19.975582440919101</v>
      </c>
      <c r="CQ282" s="124">
        <f t="shared" si="360"/>
        <v>29.064349764028158</v>
      </c>
      <c r="CR282" s="144">
        <f t="shared" si="111"/>
        <v>297.4568635347963</v>
      </c>
    </row>
    <row r="283" spans="1:96" ht="14">
      <c r="A283">
        <f t="shared" si="314"/>
        <v>125</v>
      </c>
      <c r="B283" s="19">
        <f t="shared" si="314"/>
        <v>205</v>
      </c>
      <c r="C283" s="26">
        <f t="shared" si="105"/>
        <v>159.81356534519131</v>
      </c>
      <c r="D283" s="26"/>
      <c r="E283" s="26"/>
      <c r="F283" s="141">
        <f t="shared" ref="F283:G283" si="385">F282</f>
        <v>6.0606231572568161</v>
      </c>
      <c r="G283" s="141">
        <f t="shared" si="385"/>
        <v>0.7542108817919595</v>
      </c>
      <c r="H283" s="140">
        <f>(H$118)*('Product half-life and C flows'!L184/100)</f>
        <v>0</v>
      </c>
      <c r="I283" s="140">
        <f>(($C$39*$C$118*0.28)*H$41)*('Product half-life and C flows'!N184/100)</f>
        <v>0</v>
      </c>
      <c r="J283" s="140">
        <f>(($C$39*$C$118*0.28)*H$41)*(+'Product half-life and C flows'!P184/100)</f>
        <v>0</v>
      </c>
      <c r="K283" s="141">
        <f t="shared" si="201"/>
        <v>1.3434381331919276</v>
      </c>
      <c r="L283" s="26"/>
      <c r="M283" s="142">
        <f>(C$158-C$138)*(0.4*D$14)*('Product half-life and C flows'!B144/100)</f>
        <v>4.5281573559595695E-2</v>
      </c>
      <c r="N283" s="85"/>
      <c r="O283" s="143">
        <f t="shared" si="326"/>
        <v>7.7764117579468763</v>
      </c>
      <c r="P283" s="142">
        <f t="shared" si="327"/>
        <v>4.9627394570272001</v>
      </c>
      <c r="Q283" s="142">
        <f>(C$158-C$138)*(0.6*C$15)*('Product half-life and C flows'!L144/100)</f>
        <v>2.2613983173720467</v>
      </c>
      <c r="R283" s="142">
        <f>(C$158-C$138)*0.6*('Product half-life and C flows'!N144/100)</f>
        <v>8.8402730988825269</v>
      </c>
      <c r="S283" s="142">
        <f>(C$158-C$138)*0.6*('Product half-life and C flows'!P144/100)</f>
        <v>4.415720828612649</v>
      </c>
      <c r="T283" s="142">
        <f t="shared" si="108"/>
        <v>1.2889970409020666</v>
      </c>
      <c r="U283" s="3"/>
      <c r="V283" s="142">
        <f t="shared" si="165"/>
        <v>9.0563147119191389E-2</v>
      </c>
      <c r="W283" s="142">
        <f t="shared" si="166"/>
        <v>0</v>
      </c>
      <c r="X283" s="142">
        <f t="shared" si="167"/>
        <v>7.7764117579468763</v>
      </c>
      <c r="Y283" s="142">
        <f t="shared" si="168"/>
        <v>4.9627394570272001</v>
      </c>
      <c r="Z283" s="142">
        <f t="shared" si="169"/>
        <v>3.0772882166910422</v>
      </c>
      <c r="AA283" s="142">
        <f t="shared" si="170"/>
        <v>8.2958025727369851</v>
      </c>
      <c r="AB283" s="142">
        <f t="shared" si="171"/>
        <v>4.143757528839652</v>
      </c>
      <c r="AC283" s="142">
        <f t="shared" si="172"/>
        <v>1.7540542835138939</v>
      </c>
      <c r="AD283" s="115"/>
      <c r="AE283" s="142">
        <f t="shared" ref="AE283:AL283" si="386">V263</f>
        <v>0.18112629423838278</v>
      </c>
      <c r="AF283" s="142">
        <f t="shared" si="386"/>
        <v>0</v>
      </c>
      <c r="AG283" s="142">
        <f t="shared" si="386"/>
        <v>7.7764117579468763</v>
      </c>
      <c r="AH283" s="142">
        <f t="shared" si="386"/>
        <v>4.9627394570272001</v>
      </c>
      <c r="AI283" s="142">
        <f t="shared" si="386"/>
        <v>4.1875430329276115</v>
      </c>
      <c r="AJ283" s="142">
        <f t="shared" si="386"/>
        <v>7.5548925253684489</v>
      </c>
      <c r="AK283" s="142">
        <f t="shared" si="386"/>
        <v>3.7736725900941295</v>
      </c>
      <c r="AL283" s="142">
        <f t="shared" si="386"/>
        <v>2.3868995287687382</v>
      </c>
      <c r="AM283" s="115"/>
      <c r="AN283" s="144">
        <f t="shared" ref="AN283:AU283" si="387">AE263</f>
        <v>0.36225258847676561</v>
      </c>
      <c r="AO283" s="144">
        <f t="shared" si="387"/>
        <v>0</v>
      </c>
      <c r="AP283" s="144">
        <f t="shared" si="387"/>
        <v>7.7764117579468763</v>
      </c>
      <c r="AQ283" s="144">
        <f t="shared" si="387"/>
        <v>4.9627394570272001</v>
      </c>
      <c r="AR283" s="144">
        <f t="shared" si="387"/>
        <v>5.6983666845077758</v>
      </c>
      <c r="AS283" s="144">
        <f t="shared" si="387"/>
        <v>6.54666954188062</v>
      </c>
      <c r="AT283" s="144">
        <f t="shared" si="387"/>
        <v>3.2700647062340749</v>
      </c>
      <c r="AU283" s="144">
        <f t="shared" si="387"/>
        <v>3.2480690101694321</v>
      </c>
      <c r="AV283" s="115"/>
      <c r="AW283" s="144">
        <f t="shared" ref="AW283:BD283" si="388">AN263</f>
        <v>0.72450517695353112</v>
      </c>
      <c r="AX283" s="144">
        <f t="shared" si="388"/>
        <v>0</v>
      </c>
      <c r="AY283" s="144">
        <f t="shared" si="388"/>
        <v>7.7764117579468763</v>
      </c>
      <c r="AZ283" s="144">
        <f t="shared" si="388"/>
        <v>4.9627394570272001</v>
      </c>
      <c r="BA283" s="144">
        <f t="shared" si="388"/>
        <v>7.7542804016050004</v>
      </c>
      <c r="BB283" s="144">
        <f t="shared" si="388"/>
        <v>5.1746897880044065</v>
      </c>
      <c r="BC283" s="144">
        <f t="shared" si="388"/>
        <v>2.5847601338683335</v>
      </c>
      <c r="BD283" s="144">
        <f t="shared" si="388"/>
        <v>4.4199398289148499</v>
      </c>
      <c r="BE283" s="17"/>
      <c r="BF283" s="142">
        <f t="shared" ref="BF283:BM283" si="389">AW263</f>
        <v>1.4490103539070622</v>
      </c>
      <c r="BG283" s="142">
        <f t="shared" si="389"/>
        <v>0</v>
      </c>
      <c r="BH283" s="142">
        <f t="shared" si="389"/>
        <v>7.7764117579468763</v>
      </c>
      <c r="BI283" s="142">
        <f t="shared" si="389"/>
        <v>4.9627394570272001</v>
      </c>
      <c r="BJ283" s="142">
        <f t="shared" si="389"/>
        <v>10.551947229052235</v>
      </c>
      <c r="BK283" s="142">
        <f t="shared" si="389"/>
        <v>3.3077134584879491</v>
      </c>
      <c r="BL283" s="142">
        <f t="shared" si="389"/>
        <v>1.6522045247192549</v>
      </c>
      <c r="BM283" s="142">
        <f t="shared" si="389"/>
        <v>6.0146099205597734</v>
      </c>
      <c r="BN283" s="17"/>
      <c r="BO283" s="142">
        <f t="shared" ref="BO283:BV283" si="390">BF263</f>
        <v>2.8980207078141245</v>
      </c>
      <c r="BP283" s="142">
        <f t="shared" si="390"/>
        <v>59.573357912198624</v>
      </c>
      <c r="BQ283" s="142">
        <f t="shared" si="390"/>
        <v>7.7764117579468763</v>
      </c>
      <c r="BR283" s="142">
        <f t="shared" si="390"/>
        <v>4.9627394570272001</v>
      </c>
      <c r="BS283" s="142">
        <f t="shared" si="390"/>
        <v>14.35898427166201</v>
      </c>
      <c r="BT283" s="142">
        <f t="shared" si="390"/>
        <v>0.76715073871969297</v>
      </c>
      <c r="BU283" s="142">
        <f t="shared" si="390"/>
        <v>0.38319217718266385</v>
      </c>
      <c r="BV283" s="142">
        <f t="shared" si="390"/>
        <v>8.1846210348473445</v>
      </c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>
        <f t="shared" si="307"/>
        <v>125</v>
      </c>
      <c r="CI283" s="113">
        <f t="shared" si="308"/>
        <v>159.81356534519131</v>
      </c>
      <c r="CJ283" s="124">
        <f t="shared" si="353"/>
        <v>5.7507598420686534</v>
      </c>
      <c r="CK283" s="124">
        <f t="shared" si="354"/>
        <v>59.573357912198624</v>
      </c>
      <c r="CL283" s="124">
        <f t="shared" si="355"/>
        <v>60.495505462884942</v>
      </c>
      <c r="CM283" s="124">
        <f t="shared" si="356"/>
        <v>35.493387080982366</v>
      </c>
      <c r="CN283" s="124">
        <f t="shared" si="357"/>
        <v>47.889808153817725</v>
      </c>
      <c r="CO283" s="124">
        <f t="shared" si="358"/>
        <v>40.487191724080624</v>
      </c>
      <c r="CP283" s="124">
        <f t="shared" si="359"/>
        <v>20.223372489550759</v>
      </c>
      <c r="CQ283" s="124">
        <f t="shared" si="360"/>
        <v>28.640628780868028</v>
      </c>
      <c r="CR283" s="144">
        <f t="shared" si="111"/>
        <v>298.55401144645168</v>
      </c>
    </row>
    <row r="284" spans="1:96" ht="14">
      <c r="A284">
        <f t="shared" si="314"/>
        <v>126</v>
      </c>
      <c r="B284" s="19">
        <f t="shared" si="314"/>
        <v>206</v>
      </c>
      <c r="C284" s="26">
        <f t="shared" si="105"/>
        <v>159.97360383685276</v>
      </c>
      <c r="D284" s="26"/>
      <c r="E284" s="26"/>
      <c r="F284" s="141">
        <f t="shared" ref="F284:G284" si="391">F283</f>
        <v>6.0606231572568161</v>
      </c>
      <c r="G284" s="141">
        <f t="shared" si="391"/>
        <v>0.7542108817919595</v>
      </c>
      <c r="H284" s="140">
        <f>(H$118)*('Product half-life and C flows'!L185/100)</f>
        <v>0</v>
      </c>
      <c r="I284" s="140">
        <f>(($C$39*$C$118*0.28)*H$41)*('Product half-life and C flows'!N185/100)</f>
        <v>0</v>
      </c>
      <c r="J284" s="140">
        <f>(($C$39*$C$118*0.28)*H$41)*(+'Product half-life and C flows'!P185/100)</f>
        <v>0</v>
      </c>
      <c r="K284" s="141">
        <f t="shared" si="201"/>
        <v>1.3434381331919276</v>
      </c>
      <c r="L284" s="26"/>
      <c r="M284" s="142">
        <f>(C$158-C$138)*(0.4*D$14)*('Product half-life and C flows'!B145/100)</f>
        <v>4.3739116932096228E-2</v>
      </c>
      <c r="N284" s="85"/>
      <c r="O284" s="143">
        <f t="shared" si="326"/>
        <v>7.7764117579468763</v>
      </c>
      <c r="P284" s="142">
        <f t="shared" si="327"/>
        <v>4.9627394570272001</v>
      </c>
      <c r="Q284" s="142">
        <f>(C$158-C$138)*(0.6*C$15)*('Product half-life and C flows'!L145/100)</f>
        <v>2.2268322853773537</v>
      </c>
      <c r="R284" s="142">
        <f>(C$158-C$138)*0.6*('Product half-life and C flows'!N145/100)</f>
        <v>8.8633401642336533</v>
      </c>
      <c r="S284" s="142">
        <f>(C$158-C$138)*0.6*('Product half-life and C flows'!P145/100)</f>
        <v>4.4272428392775467</v>
      </c>
      <c r="T284" s="142">
        <f t="shared" si="108"/>
        <v>1.2692944026650914</v>
      </c>
      <c r="U284" s="3"/>
      <c r="V284" s="142">
        <f t="shared" si="165"/>
        <v>8.747823386419247E-2</v>
      </c>
      <c r="W284" s="142">
        <f t="shared" si="166"/>
        <v>0</v>
      </c>
      <c r="X284" s="142">
        <f t="shared" si="167"/>
        <v>7.7764117579468763</v>
      </c>
      <c r="Y284" s="142">
        <f t="shared" si="168"/>
        <v>4.9627394570272001</v>
      </c>
      <c r="Z284" s="142">
        <f t="shared" si="169"/>
        <v>3.0302511060069559</v>
      </c>
      <c r="AA284" s="142">
        <f t="shared" si="170"/>
        <v>8.3271920046001657</v>
      </c>
      <c r="AB284" s="142">
        <f t="shared" si="171"/>
        <v>4.1594365657343468</v>
      </c>
      <c r="AC284" s="142">
        <f t="shared" si="172"/>
        <v>1.7272431304239648</v>
      </c>
      <c r="AD284" s="115"/>
      <c r="AE284" s="142">
        <f t="shared" ref="AE284:AL284" si="392">V264</f>
        <v>0.17495646772838486</v>
      </c>
      <c r="AF284" s="142">
        <f t="shared" si="392"/>
        <v>0</v>
      </c>
      <c r="AG284" s="142">
        <f t="shared" si="392"/>
        <v>7.7764117579468763</v>
      </c>
      <c r="AH284" s="142">
        <f t="shared" si="392"/>
        <v>4.9627394570272001</v>
      </c>
      <c r="AI284" s="142">
        <f t="shared" si="392"/>
        <v>4.1235354030716129</v>
      </c>
      <c r="AJ284" s="142">
        <f t="shared" si="392"/>
        <v>7.5976069503590189</v>
      </c>
      <c r="AK284" s="142">
        <f t="shared" si="392"/>
        <v>3.7950084667127957</v>
      </c>
      <c r="AL284" s="142">
        <f t="shared" si="392"/>
        <v>2.350415179750819</v>
      </c>
      <c r="AM284" s="115"/>
      <c r="AN284" s="144">
        <f t="shared" ref="AN284:AU284" si="393">AE264</f>
        <v>0.34991293545676982</v>
      </c>
      <c r="AO284" s="144">
        <f t="shared" si="393"/>
        <v>0</v>
      </c>
      <c r="AP284" s="144">
        <f t="shared" si="393"/>
        <v>7.7764117579468763</v>
      </c>
      <c r="AQ284" s="144">
        <f t="shared" si="393"/>
        <v>4.9627394570272001</v>
      </c>
      <c r="AR284" s="144">
        <f t="shared" si="393"/>
        <v>5.6112657418648686</v>
      </c>
      <c r="AS284" s="144">
        <f t="shared" si="393"/>
        <v>6.604794904270987</v>
      </c>
      <c r="AT284" s="144">
        <f t="shared" si="393"/>
        <v>3.2990983537817109</v>
      </c>
      <c r="AU284" s="144">
        <f t="shared" si="393"/>
        <v>3.1984214728629747</v>
      </c>
      <c r="AV284" s="115"/>
      <c r="AW284" s="144">
        <f t="shared" ref="AW284:BD284" si="394">AN264</f>
        <v>0.69982587091353965</v>
      </c>
      <c r="AX284" s="144">
        <f t="shared" si="394"/>
        <v>0</v>
      </c>
      <c r="AY284" s="144">
        <f t="shared" si="394"/>
        <v>7.7764117579468763</v>
      </c>
      <c r="AZ284" s="144">
        <f t="shared" si="394"/>
        <v>4.9627394570272001</v>
      </c>
      <c r="BA284" s="144">
        <f t="shared" si="394"/>
        <v>7.6357543098507712</v>
      </c>
      <c r="BB284" s="144">
        <f t="shared" si="394"/>
        <v>5.2537861999017288</v>
      </c>
      <c r="BC284" s="144">
        <f t="shared" si="394"/>
        <v>2.6242688311197431</v>
      </c>
      <c r="BD284" s="144">
        <f t="shared" si="394"/>
        <v>4.3523799566149393</v>
      </c>
      <c r="BE284" s="17"/>
      <c r="BF284" s="142">
        <f t="shared" ref="BF284:BM284" si="395">AW264</f>
        <v>1.3996517418270789</v>
      </c>
      <c r="BG284" s="142">
        <f t="shared" si="395"/>
        <v>0</v>
      </c>
      <c r="BH284" s="142">
        <f t="shared" si="395"/>
        <v>7.7764117579468763</v>
      </c>
      <c r="BI284" s="142">
        <f t="shared" si="395"/>
        <v>4.9627394570272001</v>
      </c>
      <c r="BJ284" s="142">
        <f t="shared" si="395"/>
        <v>10.390658108633332</v>
      </c>
      <c r="BK284" s="142">
        <f t="shared" si="395"/>
        <v>3.4153470648474982</v>
      </c>
      <c r="BL284" s="142">
        <f t="shared" si="395"/>
        <v>1.7059675648588901</v>
      </c>
      <c r="BM284" s="142">
        <f t="shared" si="395"/>
        <v>5.9226751219209985</v>
      </c>
      <c r="BN284" s="17"/>
      <c r="BO284" s="142">
        <f t="shared" ref="BO284:BV284" si="396">BF264</f>
        <v>2.7993034836541577</v>
      </c>
      <c r="BP284" s="142">
        <f t="shared" si="396"/>
        <v>61.296531334777512</v>
      </c>
      <c r="BQ284" s="142">
        <f t="shared" si="396"/>
        <v>7.7764117579468763</v>
      </c>
      <c r="BR284" s="142">
        <f t="shared" si="396"/>
        <v>4.9627394570272001</v>
      </c>
      <c r="BS284" s="142">
        <f t="shared" si="396"/>
        <v>14.139503649459039</v>
      </c>
      <c r="BT284" s="142">
        <f t="shared" si="396"/>
        <v>0.91361747393647497</v>
      </c>
      <c r="BU284" s="142">
        <f t="shared" si="396"/>
        <v>0.4563523845836539</v>
      </c>
      <c r="BV284" s="142">
        <f t="shared" si="396"/>
        <v>8.059517080191652</v>
      </c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>
        <f t="shared" si="307"/>
        <v>126</v>
      </c>
      <c r="CI284" s="113">
        <f t="shared" si="308"/>
        <v>159.97360383685276</v>
      </c>
      <c r="CJ284" s="124">
        <f t="shared" si="353"/>
        <v>5.5548678503762199</v>
      </c>
      <c r="CK284" s="124">
        <f t="shared" si="354"/>
        <v>61.296531334777512</v>
      </c>
      <c r="CL284" s="124">
        <f t="shared" si="355"/>
        <v>60.495505462884942</v>
      </c>
      <c r="CM284" s="124">
        <f t="shared" si="356"/>
        <v>35.493387080982366</v>
      </c>
      <c r="CN284" s="124">
        <f t="shared" si="357"/>
        <v>47.157800604263933</v>
      </c>
      <c r="CO284" s="124">
        <f t="shared" si="358"/>
        <v>40.97568476214952</v>
      </c>
      <c r="CP284" s="124">
        <f t="shared" si="359"/>
        <v>20.467375006068686</v>
      </c>
      <c r="CQ284" s="124">
        <f t="shared" si="360"/>
        <v>28.223384477622368</v>
      </c>
      <c r="CR284" s="144">
        <f t="shared" si="111"/>
        <v>299.66453657912552</v>
      </c>
    </row>
    <row r="285" spans="1:96" ht="14">
      <c r="A285">
        <f t="shared" si="314"/>
        <v>127</v>
      </c>
      <c r="B285" s="19">
        <f t="shared" si="314"/>
        <v>207</v>
      </c>
      <c r="C285" s="26">
        <f t="shared" si="105"/>
        <v>160.13057700923375</v>
      </c>
      <c r="D285" s="26"/>
      <c r="E285" s="26"/>
      <c r="F285" s="141">
        <f t="shared" ref="F285:G285" si="397">F284</f>
        <v>6.0606231572568161</v>
      </c>
      <c r="G285" s="141">
        <f t="shared" si="397"/>
        <v>0.7542108817919595</v>
      </c>
      <c r="H285" s="140">
        <f>(H$118)*('Product half-life and C flows'!L186/100)</f>
        <v>0</v>
      </c>
      <c r="I285" s="140">
        <f>(($C$39*$C$118*0.28)*H$41)*('Product half-life and C flows'!N186/100)</f>
        <v>0</v>
      </c>
      <c r="J285" s="140">
        <f>(($C$39*$C$118*0.28)*H$41)*(+'Product half-life and C flows'!P186/100)</f>
        <v>0</v>
      </c>
      <c r="K285" s="141">
        <f t="shared" si="201"/>
        <v>1.3434381331919276</v>
      </c>
      <c r="L285" s="26"/>
      <c r="M285" s="142">
        <f>(C$158-C$138)*(0.4*D$14)*('Product half-life and C flows'!B146/100)</f>
        <v>4.2249202039803604E-2</v>
      </c>
      <c r="N285" s="85"/>
      <c r="O285" s="143">
        <f t="shared" si="326"/>
        <v>7.7764117579468763</v>
      </c>
      <c r="P285" s="142">
        <f t="shared" si="327"/>
        <v>4.9627394570272001</v>
      </c>
      <c r="Q285" s="142">
        <f>(C$158-C$138)*(0.6*C$15)*('Product half-life and C flows'!L146/100)</f>
        <v>2.1927946037217754</v>
      </c>
      <c r="R285" s="142">
        <f>(C$158-C$138)*0.6*('Product half-life and C flows'!N146/100)</f>
        <v>8.8860546437918089</v>
      </c>
      <c r="S285" s="142">
        <f>(C$158-C$138)*0.6*('Product half-life and C flows'!P146/100)</f>
        <v>4.4385887331627396</v>
      </c>
      <c r="T285" s="142">
        <f t="shared" si="108"/>
        <v>1.2498929241214118</v>
      </c>
      <c r="U285" s="3"/>
      <c r="V285" s="142">
        <f t="shared" si="165"/>
        <v>8.4498404079607195E-2</v>
      </c>
      <c r="W285" s="142">
        <f t="shared" si="166"/>
        <v>0</v>
      </c>
      <c r="X285" s="142">
        <f t="shared" si="167"/>
        <v>7.7764117579468763</v>
      </c>
      <c r="Y285" s="142">
        <f t="shared" si="168"/>
        <v>4.9627394570272001</v>
      </c>
      <c r="Z285" s="142">
        <f t="shared" si="169"/>
        <v>2.9839329691809273</v>
      </c>
      <c r="AA285" s="142">
        <f t="shared" si="170"/>
        <v>8.358101641242067</v>
      </c>
      <c r="AB285" s="142">
        <f t="shared" si="171"/>
        <v>4.1748759446763559</v>
      </c>
      <c r="AC285" s="142">
        <f t="shared" si="172"/>
        <v>1.7008417924331285</v>
      </c>
      <c r="AD285" s="115"/>
      <c r="AE285" s="142">
        <f t="shared" ref="AE285:AL285" si="398">V265</f>
        <v>0.16899680815921439</v>
      </c>
      <c r="AF285" s="142">
        <f t="shared" si="398"/>
        <v>0</v>
      </c>
      <c r="AG285" s="142">
        <f t="shared" si="398"/>
        <v>7.7764117579468763</v>
      </c>
      <c r="AH285" s="142">
        <f t="shared" si="398"/>
        <v>4.9627394570272001</v>
      </c>
      <c r="AI285" s="142">
        <f t="shared" si="398"/>
        <v>4.0605061456520435</v>
      </c>
      <c r="AJ285" s="142">
        <f t="shared" si="398"/>
        <v>7.6396684748103443</v>
      </c>
      <c r="AK285" s="142">
        <f t="shared" si="398"/>
        <v>3.816018219185985</v>
      </c>
      <c r="AL285" s="142">
        <f t="shared" si="398"/>
        <v>2.3144885030216646</v>
      </c>
      <c r="AM285" s="115"/>
      <c r="AN285" s="144">
        <f t="shared" ref="AN285:AU285" si="399">AE265</f>
        <v>0.33799361631842861</v>
      </c>
      <c r="AO285" s="144">
        <f t="shared" si="399"/>
        <v>0</v>
      </c>
      <c r="AP285" s="144">
        <f t="shared" si="399"/>
        <v>7.7764117579468763</v>
      </c>
      <c r="AQ285" s="144">
        <f t="shared" si="399"/>
        <v>4.9627394570272001</v>
      </c>
      <c r="AR285" s="144">
        <f t="shared" si="399"/>
        <v>5.5254961586499034</v>
      </c>
      <c r="AS285" s="144">
        <f t="shared" si="399"/>
        <v>6.662031806136441</v>
      </c>
      <c r="AT285" s="144">
        <f t="shared" si="399"/>
        <v>3.327688214853366</v>
      </c>
      <c r="AU285" s="144">
        <f t="shared" si="399"/>
        <v>3.1495328104304448</v>
      </c>
      <c r="AV285" s="115"/>
      <c r="AW285" s="144">
        <f t="shared" ref="AW285:BD285" si="400">AN265</f>
        <v>0.67598723263685712</v>
      </c>
      <c r="AX285" s="144">
        <f t="shared" si="400"/>
        <v>0</v>
      </c>
      <c r="AY285" s="144">
        <f t="shared" si="400"/>
        <v>7.7764117579468763</v>
      </c>
      <c r="AZ285" s="144">
        <f t="shared" si="400"/>
        <v>4.9627394570272001</v>
      </c>
      <c r="BA285" s="144">
        <f t="shared" si="400"/>
        <v>7.5190399186927204</v>
      </c>
      <c r="BB285" s="144">
        <f t="shared" si="400"/>
        <v>5.3316736036012013</v>
      </c>
      <c r="BC285" s="144">
        <f t="shared" si="400"/>
        <v>2.6631736281724274</v>
      </c>
      <c r="BD285" s="144">
        <f t="shared" si="400"/>
        <v>4.2858527536548499</v>
      </c>
      <c r="BE285" s="17"/>
      <c r="BF285" s="142">
        <f t="shared" ref="BF285:BM285" si="401">AW265</f>
        <v>1.3519744652737142</v>
      </c>
      <c r="BG285" s="142">
        <f t="shared" si="401"/>
        <v>0</v>
      </c>
      <c r="BH285" s="142">
        <f t="shared" si="401"/>
        <v>7.7764117579468763</v>
      </c>
      <c r="BI285" s="142">
        <f t="shared" si="401"/>
        <v>4.9627394570272001</v>
      </c>
      <c r="BJ285" s="142">
        <f t="shared" si="401"/>
        <v>10.231834332269013</v>
      </c>
      <c r="BK285" s="142">
        <f t="shared" si="401"/>
        <v>3.5213354649412865</v>
      </c>
      <c r="BL285" s="142">
        <f t="shared" si="401"/>
        <v>1.7589088236469963</v>
      </c>
      <c r="BM285" s="142">
        <f t="shared" si="401"/>
        <v>5.8321455693933375</v>
      </c>
      <c r="BN285" s="17"/>
      <c r="BO285" s="142">
        <f t="shared" ref="BO285:BV285" si="402">BF265</f>
        <v>2.7039489305474285</v>
      </c>
      <c r="BP285" s="142">
        <f t="shared" si="402"/>
        <v>63.019704757356401</v>
      </c>
      <c r="BQ285" s="142">
        <f t="shared" si="402"/>
        <v>7.7764117579468763</v>
      </c>
      <c r="BR285" s="142">
        <f t="shared" si="402"/>
        <v>4.9627394570272001</v>
      </c>
      <c r="BS285" s="142">
        <f t="shared" si="402"/>
        <v>13.923377842792547</v>
      </c>
      <c r="BT285" s="142">
        <f t="shared" si="402"/>
        <v>1.0578454289185806</v>
      </c>
      <c r="BU285" s="142">
        <f t="shared" si="402"/>
        <v>0.52839432013915122</v>
      </c>
      <c r="BV285" s="142">
        <f t="shared" si="402"/>
        <v>7.9363253703917511</v>
      </c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>
        <f t="shared" si="307"/>
        <v>127</v>
      </c>
      <c r="CI285" s="113">
        <f t="shared" si="308"/>
        <v>160.13057700923375</v>
      </c>
      <c r="CJ285" s="124">
        <f t="shared" si="353"/>
        <v>5.3656486590550543</v>
      </c>
      <c r="CK285" s="124">
        <f t="shared" si="354"/>
        <v>63.019704757356401</v>
      </c>
      <c r="CL285" s="124">
        <f t="shared" si="355"/>
        <v>60.495505462884942</v>
      </c>
      <c r="CM285" s="124">
        <f t="shared" si="356"/>
        <v>35.493387080982366</v>
      </c>
      <c r="CN285" s="124">
        <f t="shared" si="357"/>
        <v>46.436981970958925</v>
      </c>
      <c r="CO285" s="124">
        <f t="shared" si="358"/>
        <v>41.45671106344173</v>
      </c>
      <c r="CP285" s="124">
        <f t="shared" si="359"/>
        <v>20.707647883837019</v>
      </c>
      <c r="CQ285" s="124">
        <f t="shared" si="360"/>
        <v>27.812517856638515</v>
      </c>
      <c r="CR285" s="144">
        <f t="shared" si="111"/>
        <v>300.78810473515495</v>
      </c>
    </row>
    <row r="286" spans="1:96" ht="14">
      <c r="A286">
        <f t="shared" si="314"/>
        <v>128</v>
      </c>
      <c r="B286" s="19">
        <f t="shared" si="314"/>
        <v>208</v>
      </c>
      <c r="C286" s="26">
        <f t="shared" ref="C286:C318" si="403">B$8*(1-EXP(-B$9*$B286))^3</f>
        <v>160.28454152791318</v>
      </c>
      <c r="D286" s="26"/>
      <c r="E286" s="26"/>
      <c r="F286" s="141">
        <f t="shared" ref="F286:G286" si="404">F285</f>
        <v>6.0606231572568161</v>
      </c>
      <c r="G286" s="141">
        <f t="shared" si="404"/>
        <v>0.7542108817919595</v>
      </c>
      <c r="H286" s="140">
        <f>(H$118)*('Product half-life and C flows'!L187/100)</f>
        <v>0</v>
      </c>
      <c r="I286" s="140">
        <f>(($C$39*$C$118*0.28)*H$41)*('Product half-life and C flows'!N187/100)</f>
        <v>0</v>
      </c>
      <c r="J286" s="140">
        <f>(($C$39*$C$118*0.28)*H$41)*(+'Product half-life and C flows'!P187/100)</f>
        <v>0</v>
      </c>
      <c r="K286" s="141">
        <f t="shared" si="201"/>
        <v>1.3434381331919276</v>
      </c>
      <c r="L286" s="26"/>
      <c r="M286" s="142">
        <f>(C$158-C$138)*(0.4*D$14)*('Product half-life and C flows'!B147/100)</f>
        <v>4.0810039118331976E-2</v>
      </c>
      <c r="N286" s="85"/>
      <c r="O286" s="143">
        <f t="shared" si="326"/>
        <v>7.7764117579468763</v>
      </c>
      <c r="P286" s="142">
        <f t="shared" si="327"/>
        <v>4.9627394570272001</v>
      </c>
      <c r="Q286" s="142">
        <f>(C$158-C$138)*(0.6*C$15)*('Product half-life and C flows'!L147/100)</f>
        <v>2.1592771964398416</v>
      </c>
      <c r="R286" s="142">
        <f>(C$158-C$138)*0.6*('Product half-life and C flows'!N147/100)</f>
        <v>8.908421926917951</v>
      </c>
      <c r="S286" s="142">
        <f>(C$158-C$138)*0.6*('Product half-life and C flows'!P147/100)</f>
        <v>4.4497612022567177</v>
      </c>
      <c r="T286" s="142">
        <f t="shared" si="108"/>
        <v>1.2307880019707096</v>
      </c>
      <c r="U286" s="3"/>
      <c r="V286" s="142">
        <f t="shared" si="165"/>
        <v>8.1620078236663909E-2</v>
      </c>
      <c r="W286" s="142">
        <f t="shared" si="166"/>
        <v>0</v>
      </c>
      <c r="X286" s="142">
        <f t="shared" si="167"/>
        <v>7.7764117579468763</v>
      </c>
      <c r="Y286" s="142">
        <f t="shared" si="168"/>
        <v>4.9627394570272001</v>
      </c>
      <c r="Z286" s="142">
        <f t="shared" si="169"/>
        <v>2.9383228165199005</v>
      </c>
      <c r="AA286" s="142">
        <f t="shared" si="170"/>
        <v>8.3885388164511934</v>
      </c>
      <c r="AB286" s="142">
        <f t="shared" si="171"/>
        <v>4.1900793288966982</v>
      </c>
      <c r="AC286" s="142">
        <f t="shared" si="172"/>
        <v>1.6748440054163432</v>
      </c>
      <c r="AD286" s="115"/>
      <c r="AE286" s="142">
        <f t="shared" ref="AE286:AL286" si="405">V266</f>
        <v>0.16324015647332785</v>
      </c>
      <c r="AF286" s="142">
        <f t="shared" si="405"/>
        <v>0</v>
      </c>
      <c r="AG286" s="142">
        <f t="shared" si="405"/>
        <v>7.7764117579468763</v>
      </c>
      <c r="AH286" s="142">
        <f t="shared" si="405"/>
        <v>4.9627394570272001</v>
      </c>
      <c r="AI286" s="142">
        <f t="shared" si="405"/>
        <v>3.998440306004492</v>
      </c>
      <c r="AJ286" s="142">
        <f t="shared" si="405"/>
        <v>7.6810870784684777</v>
      </c>
      <c r="AK286" s="142">
        <f t="shared" si="405"/>
        <v>3.8367068324018359</v>
      </c>
      <c r="AL286" s="142">
        <f t="shared" si="405"/>
        <v>2.2791109744225602</v>
      </c>
      <c r="AM286" s="115"/>
      <c r="AN286" s="144">
        <f t="shared" ref="AN286:AU286" si="406">AE266</f>
        <v>0.32648031294665569</v>
      </c>
      <c r="AO286" s="144">
        <f t="shared" si="406"/>
        <v>0</v>
      </c>
      <c r="AP286" s="144">
        <f t="shared" si="406"/>
        <v>7.7764117579468763</v>
      </c>
      <c r="AQ286" s="144">
        <f t="shared" si="406"/>
        <v>4.9627394570272001</v>
      </c>
      <c r="AR286" s="144">
        <f t="shared" si="406"/>
        <v>5.4410375847050894</v>
      </c>
      <c r="AS286" s="144">
        <f t="shared" si="406"/>
        <v>6.7183938278156141</v>
      </c>
      <c r="AT286" s="144">
        <f t="shared" si="406"/>
        <v>3.3558410728349708</v>
      </c>
      <c r="AU286" s="144">
        <f t="shared" si="406"/>
        <v>3.1013914232819007</v>
      </c>
      <c r="AV286" s="115"/>
      <c r="AW286" s="144">
        <f t="shared" ref="AW286:BD286" si="407">AN266</f>
        <v>0.65296062589331128</v>
      </c>
      <c r="AX286" s="144">
        <f t="shared" si="407"/>
        <v>0</v>
      </c>
      <c r="AY286" s="144">
        <f t="shared" si="407"/>
        <v>7.7764117579468763</v>
      </c>
      <c r="AZ286" s="144">
        <f t="shared" si="407"/>
        <v>4.9627394570272001</v>
      </c>
      <c r="BA286" s="144">
        <f t="shared" si="407"/>
        <v>7.4041095358396269</v>
      </c>
      <c r="BB286" s="144">
        <f t="shared" si="407"/>
        <v>5.4083704790918317</v>
      </c>
      <c r="BC286" s="144">
        <f t="shared" si="407"/>
        <v>2.7014837557901243</v>
      </c>
      <c r="BD286" s="144">
        <f t="shared" si="407"/>
        <v>4.220342435428587</v>
      </c>
      <c r="BE286" s="17"/>
      <c r="BF286" s="142">
        <f t="shared" ref="BF286:BM286" si="408">AW266</f>
        <v>1.3059212517866228</v>
      </c>
      <c r="BG286" s="142">
        <f t="shared" si="408"/>
        <v>0</v>
      </c>
      <c r="BH286" s="142">
        <f t="shared" si="408"/>
        <v>7.7764117579468763</v>
      </c>
      <c r="BI286" s="142">
        <f t="shared" si="408"/>
        <v>4.9627394570272001</v>
      </c>
      <c r="BJ286" s="142">
        <f t="shared" si="408"/>
        <v>10.075438216566313</v>
      </c>
      <c r="BK286" s="142">
        <f t="shared" si="408"/>
        <v>3.6257038061535538</v>
      </c>
      <c r="BL286" s="142">
        <f t="shared" si="408"/>
        <v>1.8110408622145622</v>
      </c>
      <c r="BM286" s="142">
        <f t="shared" si="408"/>
        <v>5.7429997834427979</v>
      </c>
      <c r="BN286" s="17"/>
      <c r="BO286" s="142">
        <f t="shared" ref="BO286:BV286" si="409">BF266</f>
        <v>2.6118425035732455</v>
      </c>
      <c r="BP286" s="142">
        <f t="shared" si="409"/>
        <v>64.742878179935289</v>
      </c>
      <c r="BQ286" s="142">
        <f t="shared" si="409"/>
        <v>7.7764117579468763</v>
      </c>
      <c r="BR286" s="142">
        <f t="shared" si="409"/>
        <v>4.9627394570272001</v>
      </c>
      <c r="BS286" s="142">
        <f t="shared" si="409"/>
        <v>13.710555572478198</v>
      </c>
      <c r="BT286" s="142">
        <f t="shared" si="409"/>
        <v>1.1998688239750228</v>
      </c>
      <c r="BU286" s="142">
        <f t="shared" si="409"/>
        <v>0.59933507691060084</v>
      </c>
      <c r="BV286" s="142">
        <f t="shared" si="409"/>
        <v>7.8150166763125721</v>
      </c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>
        <f t="shared" si="307"/>
        <v>128</v>
      </c>
      <c r="CI286" s="113">
        <f t="shared" si="308"/>
        <v>160.28454152791318</v>
      </c>
      <c r="CJ286" s="124">
        <f t="shared" si="353"/>
        <v>5.1828749680281589</v>
      </c>
      <c r="CK286" s="124">
        <f t="shared" si="354"/>
        <v>64.742878179935289</v>
      </c>
      <c r="CL286" s="124">
        <f t="shared" si="355"/>
        <v>60.495505462884942</v>
      </c>
      <c r="CM286" s="124">
        <f t="shared" si="356"/>
        <v>35.493387080982366</v>
      </c>
      <c r="CN286" s="124">
        <f t="shared" si="357"/>
        <v>45.727181228553462</v>
      </c>
      <c r="CO286" s="124">
        <f t="shared" si="358"/>
        <v>41.930384758873643</v>
      </c>
      <c r="CP286" s="124">
        <f t="shared" si="359"/>
        <v>20.94424813130551</v>
      </c>
      <c r="CQ286" s="124">
        <f t="shared" si="360"/>
        <v>27.407931433467397</v>
      </c>
      <c r="CR286" s="144">
        <f t="shared" si="111"/>
        <v>301.9243912440308</v>
      </c>
    </row>
    <row r="287" spans="1:96" ht="14">
      <c r="A287">
        <f t="shared" si="314"/>
        <v>129</v>
      </c>
      <c r="B287" s="19">
        <f t="shared" si="314"/>
        <v>209</v>
      </c>
      <c r="C287" s="26">
        <f t="shared" si="403"/>
        <v>160.43555309260927</v>
      </c>
      <c r="D287" s="26"/>
      <c r="E287" s="26"/>
      <c r="F287" s="141">
        <f t="shared" ref="F287:G287" si="410">F286</f>
        <v>6.0606231572568161</v>
      </c>
      <c r="G287" s="141">
        <f t="shared" si="410"/>
        <v>0.7542108817919595</v>
      </c>
      <c r="H287" s="140">
        <f>(H$118)*('Product half-life and C flows'!L188/100)</f>
        <v>0</v>
      </c>
      <c r="I287" s="140">
        <f>(($C$39*$C$118*0.28)*H$41)*('Product half-life and C flows'!N188/100)</f>
        <v>0</v>
      </c>
      <c r="J287" s="140">
        <f>(($C$39*$C$118*0.28)*H$41)*(+'Product half-life and C flows'!P188/100)</f>
        <v>0</v>
      </c>
      <c r="K287" s="141">
        <f t="shared" si="201"/>
        <v>1.3434381331919276</v>
      </c>
      <c r="L287" s="26"/>
      <c r="M287" s="142">
        <f>(C$158-C$138)*(0.4*D$14)*('Product half-life and C flows'!B148/100)</f>
        <v>3.941989936924091E-2</v>
      </c>
      <c r="N287" s="85"/>
      <c r="O287" s="143">
        <f t="shared" si="326"/>
        <v>7.7764117579468763</v>
      </c>
      <c r="P287" s="142">
        <f t="shared" si="327"/>
        <v>4.9627394570272001</v>
      </c>
      <c r="Q287" s="142">
        <f>(C$158-C$138)*(0.6*C$15)*('Product half-life and C flows'!L148/100)</f>
        <v>2.1262721110092104</v>
      </c>
      <c r="R287" s="142">
        <f>(C$158-C$138)*0.6*('Product half-life and C flows'!N148/100)</f>
        <v>8.9304473205953272</v>
      </c>
      <c r="S287" s="142">
        <f>(C$158-C$138)*0.6*('Product half-life and C flows'!P148/100)</f>
        <v>4.4607628974002616</v>
      </c>
      <c r="T287" s="142">
        <f t="shared" ref="T287:T318" si="411">(Q287*T$42)</f>
        <v>1.2119751032752499</v>
      </c>
      <c r="U287" s="3"/>
      <c r="V287" s="142">
        <f t="shared" si="165"/>
        <v>7.883979873848182E-2</v>
      </c>
      <c r="W287" s="142">
        <f t="shared" si="166"/>
        <v>0</v>
      </c>
      <c r="X287" s="142">
        <f t="shared" si="167"/>
        <v>7.7764117579468763</v>
      </c>
      <c r="Y287" s="142">
        <f t="shared" si="168"/>
        <v>4.9627394570272001</v>
      </c>
      <c r="Z287" s="142">
        <f t="shared" si="169"/>
        <v>2.8934098263109966</v>
      </c>
      <c r="AA287" s="142">
        <f t="shared" si="170"/>
        <v>8.4185107519172675</v>
      </c>
      <c r="AB287" s="142">
        <f t="shared" si="171"/>
        <v>4.2050503256329996</v>
      </c>
      <c r="AC287" s="142">
        <f t="shared" si="172"/>
        <v>1.649243600997268</v>
      </c>
      <c r="AD287" s="115"/>
      <c r="AE287" s="142">
        <f t="shared" ref="AE287:AL287" si="412">V267</f>
        <v>0.15767959747696364</v>
      </c>
      <c r="AF287" s="142">
        <f t="shared" si="412"/>
        <v>0</v>
      </c>
      <c r="AG287" s="142">
        <f t="shared" si="412"/>
        <v>7.7764117579468763</v>
      </c>
      <c r="AH287" s="142">
        <f t="shared" si="412"/>
        <v>4.9627394570272001</v>
      </c>
      <c r="AI287" s="142">
        <f t="shared" si="412"/>
        <v>3.9373231580502845</v>
      </c>
      <c r="AJ287" s="142">
        <f t="shared" si="412"/>
        <v>7.7218725885365851</v>
      </c>
      <c r="AK287" s="142">
        <f t="shared" si="412"/>
        <v>3.857079215053238</v>
      </c>
      <c r="AL287" s="142">
        <f t="shared" si="412"/>
        <v>2.244274200088662</v>
      </c>
      <c r="AM287" s="115"/>
      <c r="AN287" s="144">
        <f t="shared" ref="AN287:AU287" si="413">AE267</f>
        <v>0.31535919495392739</v>
      </c>
      <c r="AO287" s="144">
        <f t="shared" si="413"/>
        <v>0</v>
      </c>
      <c r="AP287" s="144">
        <f t="shared" si="413"/>
        <v>7.7764117579468763</v>
      </c>
      <c r="AQ287" s="144">
        <f t="shared" si="413"/>
        <v>4.9627394570272001</v>
      </c>
      <c r="AR287" s="144">
        <f t="shared" si="413"/>
        <v>5.3578699809298236</v>
      </c>
      <c r="AS287" s="144">
        <f t="shared" si="413"/>
        <v>6.7738943420683073</v>
      </c>
      <c r="AT287" s="144">
        <f t="shared" si="413"/>
        <v>3.3835636074267259</v>
      </c>
      <c r="AU287" s="144">
        <f t="shared" si="413"/>
        <v>3.0539858891299994</v>
      </c>
      <c r="AV287" s="115"/>
      <c r="AW287" s="144">
        <f t="shared" ref="AW287:BD287" si="414">AN267</f>
        <v>0.63071838990785456</v>
      </c>
      <c r="AX287" s="144">
        <f t="shared" si="414"/>
        <v>0</v>
      </c>
      <c r="AY287" s="144">
        <f t="shared" si="414"/>
        <v>7.7764117579468763</v>
      </c>
      <c r="AZ287" s="144">
        <f t="shared" si="414"/>
        <v>4.9627394570272001</v>
      </c>
      <c r="BA287" s="144">
        <f t="shared" si="414"/>
        <v>7.2909358922837857</v>
      </c>
      <c r="BB287" s="144">
        <f t="shared" si="414"/>
        <v>5.4838950238914306</v>
      </c>
      <c r="BC287" s="144">
        <f t="shared" si="414"/>
        <v>2.7392083036420716</v>
      </c>
      <c r="BD287" s="144">
        <f t="shared" si="414"/>
        <v>4.1558334586017578</v>
      </c>
      <c r="BE287" s="17"/>
      <c r="BF287" s="142">
        <f t="shared" ref="BF287:BM287" si="415">AW267</f>
        <v>1.2614367798157096</v>
      </c>
      <c r="BG287" s="142">
        <f t="shared" si="415"/>
        <v>0</v>
      </c>
      <c r="BH287" s="142">
        <f t="shared" si="415"/>
        <v>7.7764117579468763</v>
      </c>
      <c r="BI287" s="142">
        <f t="shared" si="415"/>
        <v>4.9627394570272001</v>
      </c>
      <c r="BJ287" s="142">
        <f t="shared" si="415"/>
        <v>9.9214326541322233</v>
      </c>
      <c r="BK287" s="142">
        <f t="shared" si="415"/>
        <v>3.728476851484571</v>
      </c>
      <c r="BL287" s="142">
        <f t="shared" si="415"/>
        <v>1.8623760496925927</v>
      </c>
      <c r="BM287" s="142">
        <f t="shared" si="415"/>
        <v>5.6552166128553667</v>
      </c>
      <c r="BN287" s="17"/>
      <c r="BO287" s="142">
        <f t="shared" ref="BO287:BV287" si="416">BF267</f>
        <v>2.5228735596314182</v>
      </c>
      <c r="BP287" s="142">
        <f t="shared" si="416"/>
        <v>66.466051602514185</v>
      </c>
      <c r="BQ287" s="142">
        <f t="shared" si="416"/>
        <v>7.7764117579468763</v>
      </c>
      <c r="BR287" s="142">
        <f t="shared" si="416"/>
        <v>4.9627394570272001</v>
      </c>
      <c r="BS287" s="142">
        <f t="shared" si="416"/>
        <v>13.500986343146657</v>
      </c>
      <c r="BT287" s="142">
        <f t="shared" si="416"/>
        <v>1.3397213563489379</v>
      </c>
      <c r="BU287" s="142">
        <f t="shared" si="416"/>
        <v>0.66919148668778117</v>
      </c>
      <c r="BV287" s="142">
        <f t="shared" si="416"/>
        <v>7.6955622155935934</v>
      </c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>
        <f t="shared" si="307"/>
        <v>129</v>
      </c>
      <c r="CI287" s="113">
        <f t="shared" si="308"/>
        <v>160.43555309260927</v>
      </c>
      <c r="CJ287" s="124">
        <f t="shared" si="353"/>
        <v>5.0063272198935964</v>
      </c>
      <c r="CK287" s="124">
        <f t="shared" si="354"/>
        <v>66.466051602514185</v>
      </c>
      <c r="CL287" s="124">
        <f t="shared" si="355"/>
        <v>60.495505462884942</v>
      </c>
      <c r="CM287" s="124">
        <f t="shared" si="356"/>
        <v>35.493387080982366</v>
      </c>
      <c r="CN287" s="124">
        <f t="shared" si="357"/>
        <v>45.028229965862984</v>
      </c>
      <c r="CO287" s="124">
        <f t="shared" si="358"/>
        <v>42.396818234842428</v>
      </c>
      <c r="CP287" s="124">
        <f t="shared" si="359"/>
        <v>21.177231885535669</v>
      </c>
      <c r="CQ287" s="124">
        <f t="shared" si="360"/>
        <v>27.009529213733824</v>
      </c>
      <c r="CR287" s="144">
        <f t="shared" ref="CR287:CR318" si="417">SUM(CJ287:CQ287)</f>
        <v>303.07308066624995</v>
      </c>
    </row>
    <row r="288" spans="1:96" ht="14">
      <c r="A288">
        <f t="shared" ref="A288:B303" si="418">A287+1</f>
        <v>130</v>
      </c>
      <c r="B288" s="19">
        <f t="shared" si="418"/>
        <v>210</v>
      </c>
      <c r="C288" s="26">
        <f t="shared" si="403"/>
        <v>160.58366645029093</v>
      </c>
      <c r="D288" s="26"/>
      <c r="E288" s="26"/>
      <c r="F288" s="141">
        <f t="shared" ref="F288:G288" si="419">F287</f>
        <v>6.0606231572568161</v>
      </c>
      <c r="G288" s="141">
        <f t="shared" si="419"/>
        <v>0.7542108817919595</v>
      </c>
      <c r="H288" s="140">
        <f>(H$118)*('Product half-life and C flows'!L189/100)</f>
        <v>0</v>
      </c>
      <c r="I288" s="140">
        <f>(($C$39*$C$118*0.28)*H$41)*('Product half-life and C flows'!N189/100)</f>
        <v>0</v>
      </c>
      <c r="J288" s="140">
        <f>(($C$39*$C$118*0.28)*H$41)*(+'Product half-life and C flows'!P189/100)</f>
        <v>0</v>
      </c>
      <c r="K288" s="141">
        <f t="shared" si="201"/>
        <v>1.3434381331919276</v>
      </c>
      <c r="L288" s="26"/>
      <c r="M288" s="142">
        <f>(C$158-C$138)*(0.4*D$14)*('Product half-life and C flows'!B149/100)</f>
        <v>3.8077112883311413E-2</v>
      </c>
      <c r="N288" s="85"/>
      <c r="O288" s="143">
        <f t="shared" si="326"/>
        <v>7.7764117579468763</v>
      </c>
      <c r="P288" s="142">
        <f t="shared" si="327"/>
        <v>4.9627394570272001</v>
      </c>
      <c r="Q288" s="142">
        <f>(C$158-C$138)*(0.6*C$15)*('Product half-life and C flows'!L149/100)</f>
        <v>2.0937715164638058</v>
      </c>
      <c r="R288" s="142">
        <f>(C$158-C$138)*0.6*('Product half-life and C flows'!N149/100)</f>
        <v>8.9521360506886261</v>
      </c>
      <c r="S288" s="142">
        <f>(C$158-C$138)*0.6*('Product half-life and C flows'!P149/100)</f>
        <v>4.4715964289153964</v>
      </c>
      <c r="T288" s="142">
        <f t="shared" si="411"/>
        <v>1.1934497643843691</v>
      </c>
      <c r="U288" s="3"/>
      <c r="V288" s="142">
        <f t="shared" si="165"/>
        <v>7.6154225766622799E-2</v>
      </c>
      <c r="W288" s="142">
        <f t="shared" si="166"/>
        <v>0</v>
      </c>
      <c r="X288" s="142">
        <f t="shared" si="167"/>
        <v>7.7764117579468763</v>
      </c>
      <c r="Y288" s="142">
        <f t="shared" si="168"/>
        <v>4.9627394570272001</v>
      </c>
      <c r="Z288" s="142">
        <f t="shared" si="169"/>
        <v>2.8491833422538875</v>
      </c>
      <c r="AA288" s="142">
        <f t="shared" si="170"/>
        <v>8.4480245589447129</v>
      </c>
      <c r="AB288" s="142">
        <f t="shared" si="171"/>
        <v>4.2197924869853702</v>
      </c>
      <c r="AC288" s="142">
        <f t="shared" si="172"/>
        <v>1.6240345050847158</v>
      </c>
      <c r="AD288" s="115"/>
      <c r="AE288" s="142">
        <f t="shared" ref="AE288:AL288" si="420">V268</f>
        <v>0.15230845153324563</v>
      </c>
      <c r="AF288" s="142">
        <f t="shared" si="420"/>
        <v>0</v>
      </c>
      <c r="AG288" s="142">
        <f t="shared" si="420"/>
        <v>7.7764117579468763</v>
      </c>
      <c r="AH288" s="142">
        <f t="shared" si="420"/>
        <v>4.9627394570272001</v>
      </c>
      <c r="AI288" s="142">
        <f t="shared" si="420"/>
        <v>3.8771402008025002</v>
      </c>
      <c r="AJ288" s="142">
        <f t="shared" si="420"/>
        <v>7.7620346820066057</v>
      </c>
      <c r="AK288" s="142">
        <f t="shared" si="420"/>
        <v>3.8771402008024998</v>
      </c>
      <c r="AL288" s="142">
        <f t="shared" si="420"/>
        <v>2.209969914457425</v>
      </c>
      <c r="AM288" s="115"/>
      <c r="AN288" s="144">
        <f t="shared" ref="AN288:AU288" si="421">AE268</f>
        <v>0.30461690306649125</v>
      </c>
      <c r="AO288" s="144">
        <f t="shared" si="421"/>
        <v>0</v>
      </c>
      <c r="AP288" s="144">
        <f t="shared" si="421"/>
        <v>7.7764117579468763</v>
      </c>
      <c r="AQ288" s="144">
        <f t="shared" si="421"/>
        <v>4.9627394570272001</v>
      </c>
      <c r="AR288" s="144">
        <f t="shared" si="421"/>
        <v>5.2759736145261176</v>
      </c>
      <c r="AS288" s="144">
        <f t="shared" si="421"/>
        <v>6.8285465172483804</v>
      </c>
      <c r="AT288" s="144">
        <f t="shared" si="421"/>
        <v>3.4108623962279605</v>
      </c>
      <c r="AU288" s="144">
        <f t="shared" si="421"/>
        <v>3.0073049602798867</v>
      </c>
      <c r="AV288" s="115"/>
      <c r="AW288" s="144">
        <f t="shared" ref="AW288:BD288" si="422">AN268</f>
        <v>0.6092338061329825</v>
      </c>
      <c r="AX288" s="144">
        <f t="shared" si="422"/>
        <v>0</v>
      </c>
      <c r="AY288" s="144">
        <f t="shared" si="422"/>
        <v>7.7764117579468763</v>
      </c>
      <c r="AZ288" s="144">
        <f t="shared" si="422"/>
        <v>4.9627394570272001</v>
      </c>
      <c r="BA288" s="144">
        <f t="shared" si="422"/>
        <v>7.1794921358310049</v>
      </c>
      <c r="BB288" s="144">
        <f t="shared" si="422"/>
        <v>5.5582651573642528</v>
      </c>
      <c r="BC288" s="144">
        <f t="shared" si="422"/>
        <v>2.7763562224596656</v>
      </c>
      <c r="BD288" s="144">
        <f t="shared" si="422"/>
        <v>4.0923105174236722</v>
      </c>
      <c r="BE288" s="17"/>
      <c r="BF288" s="142">
        <f t="shared" ref="BF288:BM288" si="423">AW268</f>
        <v>1.218467612265965</v>
      </c>
      <c r="BG288" s="142">
        <f t="shared" si="423"/>
        <v>0</v>
      </c>
      <c r="BH288" s="142">
        <f t="shared" si="423"/>
        <v>7.7764117579468763</v>
      </c>
      <c r="BI288" s="142">
        <f t="shared" si="423"/>
        <v>4.9627394570272001</v>
      </c>
      <c r="BJ288" s="142">
        <f t="shared" si="423"/>
        <v>9.769781104769411</v>
      </c>
      <c r="BK288" s="142">
        <f t="shared" si="423"/>
        <v>3.8296789854260211</v>
      </c>
      <c r="BL288" s="142">
        <f t="shared" si="423"/>
        <v>1.9129265661468633</v>
      </c>
      <c r="BM288" s="142">
        <f t="shared" si="423"/>
        <v>5.5687752297185638</v>
      </c>
      <c r="BN288" s="17"/>
      <c r="BO288" s="142">
        <f t="shared" ref="BO288:BV288" si="424">BF268</f>
        <v>2.43693522453193</v>
      </c>
      <c r="BP288" s="142">
        <f t="shared" si="424"/>
        <v>68.18922502509308</v>
      </c>
      <c r="BQ288" s="142">
        <f t="shared" si="424"/>
        <v>7.7764117579468763</v>
      </c>
      <c r="BR288" s="142">
        <f t="shared" si="424"/>
        <v>4.9627394570272001</v>
      </c>
      <c r="BS288" s="142">
        <f t="shared" si="424"/>
        <v>13.294620431262789</v>
      </c>
      <c r="BT288" s="142">
        <f t="shared" si="424"/>
        <v>1.4774362082127719</v>
      </c>
      <c r="BU288" s="142">
        <f t="shared" si="424"/>
        <v>0.73798012398240365</v>
      </c>
      <c r="BV288" s="142">
        <f t="shared" si="424"/>
        <v>7.5779336458197895</v>
      </c>
      <c r="BW288" s="17"/>
      <c r="BX288" s="17"/>
      <c r="BY288" s="17"/>
      <c r="BZ288" s="17"/>
      <c r="CA288" s="17"/>
      <c r="CB288" s="17"/>
      <c r="CC288" s="17"/>
      <c r="CD288" s="17"/>
      <c r="CE288" s="17"/>
      <c r="CF288" s="17"/>
      <c r="CG288" s="17"/>
      <c r="CH288">
        <f t="shared" si="307"/>
        <v>130</v>
      </c>
      <c r="CI288" s="113">
        <f t="shared" si="308"/>
        <v>160.58366645029093</v>
      </c>
      <c r="CJ288" s="124">
        <f t="shared" si="353"/>
        <v>4.835793336180549</v>
      </c>
      <c r="CK288" s="124">
        <f t="shared" si="354"/>
        <v>68.18922502509308</v>
      </c>
      <c r="CL288" s="124">
        <f t="shared" si="355"/>
        <v>60.495505462884942</v>
      </c>
      <c r="CM288" s="124">
        <f t="shared" si="356"/>
        <v>35.493387080982366</v>
      </c>
      <c r="CN288" s="124">
        <f t="shared" si="357"/>
        <v>44.339962345909512</v>
      </c>
      <c r="CO288" s="124">
        <f t="shared" si="358"/>
        <v>42.85612215989137</v>
      </c>
      <c r="CP288" s="124">
        <f t="shared" si="359"/>
        <v>21.406654425520159</v>
      </c>
      <c r="CQ288" s="124">
        <f t="shared" si="360"/>
        <v>26.617216670360353</v>
      </c>
      <c r="CR288" s="144">
        <f t="shared" si="417"/>
        <v>304.23386650682232</v>
      </c>
    </row>
    <row r="289" spans="1:96" ht="14">
      <c r="A289">
        <f t="shared" si="418"/>
        <v>131</v>
      </c>
      <c r="B289" s="19">
        <f t="shared" si="418"/>
        <v>211</v>
      </c>
      <c r="C289" s="26">
        <f t="shared" si="403"/>
        <v>160.72893540825862</v>
      </c>
      <c r="D289" s="26"/>
      <c r="E289" s="26"/>
      <c r="F289" s="141">
        <f t="shared" ref="F289:G289" si="425">F288</f>
        <v>6.0606231572568161</v>
      </c>
      <c r="G289" s="141">
        <f t="shared" si="425"/>
        <v>0.7542108817919595</v>
      </c>
      <c r="H289" s="140">
        <f>(H$118)*('Product half-life and C flows'!L190/100)</f>
        <v>0</v>
      </c>
      <c r="I289" s="140">
        <f>(($C$39*$C$118*0.28)*H$41)*('Product half-life and C flows'!N190/100)</f>
        <v>0</v>
      </c>
      <c r="J289" s="140">
        <f>(($C$39*$C$118*0.28)*H$41)*(+'Product half-life and C flows'!P190/100)</f>
        <v>0</v>
      </c>
      <c r="K289" s="141">
        <f t="shared" si="201"/>
        <v>1.3434381331919276</v>
      </c>
      <c r="L289" s="26"/>
      <c r="M289" s="142">
        <f>(C$158-C$138)*(0.4*D$14)*('Product half-life and C flows'!B150/100)</f>
        <v>3.6780066634562757E-2</v>
      </c>
      <c r="N289" s="85"/>
      <c r="O289" s="143">
        <f t="shared" si="326"/>
        <v>7.7764117579468763</v>
      </c>
      <c r="P289" s="142">
        <f t="shared" si="327"/>
        <v>4.9627394570272001</v>
      </c>
      <c r="Q289" s="142">
        <f>(C$158-C$138)*(0.6*C$15)*('Product half-life and C flows'!L150/100)</f>
        <v>2.061767701535806</v>
      </c>
      <c r="R289" s="142">
        <f>(C$158-C$138)*0.6*('Product half-life and C flows'!N150/100)</f>
        <v>8.9734932631839115</v>
      </c>
      <c r="S289" s="142">
        <f>(C$158-C$138)*0.6*('Product half-life and C flows'!P150/100)</f>
        <v>4.4822643672247287</v>
      </c>
      <c r="T289" s="142">
        <f t="shared" si="411"/>
        <v>1.1752075898754093</v>
      </c>
      <c r="U289" s="3"/>
      <c r="V289" s="142">
        <f t="shared" si="165"/>
        <v>7.3560133269125541E-2</v>
      </c>
      <c r="W289" s="142">
        <f t="shared" si="166"/>
        <v>0</v>
      </c>
      <c r="X289" s="142">
        <f t="shared" si="167"/>
        <v>7.7764117579468763</v>
      </c>
      <c r="Y289" s="142">
        <f t="shared" si="168"/>
        <v>4.9627394570272001</v>
      </c>
      <c r="Z289" s="142">
        <f t="shared" si="169"/>
        <v>2.8056328709324343</v>
      </c>
      <c r="AA289" s="142">
        <f t="shared" si="170"/>
        <v>8.4770872401398965</v>
      </c>
      <c r="AB289" s="142">
        <f t="shared" si="171"/>
        <v>4.2343093107591878</v>
      </c>
      <c r="AC289" s="142">
        <f t="shared" si="172"/>
        <v>1.5992107364314874</v>
      </c>
      <c r="AD289" s="115"/>
      <c r="AE289" s="142">
        <f t="shared" ref="AE289:AL289" si="426">V269</f>
        <v>0.14712026653825105</v>
      </c>
      <c r="AF289" s="142">
        <f t="shared" si="426"/>
        <v>0</v>
      </c>
      <c r="AG289" s="142">
        <f t="shared" si="426"/>
        <v>7.7764117579468763</v>
      </c>
      <c r="AH289" s="142">
        <f t="shared" si="426"/>
        <v>4.9627394570272001</v>
      </c>
      <c r="AI289" s="142">
        <f t="shared" si="426"/>
        <v>3.8178771549253856</v>
      </c>
      <c r="AJ289" s="142">
        <f t="shared" si="426"/>
        <v>7.8015828879552673</v>
      </c>
      <c r="AK289" s="142">
        <f t="shared" si="426"/>
        <v>3.8968945494282048</v>
      </c>
      <c r="AL289" s="142">
        <f t="shared" si="426"/>
        <v>2.1761899783074696</v>
      </c>
      <c r="AM289" s="115"/>
      <c r="AN289" s="144">
        <f t="shared" ref="AN289:AU289" si="427">AE269</f>
        <v>0.29424053307650211</v>
      </c>
      <c r="AO289" s="144">
        <f t="shared" si="427"/>
        <v>0</v>
      </c>
      <c r="AP289" s="144">
        <f t="shared" si="427"/>
        <v>7.7764117579468763</v>
      </c>
      <c r="AQ289" s="144">
        <f t="shared" si="427"/>
        <v>4.9627394570272001</v>
      </c>
      <c r="AR289" s="144">
        <f t="shared" si="427"/>
        <v>5.1953290543166659</v>
      </c>
      <c r="AS289" s="144">
        <f t="shared" si="427"/>
        <v>6.8823633204281549</v>
      </c>
      <c r="AT289" s="144">
        <f t="shared" si="427"/>
        <v>3.4377439162977783</v>
      </c>
      <c r="AU289" s="144">
        <f t="shared" si="427"/>
        <v>2.9613375609604993</v>
      </c>
      <c r="AV289" s="115"/>
      <c r="AW289" s="144">
        <f t="shared" ref="AW289:BD289" si="428">AN269</f>
        <v>0.58848106615300433</v>
      </c>
      <c r="AX289" s="144">
        <f t="shared" si="428"/>
        <v>0</v>
      </c>
      <c r="AY289" s="144">
        <f t="shared" si="428"/>
        <v>7.7764117579468763</v>
      </c>
      <c r="AZ289" s="144">
        <f t="shared" si="428"/>
        <v>4.9627394570272001</v>
      </c>
      <c r="BA289" s="144">
        <f t="shared" si="428"/>
        <v>7.0697518247295204</v>
      </c>
      <c r="BB289" s="144">
        <f t="shared" si="428"/>
        <v>5.6314985249726428</v>
      </c>
      <c r="BC289" s="144">
        <f t="shared" si="428"/>
        <v>2.8129363261601599</v>
      </c>
      <c r="BD289" s="144">
        <f t="shared" si="428"/>
        <v>4.029758540095826</v>
      </c>
      <c r="BE289" s="17"/>
      <c r="BF289" s="142">
        <f t="shared" ref="BF289:BM289" si="429">AW269</f>
        <v>1.1769621323060084</v>
      </c>
      <c r="BG289" s="142">
        <f t="shared" si="429"/>
        <v>0</v>
      </c>
      <c r="BH289" s="142">
        <f t="shared" si="429"/>
        <v>7.7764117579468763</v>
      </c>
      <c r="BI289" s="142">
        <f t="shared" si="429"/>
        <v>4.9627394570272001</v>
      </c>
      <c r="BJ289" s="142">
        <f t="shared" si="429"/>
        <v>9.6204475868064847</v>
      </c>
      <c r="BK289" s="142">
        <f t="shared" si="429"/>
        <v>3.9293342197466132</v>
      </c>
      <c r="BL289" s="142">
        <f t="shared" si="429"/>
        <v>1.9627044054678384</v>
      </c>
      <c r="BM289" s="142">
        <f t="shared" si="429"/>
        <v>5.4836551244796956</v>
      </c>
      <c r="BN289" s="17"/>
      <c r="BO289" s="142">
        <f t="shared" ref="BO289:BV289" si="430">BF269</f>
        <v>2.3539242646120164</v>
      </c>
      <c r="BP289" s="142">
        <f t="shared" si="430"/>
        <v>69.912398447671976</v>
      </c>
      <c r="BQ289" s="142">
        <f t="shared" si="430"/>
        <v>7.7764117579468763</v>
      </c>
      <c r="BR289" s="142">
        <f t="shared" si="430"/>
        <v>4.9627394570272001</v>
      </c>
      <c r="BS289" s="142">
        <f t="shared" si="430"/>
        <v>13.091408873327982</v>
      </c>
      <c r="BT289" s="142">
        <f t="shared" si="430"/>
        <v>1.6130460545412677</v>
      </c>
      <c r="BU289" s="142">
        <f t="shared" si="430"/>
        <v>0.80571730996067314</v>
      </c>
      <c r="BV289" s="142">
        <f t="shared" si="430"/>
        <v>7.4621030577969494</v>
      </c>
      <c r="BW289" s="17"/>
      <c r="BX289" s="17"/>
      <c r="BY289" s="17"/>
      <c r="BZ289" s="17"/>
      <c r="CA289" s="17"/>
      <c r="CB289" s="17"/>
      <c r="CC289" s="17"/>
      <c r="CD289" s="17"/>
      <c r="CE289" s="17"/>
      <c r="CF289" s="17"/>
      <c r="CG289" s="17"/>
      <c r="CH289">
        <f t="shared" si="307"/>
        <v>131</v>
      </c>
      <c r="CI289" s="113">
        <f t="shared" si="308"/>
        <v>160.72893540825862</v>
      </c>
      <c r="CJ289" s="124">
        <f t="shared" si="353"/>
        <v>4.6710684625894707</v>
      </c>
      <c r="CK289" s="124">
        <f t="shared" si="354"/>
        <v>69.912398447671976</v>
      </c>
      <c r="CL289" s="124">
        <f t="shared" si="355"/>
        <v>60.495505462884942</v>
      </c>
      <c r="CM289" s="124">
        <f t="shared" si="356"/>
        <v>35.493387080982366</v>
      </c>
      <c r="CN289" s="124">
        <f t="shared" si="357"/>
        <v>43.662215066574277</v>
      </c>
      <c r="CO289" s="124">
        <f t="shared" si="358"/>
        <v>43.308405510967745</v>
      </c>
      <c r="CP289" s="124">
        <f t="shared" si="359"/>
        <v>21.632570185298569</v>
      </c>
      <c r="CQ289" s="124">
        <f t="shared" si="360"/>
        <v>26.230900721139264</v>
      </c>
      <c r="CR289" s="144">
        <f t="shared" si="417"/>
        <v>305.40645093810861</v>
      </c>
    </row>
    <row r="290" spans="1:96" ht="14">
      <c r="A290">
        <f t="shared" si="418"/>
        <v>132</v>
      </c>
      <c r="B290" s="19">
        <f t="shared" si="418"/>
        <v>212</v>
      </c>
      <c r="C290" s="26">
        <f t="shared" si="403"/>
        <v>160.87141284718754</v>
      </c>
      <c r="D290" s="26"/>
      <c r="E290" s="26"/>
      <c r="F290" s="141">
        <f t="shared" ref="F290:G290" si="431">F289</f>
        <v>6.0606231572568161</v>
      </c>
      <c r="G290" s="141">
        <f t="shared" si="431"/>
        <v>0.7542108817919595</v>
      </c>
      <c r="H290" s="140">
        <f>(H$118)*('Product half-life and C flows'!L191/100)</f>
        <v>0</v>
      </c>
      <c r="I290" s="140">
        <f>(($C$39*$C$118*0.28)*H$41)*('Product half-life and C flows'!N191/100)</f>
        <v>0</v>
      </c>
      <c r="J290" s="140">
        <f>(($C$39*$C$118*0.28)*H$41)*(+'Product half-life and C flows'!P191/100)</f>
        <v>0</v>
      </c>
      <c r="K290" s="141">
        <f t="shared" si="201"/>
        <v>1.3434381331919276</v>
      </c>
      <c r="L290" s="26"/>
      <c r="M290" s="142">
        <f>(C$158-C$138)*(0.4*D$14)*('Product half-life and C flows'!B151/100)</f>
        <v>3.5527202542600757E-2</v>
      </c>
      <c r="N290" s="85"/>
      <c r="O290" s="143">
        <f t="shared" si="326"/>
        <v>7.7764117579468763</v>
      </c>
      <c r="P290" s="142">
        <f t="shared" si="327"/>
        <v>4.9627394570272001</v>
      </c>
      <c r="Q290" s="142">
        <f>(C$158-C$138)*(0.6*C$15)*('Product half-life and C flows'!L151/100)</f>
        <v>2.0302530728260213</v>
      </c>
      <c r="R290" s="142">
        <f>(C$158-C$138)*0.6*('Product half-life and C flows'!N151/100)</f>
        <v>8.9945240254095751</v>
      </c>
      <c r="S290" s="142">
        <f>(C$158-C$138)*0.6*('Product half-life and C flows'!P151/100)</f>
        <v>4.492769243461324</v>
      </c>
      <c r="T290" s="142">
        <f t="shared" si="411"/>
        <v>1.1572442515108321</v>
      </c>
      <c r="U290" s="3"/>
      <c r="V290" s="142">
        <f t="shared" si="165"/>
        <v>7.1054405085201527E-2</v>
      </c>
      <c r="W290" s="142">
        <f t="shared" si="166"/>
        <v>0</v>
      </c>
      <c r="X290" s="142">
        <f t="shared" si="167"/>
        <v>7.7764117579468763</v>
      </c>
      <c r="Y290" s="142">
        <f t="shared" si="168"/>
        <v>4.9627394570272001</v>
      </c>
      <c r="Z290" s="142">
        <f t="shared" si="169"/>
        <v>2.7627480793249517</v>
      </c>
      <c r="AA290" s="142">
        <f t="shared" si="170"/>
        <v>8.5057056910726221</v>
      </c>
      <c r="AB290" s="142">
        <f t="shared" si="171"/>
        <v>4.2486042412950153</v>
      </c>
      <c r="AC290" s="142">
        <f t="shared" si="172"/>
        <v>1.5747664052152224</v>
      </c>
      <c r="AD290" s="115"/>
      <c r="AE290" s="142">
        <f t="shared" ref="AE290:AL290" si="432">V270</f>
        <v>0.14210881017040305</v>
      </c>
      <c r="AF290" s="142">
        <f t="shared" si="432"/>
        <v>0</v>
      </c>
      <c r="AG290" s="142">
        <f t="shared" si="432"/>
        <v>7.7764117579468763</v>
      </c>
      <c r="AH290" s="142">
        <f t="shared" si="432"/>
        <v>4.9627394570272001</v>
      </c>
      <c r="AI290" s="142">
        <f t="shared" si="432"/>
        <v>3.7595199593463606</v>
      </c>
      <c r="AJ290" s="142">
        <f t="shared" si="432"/>
        <v>7.8405265898050036</v>
      </c>
      <c r="AK290" s="142">
        <f t="shared" si="432"/>
        <v>3.9163469479545459</v>
      </c>
      <c r="AL290" s="142">
        <f t="shared" si="432"/>
        <v>2.1429263768274254</v>
      </c>
      <c r="AM290" s="115"/>
      <c r="AN290" s="144">
        <f t="shared" ref="AN290:AU290" si="433">AE270</f>
        <v>0.284217620340806</v>
      </c>
      <c r="AO290" s="144">
        <f t="shared" si="433"/>
        <v>0</v>
      </c>
      <c r="AP290" s="144">
        <f t="shared" si="433"/>
        <v>7.7764117579468763</v>
      </c>
      <c r="AQ290" s="144">
        <f t="shared" si="433"/>
        <v>4.9627394570272001</v>
      </c>
      <c r="AR290" s="144">
        <f t="shared" si="433"/>
        <v>5.1159171661345075</v>
      </c>
      <c r="AS290" s="144">
        <f t="shared" si="433"/>
        <v>6.9353575204750486</v>
      </c>
      <c r="AT290" s="144">
        <f t="shared" si="433"/>
        <v>3.4642145456918314</v>
      </c>
      <c r="AU290" s="144">
        <f t="shared" si="433"/>
        <v>2.9160727846966692</v>
      </c>
      <c r="AV290" s="115"/>
      <c r="AW290" s="144">
        <f t="shared" ref="AW290:BD290" si="434">AN270</f>
        <v>0.56843524068161189</v>
      </c>
      <c r="AX290" s="144">
        <f t="shared" si="434"/>
        <v>0</v>
      </c>
      <c r="AY290" s="144">
        <f t="shared" si="434"/>
        <v>7.7764117579468763</v>
      </c>
      <c r="AZ290" s="144">
        <f t="shared" si="434"/>
        <v>4.9627394570272001</v>
      </c>
      <c r="BA290" s="144">
        <f t="shared" si="434"/>
        <v>6.9616889213962736</v>
      </c>
      <c r="BB290" s="144">
        <f t="shared" si="434"/>
        <v>5.7036125024636961</v>
      </c>
      <c r="BC290" s="144">
        <f t="shared" si="434"/>
        <v>2.8489572939379091</v>
      </c>
      <c r="BD290" s="144">
        <f t="shared" si="434"/>
        <v>3.9681626851958756</v>
      </c>
      <c r="BE290" s="17"/>
      <c r="BF290" s="142">
        <f t="shared" ref="BF290:BM290" si="435">AW270</f>
        <v>1.136870481363224</v>
      </c>
      <c r="BG290" s="142">
        <f t="shared" si="435"/>
        <v>0</v>
      </c>
      <c r="BH290" s="142">
        <f t="shared" si="435"/>
        <v>7.7764117579468763</v>
      </c>
      <c r="BI290" s="142">
        <f t="shared" si="435"/>
        <v>4.9627394570272001</v>
      </c>
      <c r="BJ290" s="142">
        <f t="shared" si="435"/>
        <v>9.4733966685607935</v>
      </c>
      <c r="BK290" s="142">
        <f t="shared" si="435"/>
        <v>4.027466199189238</v>
      </c>
      <c r="BL290" s="142">
        <f t="shared" si="435"/>
        <v>2.0117213782164023</v>
      </c>
      <c r="BM290" s="142">
        <f t="shared" si="435"/>
        <v>5.3998361010796518</v>
      </c>
      <c r="BN290" s="17"/>
      <c r="BO290" s="142">
        <f t="shared" ref="BO290:BV290" si="436">BF270</f>
        <v>2.2737409627264475</v>
      </c>
      <c r="BP290" s="142">
        <f t="shared" si="436"/>
        <v>71.635571870250871</v>
      </c>
      <c r="BQ290" s="142">
        <f t="shared" si="436"/>
        <v>7.7764117579468763</v>
      </c>
      <c r="BR290" s="142">
        <f t="shared" si="436"/>
        <v>4.9627394570272001</v>
      </c>
      <c r="BS290" s="142">
        <f t="shared" si="436"/>
        <v>12.891303454262784</v>
      </c>
      <c r="BT290" s="142">
        <f t="shared" si="436"/>
        <v>1.7465830708641092</v>
      </c>
      <c r="BU290" s="142">
        <f t="shared" si="436"/>
        <v>0.87241911631573887</v>
      </c>
      <c r="BV290" s="142">
        <f t="shared" si="436"/>
        <v>7.3480429689297866</v>
      </c>
      <c r="BW290" s="17"/>
      <c r="BX290" s="17"/>
      <c r="BY290" s="17"/>
      <c r="BZ290" s="17"/>
      <c r="CA290" s="17"/>
      <c r="CB290" s="17"/>
      <c r="CC290" s="17"/>
      <c r="CD290" s="17"/>
      <c r="CE290" s="17"/>
      <c r="CF290" s="17"/>
      <c r="CG290" s="17"/>
      <c r="CH290">
        <f t="shared" si="307"/>
        <v>132</v>
      </c>
      <c r="CI290" s="113">
        <f t="shared" si="308"/>
        <v>160.87141284718754</v>
      </c>
      <c r="CJ290" s="124">
        <f t="shared" si="353"/>
        <v>4.5119547229102945</v>
      </c>
      <c r="CK290" s="124">
        <f t="shared" si="354"/>
        <v>71.635571870250871</v>
      </c>
      <c r="CL290" s="124">
        <f t="shared" si="355"/>
        <v>60.495505462884942</v>
      </c>
      <c r="CM290" s="124">
        <f t="shared" si="356"/>
        <v>35.493387080982366</v>
      </c>
      <c r="CN290" s="124">
        <f t="shared" si="357"/>
        <v>42.994827321851695</v>
      </c>
      <c r="CO290" s="124">
        <f t="shared" si="358"/>
        <v>43.753775599279301</v>
      </c>
      <c r="CP290" s="124">
        <f t="shared" si="359"/>
        <v>21.855032766872771</v>
      </c>
      <c r="CQ290" s="124">
        <f t="shared" si="360"/>
        <v>25.850489706647391</v>
      </c>
      <c r="CR290" s="144">
        <f t="shared" si="417"/>
        <v>306.59054453167965</v>
      </c>
    </row>
    <row r="291" spans="1:96" ht="14">
      <c r="A291">
        <f t="shared" si="418"/>
        <v>133</v>
      </c>
      <c r="B291" s="19">
        <f t="shared" si="418"/>
        <v>213</v>
      </c>
      <c r="C291" s="26">
        <f t="shared" si="403"/>
        <v>161.0111507341245</v>
      </c>
      <c r="D291" s="26"/>
      <c r="E291" s="26"/>
      <c r="F291" s="141">
        <f t="shared" ref="F291:G291" si="437">F290</f>
        <v>6.0606231572568161</v>
      </c>
      <c r="G291" s="141">
        <f t="shared" si="437"/>
        <v>0.7542108817919595</v>
      </c>
      <c r="H291" s="140">
        <f>(H$118)*('Product half-life and C flows'!L192/100)</f>
        <v>0</v>
      </c>
      <c r="I291" s="140">
        <f>(($C$39*$C$118*0.28)*H$41)*('Product half-life and C flows'!N192/100)</f>
        <v>0</v>
      </c>
      <c r="J291" s="140">
        <f>(($C$39*$C$118*0.28)*H$41)*(+'Product half-life and C flows'!P192/100)</f>
        <v>0</v>
      </c>
      <c r="K291" s="141">
        <f t="shared" si="201"/>
        <v>1.3434381331919276</v>
      </c>
      <c r="L291" s="26"/>
      <c r="M291" s="142">
        <f>(C$158-C$138)*(0.4*D$14)*('Product half-life and C flows'!B152/100)</f>
        <v>3.4317015600969204E-2</v>
      </c>
      <c r="N291" s="85"/>
      <c r="O291" s="143">
        <f t="shared" si="326"/>
        <v>7.7764117579468763</v>
      </c>
      <c r="P291" s="142">
        <f t="shared" si="327"/>
        <v>4.9627394570272001</v>
      </c>
      <c r="Q291" s="142">
        <f>(C$158-C$138)*(0.6*C$15)*('Product half-life and C flows'!L152/100)</f>
        <v>1.9992201530022455</v>
      </c>
      <c r="R291" s="142">
        <f>(C$158-C$138)*0.6*('Product half-life and C flows'!N152/100)</f>
        <v>9.0152333272386418</v>
      </c>
      <c r="S291" s="142">
        <f>(C$158-C$138)*0.6*('Product half-life and C flows'!P152/100)</f>
        <v>4.5031135500692487</v>
      </c>
      <c r="T291" s="142">
        <f t="shared" si="411"/>
        <v>1.1395554872112799</v>
      </c>
      <c r="U291" s="3"/>
      <c r="V291" s="142">
        <f t="shared" si="165"/>
        <v>6.8634031201938409E-2</v>
      </c>
      <c r="W291" s="142">
        <f t="shared" si="166"/>
        <v>0</v>
      </c>
      <c r="X291" s="142">
        <f t="shared" si="167"/>
        <v>7.7764117579468763</v>
      </c>
      <c r="Y291" s="142">
        <f t="shared" si="168"/>
        <v>4.9627394570272001</v>
      </c>
      <c r="Z291" s="142">
        <f t="shared" si="169"/>
        <v>2.7205187923525438</v>
      </c>
      <c r="AA291" s="142">
        <f t="shared" si="170"/>
        <v>8.5338867019122109</v>
      </c>
      <c r="AB291" s="142">
        <f t="shared" si="171"/>
        <v>4.2626806702858175</v>
      </c>
      <c r="AC291" s="142">
        <f t="shared" si="172"/>
        <v>1.5506957116409499</v>
      </c>
      <c r="AD291" s="115"/>
      <c r="AE291" s="142">
        <f t="shared" ref="AE291:AL291" si="438">V271</f>
        <v>0.13726806240387682</v>
      </c>
      <c r="AF291" s="142">
        <f t="shared" si="438"/>
        <v>0</v>
      </c>
      <c r="AG291" s="142">
        <f t="shared" si="438"/>
        <v>7.7764117579468763</v>
      </c>
      <c r="AH291" s="142">
        <f t="shared" si="438"/>
        <v>4.9627394570272001</v>
      </c>
      <c r="AI291" s="142">
        <f t="shared" si="438"/>
        <v>3.7020547679198135</v>
      </c>
      <c r="AJ291" s="142">
        <f t="shared" si="438"/>
        <v>7.8788750275503192</v>
      </c>
      <c r="AK291" s="142">
        <f t="shared" si="438"/>
        <v>3.9355020117633948</v>
      </c>
      <c r="AL291" s="142">
        <f t="shared" si="438"/>
        <v>2.1101712177142935</v>
      </c>
      <c r="AM291" s="115"/>
      <c r="AN291" s="144">
        <f t="shared" ref="AN291:AU291" si="439">AE271</f>
        <v>0.27453612480775363</v>
      </c>
      <c r="AO291" s="144">
        <f t="shared" si="439"/>
        <v>0</v>
      </c>
      <c r="AP291" s="144">
        <f t="shared" si="439"/>
        <v>7.7764117579468763</v>
      </c>
      <c r="AQ291" s="144">
        <f t="shared" si="439"/>
        <v>4.9627394570272001</v>
      </c>
      <c r="AR291" s="144">
        <f t="shared" si="439"/>
        <v>5.0377191082831567</v>
      </c>
      <c r="AS291" s="144">
        <f t="shared" si="439"/>
        <v>6.9875416910811827</v>
      </c>
      <c r="AT291" s="144">
        <f t="shared" si="439"/>
        <v>3.4902805649756155</v>
      </c>
      <c r="AU291" s="144">
        <f t="shared" si="439"/>
        <v>2.871499891721399</v>
      </c>
      <c r="AV291" s="115"/>
      <c r="AW291" s="144">
        <f t="shared" ref="AW291:BD291" si="440">AN271</f>
        <v>0.54907224961550738</v>
      </c>
      <c r="AX291" s="144">
        <f t="shared" si="440"/>
        <v>0</v>
      </c>
      <c r="AY291" s="144">
        <f t="shared" si="440"/>
        <v>7.7764117579468763</v>
      </c>
      <c r="AZ291" s="144">
        <f t="shared" si="440"/>
        <v>4.9627394570272001</v>
      </c>
      <c r="BA291" s="144">
        <f t="shared" si="440"/>
        <v>6.8552777862390979</v>
      </c>
      <c r="BB291" s="144">
        <f t="shared" si="440"/>
        <v>5.7746241999919183</v>
      </c>
      <c r="BC291" s="144">
        <f t="shared" si="440"/>
        <v>2.8844276723236346</v>
      </c>
      <c r="BD291" s="144">
        <f t="shared" si="440"/>
        <v>3.9075083381562856</v>
      </c>
      <c r="BE291" s="17"/>
      <c r="BF291" s="142">
        <f t="shared" ref="BF291:BM291" si="441">AW271</f>
        <v>1.0981444992310145</v>
      </c>
      <c r="BG291" s="142">
        <f t="shared" si="441"/>
        <v>0</v>
      </c>
      <c r="BH291" s="142">
        <f t="shared" si="441"/>
        <v>7.7764117579468763</v>
      </c>
      <c r="BI291" s="142">
        <f t="shared" si="441"/>
        <v>4.9627394570272001</v>
      </c>
      <c r="BJ291" s="142">
        <f t="shared" si="441"/>
        <v>9.3285934599317049</v>
      </c>
      <c r="BK291" s="142">
        <f t="shared" si="441"/>
        <v>4.1240982070810492</v>
      </c>
      <c r="BL291" s="142">
        <f t="shared" si="441"/>
        <v>2.0599891144260982</v>
      </c>
      <c r="BM291" s="142">
        <f t="shared" si="441"/>
        <v>5.3172982721610715</v>
      </c>
      <c r="BN291" s="17"/>
      <c r="BO291" s="142">
        <f t="shared" ref="BO291:BV291" si="442">BF271</f>
        <v>2.1962889984620291</v>
      </c>
      <c r="BP291" s="142">
        <f t="shared" si="442"/>
        <v>73.358745292829767</v>
      </c>
      <c r="BQ291" s="142">
        <f t="shared" si="442"/>
        <v>7.7764117579468763</v>
      </c>
      <c r="BR291" s="142">
        <f t="shared" si="442"/>
        <v>4.9627394570272001</v>
      </c>
      <c r="BS291" s="142">
        <f t="shared" si="442"/>
        <v>12.694256695967157</v>
      </c>
      <c r="BT291" s="142">
        <f t="shared" si="442"/>
        <v>1.8780789409000571</v>
      </c>
      <c r="BU291" s="142">
        <f t="shared" si="442"/>
        <v>0.93810136908094788</v>
      </c>
      <c r="BV291" s="142">
        <f t="shared" si="442"/>
        <v>7.2357263167012791</v>
      </c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>
        <f t="shared" si="307"/>
        <v>133</v>
      </c>
      <c r="CI291" s="113">
        <f t="shared" si="308"/>
        <v>161.0111507341245</v>
      </c>
      <c r="CJ291" s="124">
        <f t="shared" si="353"/>
        <v>4.358260981323089</v>
      </c>
      <c r="CK291" s="124">
        <f t="shared" si="354"/>
        <v>73.358745292829767</v>
      </c>
      <c r="CL291" s="124">
        <f t="shared" si="355"/>
        <v>60.495505462884942</v>
      </c>
      <c r="CM291" s="124">
        <f t="shared" si="356"/>
        <v>35.493387080982366</v>
      </c>
      <c r="CN291" s="124">
        <f t="shared" si="357"/>
        <v>42.337640763695717</v>
      </c>
      <c r="CO291" s="124">
        <f t="shared" si="358"/>
        <v>44.192338095755382</v>
      </c>
      <c r="CP291" s="124">
        <f t="shared" si="359"/>
        <v>22.074094952924757</v>
      </c>
      <c r="CQ291" s="124">
        <f t="shared" si="360"/>
        <v>25.475893368498486</v>
      </c>
      <c r="CR291" s="144">
        <f t="shared" si="417"/>
        <v>307.78586599889451</v>
      </c>
    </row>
    <row r="292" spans="1:96" ht="14">
      <c r="A292">
        <f t="shared" si="418"/>
        <v>134</v>
      </c>
      <c r="B292" s="19">
        <f t="shared" si="418"/>
        <v>214</v>
      </c>
      <c r="C292" s="26">
        <f t="shared" si="403"/>
        <v>161.14820013543206</v>
      </c>
      <c r="D292" s="26"/>
      <c r="E292" s="26"/>
      <c r="F292" s="141">
        <f t="shared" ref="F292:G292" si="443">F291</f>
        <v>6.0606231572568161</v>
      </c>
      <c r="G292" s="141">
        <f t="shared" si="443"/>
        <v>0.7542108817919595</v>
      </c>
      <c r="H292" s="140">
        <f>(H$118)*('Product half-life and C flows'!L193/100)</f>
        <v>0</v>
      </c>
      <c r="I292" s="140">
        <f>(($C$39*$C$118*0.28)*H$41)*('Product half-life and C flows'!N193/100)</f>
        <v>0</v>
      </c>
      <c r="J292" s="140">
        <f>(($C$39*$C$118*0.28)*H$41)*(+'Product half-life and C flows'!P193/100)</f>
        <v>0</v>
      </c>
      <c r="K292" s="141">
        <f t="shared" si="201"/>
        <v>1.3434381331919276</v>
      </c>
      <c r="L292" s="26"/>
      <c r="M292" s="142">
        <f>(C$158-C$138)*(0.4*D$14)*('Product half-life and C flows'!B153/100)</f>
        <v>3.3148052069256861E-2</v>
      </c>
      <c r="N292" s="85"/>
      <c r="O292" s="143">
        <f t="shared" si="326"/>
        <v>7.7764117579468763</v>
      </c>
      <c r="P292" s="142">
        <f t="shared" si="327"/>
        <v>4.9627394570272001</v>
      </c>
      <c r="Q292" s="142">
        <f>(C$158-C$138)*(0.6*C$15)*('Product half-life and C flows'!L153/100)</f>
        <v>1.9686615790251423</v>
      </c>
      <c r="R292" s="142">
        <f>(C$158-C$138)*0.6*('Product half-life and C flows'!N153/100)</f>
        <v>9.0356260822726959</v>
      </c>
      <c r="S292" s="142">
        <f>(C$158-C$138)*0.6*('Product half-life and C flows'!P153/100)</f>
        <v>4.5132997413949498</v>
      </c>
      <c r="T292" s="142">
        <f t="shared" si="411"/>
        <v>1.122137100044331</v>
      </c>
      <c r="U292" s="3"/>
      <c r="V292" s="142">
        <f t="shared" si="165"/>
        <v>6.6296104138513695E-2</v>
      </c>
      <c r="W292" s="142">
        <f t="shared" si="166"/>
        <v>0</v>
      </c>
      <c r="X292" s="142">
        <f t="shared" si="167"/>
        <v>7.7764117579468763</v>
      </c>
      <c r="Y292" s="142">
        <f t="shared" si="168"/>
        <v>4.9627394570272001</v>
      </c>
      <c r="Z292" s="142">
        <f t="shared" si="169"/>
        <v>2.6789349904649127</v>
      </c>
      <c r="AA292" s="142">
        <f t="shared" si="170"/>
        <v>8.561636959038557</v>
      </c>
      <c r="AB292" s="142">
        <f t="shared" si="171"/>
        <v>4.2765419375816949</v>
      </c>
      <c r="AC292" s="142">
        <f t="shared" si="172"/>
        <v>1.5269929445650001</v>
      </c>
      <c r="AD292" s="115"/>
      <c r="AE292" s="142">
        <f t="shared" ref="AE292:AL292" si="444">V272</f>
        <v>0.13259220827702739</v>
      </c>
      <c r="AF292" s="142">
        <f t="shared" si="444"/>
        <v>0</v>
      </c>
      <c r="AG292" s="142">
        <f t="shared" si="444"/>
        <v>7.7764117579468763</v>
      </c>
      <c r="AH292" s="142">
        <f t="shared" si="444"/>
        <v>4.9627394570272001</v>
      </c>
      <c r="AI292" s="142">
        <f t="shared" si="444"/>
        <v>3.6454679461418928</v>
      </c>
      <c r="AJ292" s="142">
        <f t="shared" si="444"/>
        <v>7.9166372999501187</v>
      </c>
      <c r="AK292" s="142">
        <f t="shared" si="444"/>
        <v>3.954364285689369</v>
      </c>
      <c r="AL292" s="142">
        <f t="shared" si="444"/>
        <v>2.0779167293008789</v>
      </c>
      <c r="AM292" s="115"/>
      <c r="AN292" s="144">
        <f t="shared" ref="AN292:AU292" si="445">AE272</f>
        <v>0.26518441655405484</v>
      </c>
      <c r="AO292" s="144">
        <f t="shared" si="445"/>
        <v>0</v>
      </c>
      <c r="AP292" s="144">
        <f t="shared" si="445"/>
        <v>7.7764117579468763</v>
      </c>
      <c r="AQ292" s="144">
        <f t="shared" si="445"/>
        <v>4.9627394570272001</v>
      </c>
      <c r="AR292" s="144">
        <f t="shared" si="445"/>
        <v>4.9607163270661125</v>
      </c>
      <c r="AS292" s="144">
        <f t="shared" si="445"/>
        <v>7.03892821374669</v>
      </c>
      <c r="AT292" s="144">
        <f t="shared" si="445"/>
        <v>3.5159481587146297</v>
      </c>
      <c r="AU292" s="144">
        <f t="shared" si="445"/>
        <v>2.8276083064276838</v>
      </c>
      <c r="AV292" s="115"/>
      <c r="AW292" s="144">
        <f t="shared" ref="AW292:BD292" si="446">AN272</f>
        <v>0.53036883310810956</v>
      </c>
      <c r="AX292" s="144">
        <f t="shared" si="446"/>
        <v>0</v>
      </c>
      <c r="AY292" s="144">
        <f t="shared" si="446"/>
        <v>7.7764117579468763</v>
      </c>
      <c r="AZ292" s="144">
        <f t="shared" si="446"/>
        <v>4.9627394570272001</v>
      </c>
      <c r="BA292" s="144">
        <f t="shared" si="446"/>
        <v>6.7504931715733285</v>
      </c>
      <c r="BB292" s="144">
        <f t="shared" si="446"/>
        <v>5.8445504661788741</v>
      </c>
      <c r="BC292" s="144">
        <f t="shared" si="446"/>
        <v>2.9193558772122241</v>
      </c>
      <c r="BD292" s="144">
        <f t="shared" si="446"/>
        <v>3.8477811077967967</v>
      </c>
      <c r="BE292" s="17"/>
      <c r="BF292" s="142">
        <f t="shared" ref="BF292:BM292" si="447">AW272</f>
        <v>1.0607376662162191</v>
      </c>
      <c r="BG292" s="142">
        <f t="shared" si="447"/>
        <v>0</v>
      </c>
      <c r="BH292" s="142">
        <f t="shared" si="447"/>
        <v>7.7764117579468763</v>
      </c>
      <c r="BI292" s="142">
        <f t="shared" si="447"/>
        <v>4.9627394570272001</v>
      </c>
      <c r="BJ292" s="142">
        <f t="shared" si="447"/>
        <v>9.1860036041224014</v>
      </c>
      <c r="BK292" s="142">
        <f t="shared" si="447"/>
        <v>4.2192531708577921</v>
      </c>
      <c r="BL292" s="142">
        <f t="shared" si="447"/>
        <v>2.1075190663625332</v>
      </c>
      <c r="BM292" s="142">
        <f t="shared" si="447"/>
        <v>5.2360220543497684</v>
      </c>
      <c r="BN292" s="17"/>
      <c r="BO292" s="142">
        <f t="shared" ref="BO292:BV292" si="448">BF272</f>
        <v>2.1214753324324382</v>
      </c>
      <c r="BP292" s="142">
        <f t="shared" si="448"/>
        <v>75.081918715408662</v>
      </c>
      <c r="BQ292" s="142">
        <f t="shared" si="448"/>
        <v>7.7764117579468763</v>
      </c>
      <c r="BR292" s="142">
        <f t="shared" si="448"/>
        <v>4.9627394570272001</v>
      </c>
      <c r="BS292" s="142">
        <f t="shared" si="448"/>
        <v>12.500221846055549</v>
      </c>
      <c r="BT292" s="142">
        <f t="shared" si="448"/>
        <v>2.0075648640744035</v>
      </c>
      <c r="BU292" s="142">
        <f t="shared" si="448"/>
        <v>1.0027796523848169</v>
      </c>
      <c r="BV292" s="142">
        <f t="shared" si="448"/>
        <v>7.1251264522516626</v>
      </c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>
        <f t="shared" si="307"/>
        <v>134</v>
      </c>
      <c r="CI292" s="113">
        <f t="shared" si="308"/>
        <v>161.14820013543206</v>
      </c>
      <c r="CJ292" s="124">
        <f t="shared" si="353"/>
        <v>4.2098026127956203</v>
      </c>
      <c r="CK292" s="124">
        <f t="shared" si="354"/>
        <v>75.081918715408662</v>
      </c>
      <c r="CL292" s="124">
        <f t="shared" si="355"/>
        <v>60.495505462884942</v>
      </c>
      <c r="CM292" s="124">
        <f t="shared" si="356"/>
        <v>35.493387080982366</v>
      </c>
      <c r="CN292" s="124">
        <f t="shared" si="357"/>
        <v>41.690499464449339</v>
      </c>
      <c r="CO292" s="124">
        <f t="shared" si="358"/>
        <v>44.624197056119129</v>
      </c>
      <c r="CP292" s="124">
        <f t="shared" si="359"/>
        <v>22.289808719340222</v>
      </c>
      <c r="CQ292" s="124">
        <f t="shared" si="360"/>
        <v>25.107022827928052</v>
      </c>
      <c r="CR292" s="144">
        <f t="shared" si="417"/>
        <v>308.99214193990832</v>
      </c>
    </row>
    <row r="293" spans="1:96" ht="14">
      <c r="A293">
        <f t="shared" si="418"/>
        <v>135</v>
      </c>
      <c r="B293" s="19">
        <f t="shared" si="418"/>
        <v>215</v>
      </c>
      <c r="C293" s="26">
        <f t="shared" si="403"/>
        <v>161.28261122967328</v>
      </c>
      <c r="D293" s="26"/>
      <c r="E293" s="26"/>
      <c r="F293" s="141">
        <f t="shared" ref="F293:G293" si="449">F292</f>
        <v>6.0606231572568161</v>
      </c>
      <c r="G293" s="141">
        <f t="shared" si="449"/>
        <v>0.7542108817919595</v>
      </c>
      <c r="H293" s="140">
        <f>(H$118)*('Product half-life and C flows'!L194/100)</f>
        <v>0</v>
      </c>
      <c r="I293" s="140">
        <f>(($C$39*$C$118*0.28)*H$41)*('Product half-life and C flows'!N194/100)</f>
        <v>0</v>
      </c>
      <c r="J293" s="140">
        <f>(($C$39*$C$118*0.28)*H$41)*(+'Product half-life and C flows'!P194/100)</f>
        <v>0</v>
      </c>
      <c r="K293" s="141">
        <f t="shared" si="201"/>
        <v>1.3434381331919276</v>
      </c>
      <c r="L293" s="26"/>
      <c r="M293" s="142">
        <f>(C$158-C$138)*(0.4*D$14)*('Product half-life and C flows'!B154/100)</f>
        <v>3.2018907726787581E-2</v>
      </c>
      <c r="N293" s="85"/>
      <c r="O293" s="143">
        <f t="shared" si="326"/>
        <v>7.7764117579468763</v>
      </c>
      <c r="P293" s="142">
        <f t="shared" si="327"/>
        <v>4.9627394570272001</v>
      </c>
      <c r="Q293" s="142">
        <f>(C$158-C$138)*(0.6*C$15)*('Product half-life and C flows'!L154/100)</f>
        <v>1.9385701004012501</v>
      </c>
      <c r="R293" s="142">
        <f>(C$158-C$138)*0.6*('Product half-life and C flows'!N154/100)</f>
        <v>9.0557071290077076</v>
      </c>
      <c r="S293" s="142">
        <f>(C$158-C$138)*0.6*('Product half-life and C flows'!P154/100)</f>
        <v>4.5233302342695811</v>
      </c>
      <c r="T293" s="142">
        <f t="shared" si="411"/>
        <v>1.1049849572287125</v>
      </c>
      <c r="U293" s="3"/>
      <c r="V293" s="142">
        <f t="shared" si="165"/>
        <v>6.4037815453575175E-2</v>
      </c>
      <c r="W293" s="142">
        <f t="shared" si="166"/>
        <v>0</v>
      </c>
      <c r="X293" s="142">
        <f t="shared" si="167"/>
        <v>7.7764117579468763</v>
      </c>
      <c r="Y293" s="142">
        <f t="shared" si="168"/>
        <v>4.9627394570272001</v>
      </c>
      <c r="Z293" s="142">
        <f t="shared" si="169"/>
        <v>2.6379868072630592</v>
      </c>
      <c r="AA293" s="142">
        <f t="shared" si="170"/>
        <v>8.5889630466285922</v>
      </c>
      <c r="AB293" s="142">
        <f t="shared" si="171"/>
        <v>4.290191331982312</v>
      </c>
      <c r="AC293" s="142">
        <f t="shared" si="172"/>
        <v>1.5036524801399436</v>
      </c>
      <c r="AD293" s="115"/>
      <c r="AE293" s="142">
        <f t="shared" ref="AE293:AL293" si="450">V273</f>
        <v>0.12807563090715035</v>
      </c>
      <c r="AF293" s="142">
        <f t="shared" si="450"/>
        <v>0</v>
      </c>
      <c r="AG293" s="142">
        <f t="shared" si="450"/>
        <v>7.7764117579468763</v>
      </c>
      <c r="AH293" s="142">
        <f t="shared" si="450"/>
        <v>4.9627394570272001</v>
      </c>
      <c r="AI293" s="142">
        <f t="shared" si="450"/>
        <v>3.5897460679155024</v>
      </c>
      <c r="AJ293" s="142">
        <f t="shared" si="450"/>
        <v>7.9538223666865298</v>
      </c>
      <c r="AK293" s="142">
        <f t="shared" si="450"/>
        <v>3.9729382450981658</v>
      </c>
      <c r="AL293" s="142">
        <f t="shared" si="450"/>
        <v>2.0461552587118361</v>
      </c>
      <c r="AM293" s="115"/>
      <c r="AN293" s="144">
        <f t="shared" ref="AN293:AU293" si="451">AE273</f>
        <v>0.25615126181430076</v>
      </c>
      <c r="AO293" s="144">
        <f t="shared" si="451"/>
        <v>0</v>
      </c>
      <c r="AP293" s="144">
        <f t="shared" si="451"/>
        <v>7.7764117579468763</v>
      </c>
      <c r="AQ293" s="144">
        <f t="shared" si="451"/>
        <v>4.9627394570272001</v>
      </c>
      <c r="AR293" s="144">
        <f t="shared" si="451"/>
        <v>4.8848905523847055</v>
      </c>
      <c r="AS293" s="144">
        <f t="shared" si="451"/>
        <v>7.0895292807174144</v>
      </c>
      <c r="AT293" s="144">
        <f t="shared" si="451"/>
        <v>3.5412234169417656</v>
      </c>
      <c r="AU293" s="144">
        <f t="shared" si="451"/>
        <v>2.7843876148592819</v>
      </c>
      <c r="AV293" s="115"/>
      <c r="AW293" s="144">
        <f t="shared" ref="AW293:BD293" si="452">AN273</f>
        <v>0.5123025236286014</v>
      </c>
      <c r="AX293" s="144">
        <f t="shared" si="452"/>
        <v>0</v>
      </c>
      <c r="AY293" s="144">
        <f t="shared" si="452"/>
        <v>7.7764117579468763</v>
      </c>
      <c r="AZ293" s="144">
        <f t="shared" si="452"/>
        <v>4.9627394570272001</v>
      </c>
      <c r="BA293" s="144">
        <f t="shared" si="452"/>
        <v>6.6473102156313946</v>
      </c>
      <c r="BB293" s="144">
        <f t="shared" si="452"/>
        <v>5.9134078921107918</v>
      </c>
      <c r="BC293" s="144">
        <f t="shared" si="452"/>
        <v>2.9537501958595356</v>
      </c>
      <c r="BD293" s="144">
        <f t="shared" si="452"/>
        <v>3.7889668229098947</v>
      </c>
      <c r="BE293" s="17"/>
      <c r="BF293" s="142">
        <f t="shared" ref="BF293:BM293" si="453">AW273</f>
        <v>1.024605047257203</v>
      </c>
      <c r="BG293" s="142">
        <f t="shared" si="453"/>
        <v>0</v>
      </c>
      <c r="BH293" s="142">
        <f t="shared" si="453"/>
        <v>7.7764117579468763</v>
      </c>
      <c r="BI293" s="142">
        <f t="shared" si="453"/>
        <v>4.9627394570272001</v>
      </c>
      <c r="BJ293" s="142">
        <f t="shared" si="453"/>
        <v>9.0455932694881849</v>
      </c>
      <c r="BK293" s="142">
        <f t="shared" si="453"/>
        <v>4.3129536675036926</v>
      </c>
      <c r="BL293" s="142">
        <f t="shared" si="453"/>
        <v>2.1543225112406055</v>
      </c>
      <c r="BM293" s="142">
        <f t="shared" si="453"/>
        <v>5.1559881636082645</v>
      </c>
      <c r="BN293" s="17"/>
      <c r="BO293" s="142">
        <f t="shared" ref="BO293:BV293" si="454">BF273</f>
        <v>2.0492100945144056</v>
      </c>
      <c r="BP293" s="142">
        <f t="shared" si="454"/>
        <v>76.805092137987558</v>
      </c>
      <c r="BQ293" s="142">
        <f t="shared" si="454"/>
        <v>7.7764117579468763</v>
      </c>
      <c r="BR293" s="142">
        <f t="shared" si="454"/>
        <v>4.9627394570272001</v>
      </c>
      <c r="BS293" s="142">
        <f t="shared" si="454"/>
        <v>12.309152866764171</v>
      </c>
      <c r="BT293" s="142">
        <f t="shared" si="454"/>
        <v>2.1350715629215169</v>
      </c>
      <c r="BU293" s="142">
        <f t="shared" si="454"/>
        <v>1.0664693121486097</v>
      </c>
      <c r="BV293" s="142">
        <f t="shared" si="454"/>
        <v>7.0162171340555766</v>
      </c>
      <c r="BW293" s="17"/>
      <c r="BX293" s="17"/>
      <c r="BY293" s="17"/>
      <c r="BZ293" s="17"/>
      <c r="CA293" s="17"/>
      <c r="CB293" s="17"/>
      <c r="CC293" s="17"/>
      <c r="CD293" s="17"/>
      <c r="CE293" s="17"/>
      <c r="CF293" s="17"/>
      <c r="CG293" s="17"/>
      <c r="CH293">
        <f t="shared" si="307"/>
        <v>135</v>
      </c>
      <c r="CI293" s="113">
        <f t="shared" si="308"/>
        <v>161.28261122967328</v>
      </c>
      <c r="CJ293" s="124">
        <f t="shared" si="353"/>
        <v>4.0664012813020243</v>
      </c>
      <c r="CK293" s="124">
        <f t="shared" si="354"/>
        <v>76.805092137987558</v>
      </c>
      <c r="CL293" s="124">
        <f t="shared" si="355"/>
        <v>60.495505462884942</v>
      </c>
      <c r="CM293" s="124">
        <f t="shared" si="356"/>
        <v>35.493387080982366</v>
      </c>
      <c r="CN293" s="124">
        <f t="shared" si="357"/>
        <v>41.053249879848266</v>
      </c>
      <c r="CO293" s="124">
        <f t="shared" si="358"/>
        <v>45.049454945576244</v>
      </c>
      <c r="CP293" s="124">
        <f t="shared" si="359"/>
        <v>22.502225247540572</v>
      </c>
      <c r="CQ293" s="124">
        <f t="shared" si="360"/>
        <v>24.743790564705439</v>
      </c>
      <c r="CR293" s="144">
        <f t="shared" si="417"/>
        <v>310.2091066008274</v>
      </c>
    </row>
    <row r="294" spans="1:96" ht="14">
      <c r="A294">
        <f t="shared" si="418"/>
        <v>136</v>
      </c>
      <c r="B294" s="19">
        <f t="shared" si="418"/>
        <v>216</v>
      </c>
      <c r="C294" s="26">
        <f t="shared" si="403"/>
        <v>161.41443332043016</v>
      </c>
      <c r="D294" s="26"/>
      <c r="E294" s="26"/>
      <c r="F294" s="141">
        <f t="shared" ref="F294:G294" si="455">F293</f>
        <v>6.0606231572568161</v>
      </c>
      <c r="G294" s="141">
        <f t="shared" si="455"/>
        <v>0.7542108817919595</v>
      </c>
      <c r="H294" s="140">
        <f>(H$118)*('Product half-life and C flows'!L195/100)</f>
        <v>0</v>
      </c>
      <c r="I294" s="140">
        <f>(($C$39*$C$118*0.28)*H$41)*('Product half-life and C flows'!N195/100)</f>
        <v>0</v>
      </c>
      <c r="J294" s="140">
        <f>(($C$39*$C$118*0.28)*H$41)*(+'Product half-life and C flows'!P195/100)</f>
        <v>0</v>
      </c>
      <c r="K294" s="141">
        <f t="shared" si="201"/>
        <v>1.3434381331919276</v>
      </c>
      <c r="L294" s="26"/>
      <c r="M294" s="142">
        <f>(C$158-C$138)*(0.4*D$14)*('Product half-life and C flows'!B155/100)</f>
        <v>3.0928226185796583E-2</v>
      </c>
      <c r="N294" s="85"/>
      <c r="O294" s="143">
        <f t="shared" si="326"/>
        <v>7.7764117579468763</v>
      </c>
      <c r="P294" s="142">
        <f t="shared" si="327"/>
        <v>4.9627394570272001</v>
      </c>
      <c r="Q294" s="142">
        <f>(C$158-C$138)*(0.6*C$15)*('Product half-life and C flows'!L155/100)</f>
        <v>1.908938577462693</v>
      </c>
      <c r="R294" s="142">
        <f>(C$158-C$138)*0.6*('Product half-life and C flows'!N155/100)</f>
        <v>9.075481231982037</v>
      </c>
      <c r="S294" s="142">
        <f>(C$158-C$138)*0.6*('Product half-life and C flows'!P155/100)</f>
        <v>4.5332074085824328</v>
      </c>
      <c r="T294" s="142">
        <f t="shared" si="411"/>
        <v>1.088094989153735</v>
      </c>
      <c r="U294" s="3"/>
      <c r="V294" s="142">
        <f t="shared" si="165"/>
        <v>6.1856452371593179E-2</v>
      </c>
      <c r="W294" s="142">
        <f t="shared" si="166"/>
        <v>0</v>
      </c>
      <c r="X294" s="142">
        <f t="shared" si="167"/>
        <v>7.7764117579468763</v>
      </c>
      <c r="Y294" s="142">
        <f t="shared" si="168"/>
        <v>4.9627394570272001</v>
      </c>
      <c r="Z294" s="142">
        <f t="shared" si="169"/>
        <v>2.5976645271583321</v>
      </c>
      <c r="AA294" s="142">
        <f t="shared" si="170"/>
        <v>8.6158714482184813</v>
      </c>
      <c r="AB294" s="142">
        <f t="shared" si="171"/>
        <v>4.3036320920172217</v>
      </c>
      <c r="AC294" s="142">
        <f t="shared" si="172"/>
        <v>1.4806687804802492</v>
      </c>
      <c r="AD294" s="115"/>
      <c r="AE294" s="142">
        <f t="shared" ref="AE294:AL294" si="456">V274</f>
        <v>0.1237129047431863</v>
      </c>
      <c r="AF294" s="142">
        <f t="shared" si="456"/>
        <v>0</v>
      </c>
      <c r="AG294" s="142">
        <f t="shared" si="456"/>
        <v>7.7764117579468763</v>
      </c>
      <c r="AH294" s="142">
        <f t="shared" si="456"/>
        <v>4.9627394570272001</v>
      </c>
      <c r="AI294" s="142">
        <f t="shared" si="456"/>
        <v>3.5348759123647602</v>
      </c>
      <c r="AJ294" s="142">
        <f t="shared" si="456"/>
        <v>7.990439050490723</v>
      </c>
      <c r="AK294" s="142">
        <f t="shared" si="456"/>
        <v>3.9912282969484125</v>
      </c>
      <c r="AL294" s="142">
        <f t="shared" si="456"/>
        <v>2.014879270047913</v>
      </c>
      <c r="AM294" s="115"/>
      <c r="AN294" s="144">
        <f t="shared" ref="AN294:AU294" si="457">AE274</f>
        <v>0.24742580948637261</v>
      </c>
      <c r="AO294" s="144">
        <f t="shared" si="457"/>
        <v>0</v>
      </c>
      <c r="AP294" s="144">
        <f t="shared" si="457"/>
        <v>7.7764117579468763</v>
      </c>
      <c r="AQ294" s="144">
        <f t="shared" si="457"/>
        <v>4.9627394570272001</v>
      </c>
      <c r="AR294" s="144">
        <f t="shared" si="457"/>
        <v>4.8102237934032424</v>
      </c>
      <c r="AS294" s="144">
        <f t="shared" si="457"/>
        <v>7.1393568978777102</v>
      </c>
      <c r="AT294" s="144">
        <f t="shared" si="457"/>
        <v>3.5661123366022531</v>
      </c>
      <c r="AU294" s="144">
        <f t="shared" si="457"/>
        <v>2.7418275622398478</v>
      </c>
      <c r="AV294" s="115"/>
      <c r="AW294" s="144">
        <f t="shared" ref="AW294:BD294" si="458">AN274</f>
        <v>0.49485161897274532</v>
      </c>
      <c r="AX294" s="144">
        <f t="shared" si="458"/>
        <v>0</v>
      </c>
      <c r="AY294" s="144">
        <f t="shared" si="458"/>
        <v>7.7764117579468763</v>
      </c>
      <c r="AZ294" s="144">
        <f t="shared" si="458"/>
        <v>4.9627394570272001</v>
      </c>
      <c r="BA294" s="144">
        <f t="shared" si="458"/>
        <v>6.5457044366639909</v>
      </c>
      <c r="BB294" s="144">
        <f t="shared" si="458"/>
        <v>5.9812128152750397</v>
      </c>
      <c r="BC294" s="144">
        <f t="shared" si="458"/>
        <v>2.9876187888486698</v>
      </c>
      <c r="BD294" s="144">
        <f t="shared" si="458"/>
        <v>3.7310515288984747</v>
      </c>
      <c r="BE294" s="17"/>
      <c r="BF294" s="142">
        <f t="shared" ref="BF294:BM294" si="459">AW274</f>
        <v>0.98970323794549042</v>
      </c>
      <c r="BG294" s="142">
        <f t="shared" si="459"/>
        <v>0</v>
      </c>
      <c r="BH294" s="142">
        <f t="shared" si="459"/>
        <v>7.7764117579468763</v>
      </c>
      <c r="BI294" s="142">
        <f t="shared" si="459"/>
        <v>4.9627394570272001</v>
      </c>
      <c r="BJ294" s="142">
        <f t="shared" si="459"/>
        <v>8.9073291415094129</v>
      </c>
      <c r="BK294" s="142">
        <f t="shared" si="459"/>
        <v>4.4052219289081931</v>
      </c>
      <c r="BL294" s="142">
        <f t="shared" si="459"/>
        <v>2.2004105539001961</v>
      </c>
      <c r="BM294" s="142">
        <f t="shared" si="459"/>
        <v>5.0771776106603648</v>
      </c>
      <c r="BN294" s="17"/>
      <c r="BO294" s="142">
        <f t="shared" ref="BO294:BV294" si="460">BF274</f>
        <v>1.9794064758909808</v>
      </c>
      <c r="BP294" s="142">
        <f t="shared" si="460"/>
        <v>78.528265560566453</v>
      </c>
      <c r="BQ294" s="142">
        <f t="shared" si="460"/>
        <v>7.7764117579468763</v>
      </c>
      <c r="BR294" s="142">
        <f t="shared" si="460"/>
        <v>4.9627394570272001</v>
      </c>
      <c r="BS294" s="142">
        <f t="shared" si="460"/>
        <v>12.121004424027827</v>
      </c>
      <c r="BT294" s="142">
        <f t="shared" si="460"/>
        <v>2.2606292903742373</v>
      </c>
      <c r="BU294" s="142">
        <f t="shared" si="460"/>
        <v>1.1291854597273911</v>
      </c>
      <c r="BV294" s="142">
        <f t="shared" si="460"/>
        <v>6.9089725216958611</v>
      </c>
      <c r="BW294" s="17"/>
      <c r="BX294" s="17"/>
      <c r="BY294" s="17"/>
      <c r="BZ294" s="17"/>
      <c r="CA294" s="17"/>
      <c r="CB294" s="17"/>
      <c r="CC294" s="17"/>
      <c r="CD294" s="17"/>
      <c r="CE294" s="17"/>
      <c r="CF294" s="17"/>
      <c r="CG294" s="17"/>
      <c r="CH294">
        <f t="shared" si="307"/>
        <v>136</v>
      </c>
      <c r="CI294" s="113">
        <f t="shared" si="308"/>
        <v>161.41443332043016</v>
      </c>
      <c r="CJ294" s="124">
        <f t="shared" si="353"/>
        <v>3.9278847255961651</v>
      </c>
      <c r="CK294" s="124">
        <f t="shared" si="354"/>
        <v>78.528265560566453</v>
      </c>
      <c r="CL294" s="124">
        <f t="shared" si="355"/>
        <v>60.495505462884942</v>
      </c>
      <c r="CM294" s="124">
        <f t="shared" si="356"/>
        <v>35.493387080982366</v>
      </c>
      <c r="CN294" s="124">
        <f t="shared" si="357"/>
        <v>40.425740812590263</v>
      </c>
      <c r="CO294" s="124">
        <f t="shared" si="358"/>
        <v>45.468212663126423</v>
      </c>
      <c r="CP294" s="124">
        <f t="shared" si="359"/>
        <v>22.711394936626579</v>
      </c>
      <c r="CQ294" s="124">
        <f t="shared" si="360"/>
        <v>24.386110396368373</v>
      </c>
      <c r="CR294" s="144">
        <f t="shared" si="417"/>
        <v>311.43650163874156</v>
      </c>
    </row>
    <row r="295" spans="1:96" ht="14">
      <c r="A295">
        <f t="shared" si="418"/>
        <v>137</v>
      </c>
      <c r="B295" s="19">
        <f t="shared" si="418"/>
        <v>217</v>
      </c>
      <c r="C295" s="26">
        <f t="shared" si="403"/>
        <v>161.54371484905107</v>
      </c>
      <c r="D295" s="26"/>
      <c r="E295" s="26"/>
      <c r="F295" s="141">
        <f t="shared" ref="F295:G295" si="461">F294</f>
        <v>6.0606231572568161</v>
      </c>
      <c r="G295" s="141">
        <f t="shared" si="461"/>
        <v>0.7542108817919595</v>
      </c>
      <c r="H295" s="140">
        <f>(H$118)*('Product half-life and C flows'!L196/100)</f>
        <v>0</v>
      </c>
      <c r="I295" s="140">
        <f>(($C$39*$C$118*0.28)*H$41)*('Product half-life and C flows'!N196/100)</f>
        <v>0</v>
      </c>
      <c r="J295" s="140">
        <f>(($C$39*$C$118*0.28)*H$41)*(+'Product half-life and C flows'!P196/100)</f>
        <v>0</v>
      </c>
      <c r="K295" s="141">
        <f t="shared" si="201"/>
        <v>1.3434381331919276</v>
      </c>
      <c r="L295" s="26"/>
      <c r="M295" s="142">
        <f>(C$158-C$138)*(0.4*D$14)*('Product half-life and C flows'!B156/100)</f>
        <v>2.9874697262065642E-2</v>
      </c>
      <c r="N295" s="85"/>
      <c r="O295" s="143">
        <f t="shared" si="326"/>
        <v>7.7764117579468763</v>
      </c>
      <c r="P295" s="142">
        <f t="shared" si="327"/>
        <v>4.9627394570272001</v>
      </c>
      <c r="Q295" s="142">
        <f>(C$158-C$138)*(0.6*C$15)*('Product half-life and C flows'!L156/100)</f>
        <v>1.8797599796731805</v>
      </c>
      <c r="R295" s="142">
        <f>(C$158-C$138)*0.6*('Product half-life and C flows'!N156/100)</f>
        <v>9.0949530829069065</v>
      </c>
      <c r="S295" s="142">
        <f>(C$158-C$138)*0.6*('Product half-life and C flows'!P156/100)</f>
        <v>4.5429336078456029</v>
      </c>
      <c r="T295" s="142">
        <f t="shared" si="411"/>
        <v>1.0714631884137129</v>
      </c>
      <c r="U295" s="3"/>
      <c r="V295" s="142">
        <f t="shared" si="165"/>
        <v>5.9749394524131291E-2</v>
      </c>
      <c r="W295" s="142">
        <f t="shared" si="166"/>
        <v>0</v>
      </c>
      <c r="X295" s="142">
        <f t="shared" si="167"/>
        <v>7.7764117579468763</v>
      </c>
      <c r="Y295" s="142">
        <f t="shared" si="168"/>
        <v>4.9627394570272001</v>
      </c>
      <c r="Z295" s="142">
        <f t="shared" si="169"/>
        <v>2.5579585830672533</v>
      </c>
      <c r="AA295" s="142">
        <f t="shared" si="170"/>
        <v>8.6423685482419277</v>
      </c>
      <c r="AB295" s="142">
        <f t="shared" si="171"/>
        <v>4.3168674067142483</v>
      </c>
      <c r="AC295" s="142">
        <f t="shared" si="172"/>
        <v>1.4580363923483344</v>
      </c>
      <c r="AD295" s="115"/>
      <c r="AE295" s="142">
        <f t="shared" ref="AE295:AL295" si="462">V275</f>
        <v>0.11949878904826254</v>
      </c>
      <c r="AF295" s="142">
        <f t="shared" si="462"/>
        <v>0</v>
      </c>
      <c r="AG295" s="142">
        <f t="shared" si="462"/>
        <v>7.7764117579468763</v>
      </c>
      <c r="AH295" s="142">
        <f t="shared" si="462"/>
        <v>4.9627394570272001</v>
      </c>
      <c r="AI295" s="142">
        <f t="shared" si="462"/>
        <v>3.4808444606981377</v>
      </c>
      <c r="AJ295" s="142">
        <f t="shared" si="462"/>
        <v>8.0264960392362497</v>
      </c>
      <c r="AK295" s="142">
        <f t="shared" si="462"/>
        <v>4.0092387808372871</v>
      </c>
      <c r="AL295" s="142">
        <f t="shared" si="462"/>
        <v>1.9840813425979382</v>
      </c>
      <c r="AM295" s="115"/>
      <c r="AN295" s="144">
        <f t="shared" ref="AN295:AU295" si="463">AE275</f>
        <v>0.23899757809652497</v>
      </c>
      <c r="AO295" s="144">
        <f t="shared" si="463"/>
        <v>0</v>
      </c>
      <c r="AP295" s="144">
        <f t="shared" si="463"/>
        <v>7.7764117579468763</v>
      </c>
      <c r="AQ295" s="144">
        <f t="shared" si="463"/>
        <v>4.9627394570272001</v>
      </c>
      <c r="AR295" s="144">
        <f t="shared" si="463"/>
        <v>4.7366983342803968</v>
      </c>
      <c r="AS295" s="144">
        <f t="shared" si="463"/>
        <v>7.1884228875990228</v>
      </c>
      <c r="AT295" s="144">
        <f t="shared" si="463"/>
        <v>3.5906208229765353</v>
      </c>
      <c r="AU295" s="144">
        <f t="shared" si="463"/>
        <v>2.6999180505398259</v>
      </c>
      <c r="AV295" s="115"/>
      <c r="AW295" s="144">
        <f t="shared" ref="AW295:BD295" si="464">AN275</f>
        <v>0.47799515619304994</v>
      </c>
      <c r="AX295" s="144">
        <f t="shared" si="464"/>
        <v>0</v>
      </c>
      <c r="AY295" s="144">
        <f t="shared" si="464"/>
        <v>7.7764117579468763</v>
      </c>
      <c r="AZ295" s="144">
        <f t="shared" si="464"/>
        <v>4.9627394570272001</v>
      </c>
      <c r="BA295" s="144">
        <f t="shared" si="464"/>
        <v>6.4456517271313922</v>
      </c>
      <c r="BB295" s="144">
        <f t="shared" si="464"/>
        <v>6.0479813234364608</v>
      </c>
      <c r="BC295" s="144">
        <f t="shared" si="464"/>
        <v>3.020969692026203</v>
      </c>
      <c r="BD295" s="144">
        <f t="shared" si="464"/>
        <v>3.6740214844648933</v>
      </c>
      <c r="BE295" s="17"/>
      <c r="BF295" s="142">
        <f t="shared" ref="BF295:BM295" si="465">AW275</f>
        <v>0.95599031238609988</v>
      </c>
      <c r="BG295" s="142">
        <f t="shared" si="465"/>
        <v>0</v>
      </c>
      <c r="BH295" s="142">
        <f t="shared" si="465"/>
        <v>7.7764117579468763</v>
      </c>
      <c r="BI295" s="142">
        <f t="shared" si="465"/>
        <v>4.9627394570272001</v>
      </c>
      <c r="BJ295" s="142">
        <f t="shared" si="465"/>
        <v>8.7711784148871015</v>
      </c>
      <c r="BK295" s="142">
        <f t="shared" si="465"/>
        <v>4.4960798471408161</v>
      </c>
      <c r="BL295" s="142">
        <f t="shared" si="465"/>
        <v>2.2457941294409669</v>
      </c>
      <c r="BM295" s="142">
        <f t="shared" si="465"/>
        <v>4.9995716964856474</v>
      </c>
      <c r="BN295" s="17"/>
      <c r="BO295" s="142">
        <f t="shared" ref="BO295:BV295" si="466">BF275</f>
        <v>1.9119806247721998</v>
      </c>
      <c r="BP295" s="142">
        <f t="shared" si="466"/>
        <v>80.251438983145349</v>
      </c>
      <c r="BQ295" s="142">
        <f t="shared" si="466"/>
        <v>7.7764117579468763</v>
      </c>
      <c r="BR295" s="142">
        <f t="shared" si="466"/>
        <v>4.9627394570272001</v>
      </c>
      <c r="BS295" s="142">
        <f t="shared" si="466"/>
        <v>11.935731876723709</v>
      </c>
      <c r="BT295" s="142">
        <f t="shared" si="466"/>
        <v>2.3842678369418517</v>
      </c>
      <c r="BU295" s="142">
        <f t="shared" si="466"/>
        <v>1.1909429754954304</v>
      </c>
      <c r="BV295" s="142">
        <f t="shared" si="466"/>
        <v>6.803367169732514</v>
      </c>
      <c r="BW295" s="17"/>
      <c r="BX295" s="17"/>
      <c r="BY295" s="17"/>
      <c r="BZ295" s="17"/>
      <c r="CA295" s="17"/>
      <c r="CB295" s="17"/>
      <c r="CC295" s="17"/>
      <c r="CD295" s="17"/>
      <c r="CE295" s="17"/>
      <c r="CF295" s="17"/>
      <c r="CG295" s="17"/>
      <c r="CH295">
        <f t="shared" si="307"/>
        <v>137</v>
      </c>
      <c r="CI295" s="113">
        <f t="shared" si="308"/>
        <v>161.54371484905107</v>
      </c>
      <c r="CJ295" s="124">
        <f t="shared" si="353"/>
        <v>3.7940865522823337</v>
      </c>
      <c r="CK295" s="124">
        <f t="shared" si="354"/>
        <v>80.251438983145349</v>
      </c>
      <c r="CL295" s="124">
        <f t="shared" si="355"/>
        <v>60.495505462884942</v>
      </c>
      <c r="CM295" s="124">
        <f t="shared" si="356"/>
        <v>35.493387080982366</v>
      </c>
      <c r="CN295" s="124">
        <f t="shared" si="357"/>
        <v>39.807823376461172</v>
      </c>
      <c r="CO295" s="124">
        <f t="shared" si="358"/>
        <v>45.88056956550323</v>
      </c>
      <c r="CP295" s="124">
        <f t="shared" si="359"/>
        <v>22.917367415336276</v>
      </c>
      <c r="CQ295" s="124">
        <f t="shared" si="360"/>
        <v>24.033897457774792</v>
      </c>
      <c r="CR295" s="144">
        <f t="shared" si="417"/>
        <v>312.67407589437045</v>
      </c>
    </row>
    <row r="296" spans="1:96" ht="14">
      <c r="A296">
        <f t="shared" si="418"/>
        <v>138</v>
      </c>
      <c r="B296" s="19">
        <f t="shared" si="418"/>
        <v>218</v>
      </c>
      <c r="C296" s="26">
        <f t="shared" si="403"/>
        <v>161.67050340732089</v>
      </c>
      <c r="D296" s="26"/>
      <c r="E296" s="26"/>
      <c r="F296" s="141">
        <f t="shared" ref="F296:G296" si="467">F295</f>
        <v>6.0606231572568161</v>
      </c>
      <c r="G296" s="141">
        <f t="shared" si="467"/>
        <v>0.7542108817919595</v>
      </c>
      <c r="H296" s="140">
        <f>(H$118)*('Product half-life and C flows'!L197/100)</f>
        <v>0</v>
      </c>
      <c r="I296" s="140">
        <f>(($C$39*$C$118*0.28)*H$41)*('Product half-life and C flows'!N197/100)</f>
        <v>0</v>
      </c>
      <c r="J296" s="140">
        <f>(($C$39*$C$118*0.28)*H$41)*(+'Product half-life and C flows'!P197/100)</f>
        <v>0</v>
      </c>
      <c r="K296" s="141">
        <f t="shared" si="201"/>
        <v>1.3434381331919276</v>
      </c>
      <c r="L296" s="26"/>
      <c r="M296" s="142">
        <f>(C$158-C$138)*(0.4*D$14)*('Product half-life and C flows'!B157/100)</f>
        <v>2.8857055401060813E-2</v>
      </c>
      <c r="N296" s="85"/>
      <c r="O296" s="143">
        <f t="shared" si="326"/>
        <v>7.7764117579468763</v>
      </c>
      <c r="P296" s="142">
        <f t="shared" si="327"/>
        <v>4.9627394570272001</v>
      </c>
      <c r="Q296" s="142">
        <f>(C$158-C$138)*(0.6*C$15)*('Product half-life and C flows'!L157/100)</f>
        <v>1.8510273839599065</v>
      </c>
      <c r="R296" s="142">
        <f>(C$158-C$138)*0.6*('Product half-life and C flows'!N157/100)</f>
        <v>9.1141273017795648</v>
      </c>
      <c r="S296" s="142">
        <f>(C$158-C$138)*0.6*('Product half-life and C flows'!P157/100)</f>
        <v>4.5525111397500284</v>
      </c>
      <c r="T296" s="142">
        <f t="shared" si="411"/>
        <v>1.0550856088571465</v>
      </c>
      <c r="U296" s="3"/>
      <c r="V296" s="142">
        <f t="shared" si="165"/>
        <v>5.7714110802121577E-2</v>
      </c>
      <c r="W296" s="142">
        <f t="shared" si="166"/>
        <v>0</v>
      </c>
      <c r="X296" s="142">
        <f t="shared" si="167"/>
        <v>7.7764117579468763</v>
      </c>
      <c r="Y296" s="142">
        <f t="shared" si="168"/>
        <v>4.9627394570272001</v>
      </c>
      <c r="Z296" s="142">
        <f t="shared" si="169"/>
        <v>2.5188595541415784</v>
      </c>
      <c r="AA296" s="142">
        <f t="shared" si="170"/>
        <v>8.6684606335449956</v>
      </c>
      <c r="AB296" s="142">
        <f t="shared" si="171"/>
        <v>4.3299004163561392</v>
      </c>
      <c r="AC296" s="142">
        <f t="shared" si="172"/>
        <v>1.4357499458606995</v>
      </c>
      <c r="AD296" s="115"/>
      <c r="AE296" s="142">
        <f t="shared" ref="AE296:AL296" si="468">V276</f>
        <v>0.11542822160424319</v>
      </c>
      <c r="AF296" s="142">
        <f t="shared" si="468"/>
        <v>0</v>
      </c>
      <c r="AG296" s="142">
        <f t="shared" si="468"/>
        <v>7.7764117579468763</v>
      </c>
      <c r="AH296" s="142">
        <f t="shared" si="468"/>
        <v>4.9627394570272001</v>
      </c>
      <c r="AI296" s="142">
        <f t="shared" si="468"/>
        <v>3.4276388931195498</v>
      </c>
      <c r="AJ296" s="142">
        <f t="shared" si="468"/>
        <v>8.0620018880003617</v>
      </c>
      <c r="AK296" s="142">
        <f t="shared" si="468"/>
        <v>4.0269739700301503</v>
      </c>
      <c r="AL296" s="142">
        <f t="shared" si="468"/>
        <v>1.9537541690781433</v>
      </c>
      <c r="AM296" s="115"/>
      <c r="AN296" s="144">
        <f t="shared" ref="AN296:AU296" si="469">AE276</f>
        <v>0.23085644320848644</v>
      </c>
      <c r="AO296" s="144">
        <f t="shared" si="469"/>
        <v>0</v>
      </c>
      <c r="AP296" s="144">
        <f t="shared" si="469"/>
        <v>7.7764117579468763</v>
      </c>
      <c r="AQ296" s="144">
        <f t="shared" si="469"/>
        <v>4.9627394570272001</v>
      </c>
      <c r="AR296" s="144">
        <f t="shared" si="469"/>
        <v>4.6642967299658524</v>
      </c>
      <c r="AS296" s="144">
        <f t="shared" si="469"/>
        <v>7.2367388915449284</v>
      </c>
      <c r="AT296" s="144">
        <f t="shared" si="469"/>
        <v>3.6147546910813833</v>
      </c>
      <c r="AU296" s="144">
        <f t="shared" si="469"/>
        <v>2.6586491360805358</v>
      </c>
      <c r="AV296" s="115"/>
      <c r="AW296" s="144">
        <f t="shared" ref="AW296:BD296" si="470">AN276</f>
        <v>0.46171288641697289</v>
      </c>
      <c r="AX296" s="144">
        <f t="shared" si="470"/>
        <v>0</v>
      </c>
      <c r="AY296" s="144">
        <f t="shared" si="470"/>
        <v>7.7764117579468763</v>
      </c>
      <c r="AZ296" s="144">
        <f t="shared" si="470"/>
        <v>4.9627394570272001</v>
      </c>
      <c r="BA296" s="144">
        <f t="shared" si="470"/>
        <v>6.3471283479835785</v>
      </c>
      <c r="BB296" s="144">
        <f t="shared" si="470"/>
        <v>6.1137292584544349</v>
      </c>
      <c r="BC296" s="144">
        <f t="shared" si="470"/>
        <v>3.0538108184088073</v>
      </c>
      <c r="BD296" s="144">
        <f t="shared" si="470"/>
        <v>3.6178631583506395</v>
      </c>
      <c r="BE296" s="17"/>
      <c r="BF296" s="142">
        <f t="shared" ref="BF296:BM296" si="471">AW276</f>
        <v>0.92342577283394556</v>
      </c>
      <c r="BG296" s="142">
        <f t="shared" si="471"/>
        <v>0</v>
      </c>
      <c r="BH296" s="142">
        <f t="shared" si="471"/>
        <v>7.7764117579468763</v>
      </c>
      <c r="BI296" s="142">
        <f t="shared" si="471"/>
        <v>4.9627394570272001</v>
      </c>
      <c r="BJ296" s="142">
        <f t="shared" si="471"/>
        <v>8.6371087857593665</v>
      </c>
      <c r="BK296" s="142">
        <f t="shared" si="471"/>
        <v>4.5855489796453908</v>
      </c>
      <c r="BL296" s="142">
        <f t="shared" si="471"/>
        <v>2.2904840058168778</v>
      </c>
      <c r="BM296" s="142">
        <f t="shared" si="471"/>
        <v>4.9231520078828384</v>
      </c>
      <c r="BN296" s="17"/>
      <c r="BO296" s="142">
        <f t="shared" ref="BO296:BV296" si="472">BF276</f>
        <v>1.8468515456678911</v>
      </c>
      <c r="BP296" s="142">
        <f t="shared" si="472"/>
        <v>81.974612405724244</v>
      </c>
      <c r="BQ296" s="142">
        <f t="shared" si="472"/>
        <v>7.7764117579468763</v>
      </c>
      <c r="BR296" s="142">
        <f t="shared" si="472"/>
        <v>4.9627394570272001</v>
      </c>
      <c r="BS296" s="142">
        <f t="shared" si="472"/>
        <v>11.753291266079604</v>
      </c>
      <c r="BT296" s="142">
        <f t="shared" si="472"/>
        <v>2.5060165377783514</v>
      </c>
      <c r="BU296" s="142">
        <f t="shared" si="472"/>
        <v>1.2517565123767991</v>
      </c>
      <c r="BV296" s="142">
        <f t="shared" si="472"/>
        <v>6.6993760216653735</v>
      </c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>
        <f t="shared" si="307"/>
        <v>138</v>
      </c>
      <c r="CI296" s="113">
        <f t="shared" si="308"/>
        <v>161.67050340732089</v>
      </c>
      <c r="CJ296" s="124">
        <f t="shared" si="353"/>
        <v>3.6648460359347217</v>
      </c>
      <c r="CK296" s="124">
        <f t="shared" si="354"/>
        <v>81.974612405724244</v>
      </c>
      <c r="CL296" s="124">
        <f t="shared" si="355"/>
        <v>60.495505462884942</v>
      </c>
      <c r="CM296" s="124">
        <f t="shared" si="356"/>
        <v>35.493387080982366</v>
      </c>
      <c r="CN296" s="124">
        <f t="shared" si="357"/>
        <v>39.199350961009436</v>
      </c>
      <c r="CO296" s="124">
        <f t="shared" si="358"/>
        <v>46.286623490748028</v>
      </c>
      <c r="CP296" s="124">
        <f t="shared" si="359"/>
        <v>23.120191553820185</v>
      </c>
      <c r="CQ296" s="124">
        <f t="shared" si="360"/>
        <v>23.687068180967302</v>
      </c>
      <c r="CR296" s="144">
        <f t="shared" si="417"/>
        <v>313.92158517207116</v>
      </c>
    </row>
    <row r="297" spans="1:96" ht="14">
      <c r="A297">
        <f t="shared" si="418"/>
        <v>139</v>
      </c>
      <c r="B297" s="19">
        <f t="shared" si="418"/>
        <v>219</v>
      </c>
      <c r="C297" s="26">
        <f t="shared" si="403"/>
        <v>161.79484575004849</v>
      </c>
      <c r="D297" s="26"/>
      <c r="E297" s="26"/>
      <c r="F297" s="141">
        <f t="shared" ref="F297:G297" si="473">F296</f>
        <v>6.0606231572568161</v>
      </c>
      <c r="G297" s="141">
        <f t="shared" si="473"/>
        <v>0.7542108817919595</v>
      </c>
      <c r="H297" s="140">
        <f>(H$118)*('Product half-life and C flows'!L198/100)</f>
        <v>0</v>
      </c>
      <c r="I297" s="140">
        <f>(($C$39*$C$118*0.28)*H$41)*('Product half-life and C flows'!N198/100)</f>
        <v>0</v>
      </c>
      <c r="J297" s="140">
        <f>(($C$39*$C$118*0.28)*H$41)*(+'Product half-life and C flows'!P198/100)</f>
        <v>0</v>
      </c>
      <c r="K297" s="141">
        <f t="shared" si="201"/>
        <v>1.3434381331919276</v>
      </c>
      <c r="L297" s="26"/>
      <c r="M297" s="142">
        <f>(C$158-C$138)*(0.4*D$14)*('Product half-life and C flows'!B158/100)</f>
        <v>2.7874078157681552E-2</v>
      </c>
      <c r="N297" s="85"/>
      <c r="O297" s="143">
        <f t="shared" si="326"/>
        <v>7.7764117579468763</v>
      </c>
      <c r="P297" s="142">
        <f t="shared" si="327"/>
        <v>4.9627394570272001</v>
      </c>
      <c r="Q297" s="142">
        <f>(C$158-C$138)*(0.6*C$15)*('Product half-life and C flows'!L158/100)</f>
        <v>1.8227339730709462</v>
      </c>
      <c r="R297" s="142">
        <f>(C$158-C$138)*0.6*('Product half-life and C flows'!N158/100)</f>
        <v>9.1330084379794627</v>
      </c>
      <c r="S297" s="142">
        <f>(C$158-C$138)*0.6*('Product half-life and C flows'!P158/100)</f>
        <v>4.5619422767130153</v>
      </c>
      <c r="T297" s="142">
        <f t="shared" si="411"/>
        <v>1.0389583646504392</v>
      </c>
      <c r="U297" s="3"/>
      <c r="V297" s="142">
        <f t="shared" si="165"/>
        <v>5.5748156315363104E-2</v>
      </c>
      <c r="W297" s="142">
        <f t="shared" si="166"/>
        <v>0</v>
      </c>
      <c r="X297" s="142">
        <f t="shared" si="167"/>
        <v>7.7764117579468763</v>
      </c>
      <c r="Y297" s="142">
        <f t="shared" si="168"/>
        <v>4.9627394570272001</v>
      </c>
      <c r="Z297" s="142">
        <f t="shared" si="169"/>
        <v>2.4803581635330563</v>
      </c>
      <c r="AA297" s="142">
        <f t="shared" si="170"/>
        <v>8.6941538948777488</v>
      </c>
      <c r="AB297" s="142">
        <f t="shared" si="171"/>
        <v>4.342734213225647</v>
      </c>
      <c r="AC297" s="142">
        <f t="shared" si="172"/>
        <v>1.4138041532138419</v>
      </c>
      <c r="AD297" s="115"/>
      <c r="AE297" s="142">
        <f t="shared" ref="AE297:AL297" si="474">V277</f>
        <v>0.11149631263072624</v>
      </c>
      <c r="AF297" s="142">
        <f t="shared" si="474"/>
        <v>0</v>
      </c>
      <c r="AG297" s="142">
        <f t="shared" si="474"/>
        <v>7.7764117579468763</v>
      </c>
      <c r="AH297" s="142">
        <f t="shared" si="474"/>
        <v>4.9627394570272001</v>
      </c>
      <c r="AI297" s="142">
        <f t="shared" si="474"/>
        <v>3.3752465857866643</v>
      </c>
      <c r="AJ297" s="142">
        <f t="shared" si="474"/>
        <v>8.0969650210938404</v>
      </c>
      <c r="AK297" s="142">
        <f t="shared" si="474"/>
        <v>4.0444380724744446</v>
      </c>
      <c r="AL297" s="142">
        <f t="shared" si="474"/>
        <v>1.9238905538983984</v>
      </c>
      <c r="AM297" s="115"/>
      <c r="AN297" s="144">
        <f t="shared" ref="AN297:AU297" si="475">AE277</f>
        <v>0.22299262526145247</v>
      </c>
      <c r="AO297" s="144">
        <f t="shared" si="475"/>
        <v>0</v>
      </c>
      <c r="AP297" s="144">
        <f t="shared" si="475"/>
        <v>7.7764117579468763</v>
      </c>
      <c r="AQ297" s="144">
        <f t="shared" si="475"/>
        <v>4.9627394570272001</v>
      </c>
      <c r="AR297" s="144">
        <f t="shared" si="475"/>
        <v>4.5930018020612007</v>
      </c>
      <c r="AS297" s="144">
        <f t="shared" si="475"/>
        <v>7.284316373433299</v>
      </c>
      <c r="AT297" s="144">
        <f t="shared" si="475"/>
        <v>3.6385196670496005</v>
      </c>
      <c r="AU297" s="144">
        <f t="shared" si="475"/>
        <v>2.6180110271748842</v>
      </c>
      <c r="AV297" s="115"/>
      <c r="AW297" s="144">
        <f t="shared" ref="AW297:BD297" si="476">AN277</f>
        <v>0.44598525052290477</v>
      </c>
      <c r="AX297" s="144">
        <f t="shared" si="476"/>
        <v>0</v>
      </c>
      <c r="AY297" s="144">
        <f t="shared" si="476"/>
        <v>7.7764117579468763</v>
      </c>
      <c r="AZ297" s="144">
        <f t="shared" si="476"/>
        <v>4.9627394570272001</v>
      </c>
      <c r="BA297" s="144">
        <f t="shared" si="476"/>
        <v>6.2501109230277745</v>
      </c>
      <c r="BB297" s="144">
        <f t="shared" si="476"/>
        <v>6.1784722200416082</v>
      </c>
      <c r="BC297" s="144">
        <f t="shared" si="476"/>
        <v>3.0861499600607418</v>
      </c>
      <c r="BD297" s="144">
        <f t="shared" si="476"/>
        <v>3.5625632261258313</v>
      </c>
      <c r="BE297" s="17"/>
      <c r="BF297" s="142">
        <f t="shared" ref="BF297:BM297" si="477">AW277</f>
        <v>0.89197050104580988</v>
      </c>
      <c r="BG297" s="142">
        <f t="shared" si="477"/>
        <v>0</v>
      </c>
      <c r="BH297" s="142">
        <f t="shared" si="477"/>
        <v>7.7764117579468763</v>
      </c>
      <c r="BI297" s="142">
        <f t="shared" si="477"/>
        <v>4.9627394570272001</v>
      </c>
      <c r="BJ297" s="142">
        <f t="shared" si="477"/>
        <v>8.5050884440368399</v>
      </c>
      <c r="BK297" s="142">
        <f t="shared" si="477"/>
        <v>4.6736505543548903</v>
      </c>
      <c r="BL297" s="142">
        <f t="shared" si="477"/>
        <v>2.3344907863910538</v>
      </c>
      <c r="BM297" s="142">
        <f t="shared" si="477"/>
        <v>4.847900413100998</v>
      </c>
      <c r="BN297" s="17"/>
      <c r="BO297" s="142">
        <f t="shared" ref="BO297:BV297" si="478">BF277</f>
        <v>1.7839410020916198</v>
      </c>
      <c r="BP297" s="142">
        <f t="shared" si="478"/>
        <v>83.69778582830314</v>
      </c>
      <c r="BQ297" s="142">
        <f t="shared" si="478"/>
        <v>7.7764117579468763</v>
      </c>
      <c r="BR297" s="142">
        <f t="shared" si="478"/>
        <v>4.9627394570272001</v>
      </c>
      <c r="BS297" s="142">
        <f t="shared" si="478"/>
        <v>11.573639305243985</v>
      </c>
      <c r="BT297" s="142">
        <f t="shared" si="478"/>
        <v>2.6259042796426555</v>
      </c>
      <c r="BU297" s="142">
        <f t="shared" si="478"/>
        <v>1.3116404993220057</v>
      </c>
      <c r="BV297" s="142">
        <f t="shared" si="478"/>
        <v>6.596974403989071</v>
      </c>
      <c r="BW297" s="17"/>
      <c r="BX297" s="17"/>
      <c r="BY297" s="17"/>
      <c r="BZ297" s="17"/>
      <c r="CA297" s="17"/>
      <c r="CB297" s="17"/>
      <c r="CC297" s="17"/>
      <c r="CD297" s="17"/>
      <c r="CE297" s="17"/>
      <c r="CF297" s="17"/>
      <c r="CG297" s="17"/>
      <c r="CH297">
        <f t="shared" si="307"/>
        <v>139</v>
      </c>
      <c r="CI297" s="113">
        <f t="shared" si="308"/>
        <v>161.79484575004849</v>
      </c>
      <c r="CJ297" s="124">
        <f t="shared" si="353"/>
        <v>3.5400079260255577</v>
      </c>
      <c r="CK297" s="124">
        <f t="shared" si="354"/>
        <v>83.69778582830314</v>
      </c>
      <c r="CL297" s="124">
        <f t="shared" si="355"/>
        <v>60.495505462884942</v>
      </c>
      <c r="CM297" s="124">
        <f t="shared" si="356"/>
        <v>35.493387080982366</v>
      </c>
      <c r="CN297" s="124">
        <f t="shared" si="357"/>
        <v>38.600179196760465</v>
      </c>
      <c r="CO297" s="124">
        <f t="shared" si="358"/>
        <v>46.686470781423502</v>
      </c>
      <c r="CP297" s="124">
        <f t="shared" si="359"/>
        <v>23.31991547523651</v>
      </c>
      <c r="CQ297" s="124">
        <f t="shared" si="360"/>
        <v>23.345540275345392</v>
      </c>
      <c r="CR297" s="144">
        <f t="shared" si="417"/>
        <v>315.17879202696184</v>
      </c>
    </row>
    <row r="298" spans="1:96" s="137" customFormat="1" ht="14">
      <c r="A298" s="137">
        <f t="shared" si="418"/>
        <v>140</v>
      </c>
      <c r="B298" s="145">
        <f t="shared" si="418"/>
        <v>220</v>
      </c>
      <c r="C298" s="139">
        <f t="shared" si="403"/>
        <v>161.91678780756789</v>
      </c>
      <c r="D298" s="139"/>
      <c r="E298" s="139"/>
      <c r="F298" s="141">
        <f t="shared" ref="F298:G298" si="479">F297</f>
        <v>6.0606231572568161</v>
      </c>
      <c r="G298" s="141">
        <f t="shared" si="479"/>
        <v>0.7542108817919595</v>
      </c>
      <c r="H298" s="140">
        <f>(H$118)*('Product half-life and C flows'!L199/100)</f>
        <v>0</v>
      </c>
      <c r="I298" s="140">
        <f>(($C$39*$C$118*0.28)*H$41)*('Product half-life and C flows'!N199/100)</f>
        <v>0</v>
      </c>
      <c r="J298" s="140">
        <f>(($C$39*$C$118*0.28)*H$41)*(+'Product half-life and C flows'!P199/100)</f>
        <v>0</v>
      </c>
      <c r="K298" s="141">
        <f t="shared" si="201"/>
        <v>1.3434381331919276</v>
      </c>
      <c r="L298" s="139"/>
      <c r="M298" s="142">
        <f>(C$158-C$138)*(0.4*D$14)*('Product half-life and C flows'!B159/100)</f>
        <v>2.6924584727795145E-2</v>
      </c>
      <c r="N298" s="146"/>
      <c r="O298" s="143">
        <f t="shared" si="326"/>
        <v>7.7764117579468763</v>
      </c>
      <c r="P298" s="142">
        <f t="shared" si="327"/>
        <v>4.9627394570272001</v>
      </c>
      <c r="Q298" s="142">
        <f>(C$158-C$138)*(0.6*C$15)*('Product half-life and C flows'!L159/100)</f>
        <v>1.7948730339577512</v>
      </c>
      <c r="R298" s="142">
        <f>(C$158-C$138)*0.6*('Product half-life and C flows'!N159/100)</f>
        <v>9.1516009713476691</v>
      </c>
      <c r="S298" s="142">
        <f>(C$158-C$138)*0.6*('Product half-life and C flows'!P159/100)</f>
        <v>4.5712292564174133</v>
      </c>
      <c r="T298" s="142">
        <f t="shared" si="411"/>
        <v>1.0230776293559181</v>
      </c>
      <c r="U298" s="144"/>
      <c r="V298" s="142">
        <f t="shared" si="165"/>
        <v>5.384916945559029E-2</v>
      </c>
      <c r="W298" s="142">
        <f t="shared" si="166"/>
        <v>0</v>
      </c>
      <c r="X298" s="142">
        <f t="shared" si="167"/>
        <v>7.7764117579468763</v>
      </c>
      <c r="Y298" s="142">
        <f t="shared" si="168"/>
        <v>4.9627394570272001</v>
      </c>
      <c r="Z298" s="142">
        <f t="shared" si="169"/>
        <v>2.4424452761923532</v>
      </c>
      <c r="AA298" s="142">
        <f t="shared" si="170"/>
        <v>8.719454428363111</v>
      </c>
      <c r="AB298" s="142">
        <f t="shared" si="171"/>
        <v>4.3553718423392143</v>
      </c>
      <c r="AC298" s="142">
        <f t="shared" si="172"/>
        <v>1.3921938074296412</v>
      </c>
      <c r="AD298" s="144"/>
      <c r="AE298" s="142">
        <f t="shared" ref="AE298:AL298" si="480">V278</f>
        <v>0.10769833891118058</v>
      </c>
      <c r="AF298" s="142">
        <f t="shared" si="480"/>
        <v>0</v>
      </c>
      <c r="AG298" s="142">
        <f t="shared" si="480"/>
        <v>7.7764117579468763</v>
      </c>
      <c r="AH298" s="142">
        <f t="shared" si="480"/>
        <v>4.9627394570272001</v>
      </c>
      <c r="AI298" s="142">
        <f t="shared" si="480"/>
        <v>3.3236551078156982</v>
      </c>
      <c r="AJ298" s="142">
        <f t="shared" si="480"/>
        <v>8.131393734059797</v>
      </c>
      <c r="AK298" s="142">
        <f t="shared" si="480"/>
        <v>4.0616352317981006</v>
      </c>
      <c r="AL298" s="142">
        <f t="shared" si="480"/>
        <v>1.8944834114549478</v>
      </c>
      <c r="AM298" s="144"/>
      <c r="AN298" s="144">
        <f t="shared" ref="AN298:AU298" si="481">AE278</f>
        <v>0.21539667782236116</v>
      </c>
      <c r="AO298" s="144">
        <f t="shared" si="481"/>
        <v>0</v>
      </c>
      <c r="AP298" s="144">
        <f t="shared" si="481"/>
        <v>7.7764117579468763</v>
      </c>
      <c r="AQ298" s="144">
        <f t="shared" si="481"/>
        <v>4.9627394570272001</v>
      </c>
      <c r="AR298" s="144">
        <f t="shared" si="481"/>
        <v>4.5227966347440924</v>
      </c>
      <c r="AS298" s="144">
        <f t="shared" si="481"/>
        <v>7.3311666217562506</v>
      </c>
      <c r="AT298" s="144">
        <f t="shared" si="481"/>
        <v>3.6619213894886364</v>
      </c>
      <c r="AU298" s="144">
        <f t="shared" si="481"/>
        <v>2.5779940818041323</v>
      </c>
      <c r="AV298" s="144"/>
      <c r="AW298" s="144">
        <f t="shared" ref="AW298:BD298" si="482">AN278</f>
        <v>0.43079335564472232</v>
      </c>
      <c r="AX298" s="144">
        <f t="shared" si="482"/>
        <v>0</v>
      </c>
      <c r="AY298" s="144">
        <f t="shared" si="482"/>
        <v>7.7764117579468763</v>
      </c>
      <c r="AZ298" s="144">
        <f t="shared" si="482"/>
        <v>4.9627394570272001</v>
      </c>
      <c r="BA298" s="144">
        <f t="shared" si="482"/>
        <v>6.1545764333820854</v>
      </c>
      <c r="BB298" s="144">
        <f t="shared" si="482"/>
        <v>6.2422255694651652</v>
      </c>
      <c r="BC298" s="144">
        <f t="shared" si="482"/>
        <v>3.1179947899426383</v>
      </c>
      <c r="BD298" s="144">
        <f t="shared" si="482"/>
        <v>3.5081085670277883</v>
      </c>
      <c r="BE298" s="142"/>
      <c r="BF298" s="142">
        <f t="shared" ref="BF298:BM298" si="483">AW278</f>
        <v>0.86158671128944464</v>
      </c>
      <c r="BG298" s="142">
        <f t="shared" si="483"/>
        <v>0</v>
      </c>
      <c r="BH298" s="142">
        <f t="shared" si="483"/>
        <v>7.7764117579468763</v>
      </c>
      <c r="BI298" s="142">
        <f t="shared" si="483"/>
        <v>4.9627394570272001</v>
      </c>
      <c r="BJ298" s="142">
        <f t="shared" si="483"/>
        <v>8.3750860658552231</v>
      </c>
      <c r="BK298" s="142">
        <f t="shared" si="483"/>
        <v>4.7604054747280893</v>
      </c>
      <c r="BL298" s="142">
        <f t="shared" si="483"/>
        <v>2.3778249124515924</v>
      </c>
      <c r="BM298" s="142">
        <f t="shared" si="483"/>
        <v>4.7737990575374765</v>
      </c>
      <c r="BN298" s="142"/>
      <c r="BO298" s="142">
        <f t="shared" ref="BO298:BV298" si="484">BF278</f>
        <v>1.7231734225788893</v>
      </c>
      <c r="BP298" s="142">
        <f t="shared" si="484"/>
        <v>0</v>
      </c>
      <c r="BQ298" s="142">
        <f t="shared" si="484"/>
        <v>7.7764117579468763</v>
      </c>
      <c r="BR298" s="142">
        <f t="shared" si="484"/>
        <v>4.9627394570272001</v>
      </c>
      <c r="BS298" s="142">
        <f t="shared" si="484"/>
        <v>11.396733369015552</v>
      </c>
      <c r="BT298" s="142">
        <f t="shared" si="484"/>
        <v>2.7439595077524288</v>
      </c>
      <c r="BU298" s="142">
        <f t="shared" si="484"/>
        <v>1.370609144731483</v>
      </c>
      <c r="BV298" s="142">
        <f t="shared" si="484"/>
        <v>6.4961380203388641</v>
      </c>
      <c r="BW298" s="142"/>
      <c r="BX298" s="142">
        <f>BO278</f>
        <v>3.4463468451577786</v>
      </c>
      <c r="BY298" s="142">
        <f t="shared" ref="BY298:CE298" si="485">BP278</f>
        <v>50.957490799304182</v>
      </c>
      <c r="BZ298" s="142">
        <f t="shared" si="485"/>
        <v>7.7764117579468763</v>
      </c>
      <c r="CA298" s="142">
        <f t="shared" si="485"/>
        <v>4.9627394570272001</v>
      </c>
      <c r="CB298" s="142">
        <f t="shared" si="485"/>
        <v>15.508560803210001</v>
      </c>
      <c r="CC298" s="142">
        <f t="shared" si="485"/>
        <v>0</v>
      </c>
      <c r="CD298" s="142">
        <f t="shared" si="485"/>
        <v>0</v>
      </c>
      <c r="CE298" s="142">
        <f t="shared" si="485"/>
        <v>8.8398796578296999</v>
      </c>
      <c r="CF298" s="142"/>
      <c r="CG298" s="142"/>
      <c r="CH298" s="137">
        <f t="shared" si="307"/>
        <v>140</v>
      </c>
      <c r="CI298" s="144">
        <f t="shared" si="308"/>
        <v>161.91678780756789</v>
      </c>
      <c r="CJ298" s="124">
        <f t="shared" si="353"/>
        <v>6.8657691055877619</v>
      </c>
      <c r="CK298" s="124">
        <f t="shared" si="354"/>
        <v>50.957490799304182</v>
      </c>
      <c r="CL298" s="124">
        <f t="shared" si="355"/>
        <v>68.271917220831824</v>
      </c>
      <c r="CM298" s="124">
        <f t="shared" si="356"/>
        <v>40.456126538009563</v>
      </c>
      <c r="CN298" s="124">
        <f t="shared" si="357"/>
        <v>53.518726724172758</v>
      </c>
      <c r="CO298" s="124">
        <f t="shared" si="358"/>
        <v>47.080206307472508</v>
      </c>
      <c r="CP298" s="124">
        <f t="shared" si="359"/>
        <v>23.516586567169078</v>
      </c>
      <c r="CQ298" s="124">
        <f t="shared" si="360"/>
        <v>31.849112365970399</v>
      </c>
      <c r="CR298" s="144">
        <f t="shared" si="417"/>
        <v>322.51593562851804</v>
      </c>
    </row>
    <row r="299" spans="1:96" ht="14">
      <c r="A299">
        <f t="shared" si="418"/>
        <v>141</v>
      </c>
      <c r="B299" s="19">
        <f t="shared" si="418"/>
        <v>221</v>
      </c>
      <c r="C299" s="26">
        <f t="shared" si="403"/>
        <v>162.03637469814757</v>
      </c>
      <c r="D299" s="26"/>
      <c r="E299" s="26"/>
      <c r="F299" s="141">
        <f t="shared" ref="F299:G299" si="486">F298</f>
        <v>6.0606231572568161</v>
      </c>
      <c r="G299" s="141">
        <f t="shared" si="486"/>
        <v>0.7542108817919595</v>
      </c>
      <c r="H299" s="140">
        <f>(H$118)*('Product half-life and C flows'!L200/100)</f>
        <v>0</v>
      </c>
      <c r="I299" s="140">
        <f>(($C$39*$C$118*0.28)*H$41)*('Product half-life and C flows'!N200/100)</f>
        <v>0</v>
      </c>
      <c r="J299" s="140">
        <f>(($C$39*$C$118*0.28)*H$41)*(+'Product half-life and C flows'!P200/100)</f>
        <v>0</v>
      </c>
      <c r="K299" s="141">
        <f t="shared" si="201"/>
        <v>1.3434381331919276</v>
      </c>
      <c r="L299" s="26"/>
      <c r="M299" s="142">
        <f>(C$158-C$138)*(0.4*D$14)*('Product half-life and C flows'!B160/100)</f>
        <v>2.6007434529792421E-2</v>
      </c>
      <c r="N299" s="85"/>
      <c r="O299" s="143">
        <f t="shared" si="326"/>
        <v>7.7764117579468763</v>
      </c>
      <c r="P299" s="142">
        <f t="shared" si="327"/>
        <v>4.9627394570272001</v>
      </c>
      <c r="Q299" s="142">
        <f>(C$158-C$138)*(0.6*C$15)*('Product half-life and C flows'!L160/100)</f>
        <v>1.7674379561823799</v>
      </c>
      <c r="R299" s="142">
        <f>(C$158-C$138)*0.6*('Product half-life and C flows'!N160/100)</f>
        <v>9.1699093132497662</v>
      </c>
      <c r="S299" s="142">
        <f>(C$158-C$138)*0.6*('Product half-life and C flows'!P160/100)</f>
        <v>4.5803742823425369</v>
      </c>
      <c r="T299" s="142">
        <f t="shared" si="411"/>
        <v>1.0074396350239565</v>
      </c>
      <c r="U299" s="3"/>
      <c r="V299" s="142">
        <f t="shared" si="165"/>
        <v>5.2014869059584808E-2</v>
      </c>
      <c r="W299" s="142">
        <f t="shared" si="166"/>
        <v>0</v>
      </c>
      <c r="X299" s="142">
        <f t="shared" si="167"/>
        <v>7.7764117579468763</v>
      </c>
      <c r="Y299" s="142">
        <f t="shared" si="168"/>
        <v>4.9627394570272001</v>
      </c>
      <c r="Z299" s="142">
        <f t="shared" si="169"/>
        <v>2.4051118967016212</v>
      </c>
      <c r="AA299" s="142">
        <f t="shared" si="170"/>
        <v>8.7443682369432594</v>
      </c>
      <c r="AB299" s="142">
        <f t="shared" si="171"/>
        <v>4.3678163021694578</v>
      </c>
      <c r="AC299" s="142">
        <f t="shared" si="172"/>
        <v>1.3709137811199239</v>
      </c>
      <c r="AD299" s="115"/>
      <c r="AE299" s="142">
        <f t="shared" ref="AE299:AL299" si="487">V279</f>
        <v>0.10402973811916966</v>
      </c>
      <c r="AF299" s="142">
        <f t="shared" si="487"/>
        <v>0</v>
      </c>
      <c r="AG299" s="142">
        <f t="shared" si="487"/>
        <v>7.7764117579468763</v>
      </c>
      <c r="AH299" s="142">
        <f t="shared" si="487"/>
        <v>4.9627394570272001</v>
      </c>
      <c r="AI299" s="142">
        <f t="shared" si="487"/>
        <v>3.2728522183319959</v>
      </c>
      <c r="AJ299" s="142">
        <f t="shared" si="487"/>
        <v>8.1652961956419219</v>
      </c>
      <c r="AK299" s="142">
        <f t="shared" si="487"/>
        <v>4.0785695282926682</v>
      </c>
      <c r="AL299" s="142">
        <f t="shared" si="487"/>
        <v>1.8655257644492376</v>
      </c>
      <c r="AM299" s="115"/>
      <c r="AN299" s="144">
        <f t="shared" ref="AN299:AU299" si="488">AE279</f>
        <v>0.20805947623833926</v>
      </c>
      <c r="AO299" s="144">
        <f t="shared" si="488"/>
        <v>0</v>
      </c>
      <c r="AP299" s="144">
        <f t="shared" si="488"/>
        <v>7.7764117579468763</v>
      </c>
      <c r="AQ299" s="144">
        <f t="shared" si="488"/>
        <v>4.9627394570272001</v>
      </c>
      <c r="AR299" s="144">
        <f t="shared" si="488"/>
        <v>4.4536645707547065</v>
      </c>
      <c r="AS299" s="144">
        <f t="shared" si="488"/>
        <v>7.377300752458499</v>
      </c>
      <c r="AT299" s="144">
        <f t="shared" si="488"/>
        <v>3.6849654108184318</v>
      </c>
      <c r="AU299" s="144">
        <f t="shared" si="488"/>
        <v>2.5385888053301824</v>
      </c>
      <c r="AV299" s="115"/>
      <c r="AW299" s="144">
        <f t="shared" ref="AW299:BD299" si="489">AN279</f>
        <v>0.41611895247667857</v>
      </c>
      <c r="AX299" s="144">
        <f t="shared" si="489"/>
        <v>0</v>
      </c>
      <c r="AY299" s="144">
        <f t="shared" si="489"/>
        <v>7.7764117579468763</v>
      </c>
      <c r="AZ299" s="144">
        <f t="shared" si="489"/>
        <v>4.9627394570272001</v>
      </c>
      <c r="BA299" s="144">
        <f t="shared" si="489"/>
        <v>6.0605022120139136</v>
      </c>
      <c r="BB299" s="144">
        <f t="shared" si="489"/>
        <v>6.3050044331915256</v>
      </c>
      <c r="BC299" s="144">
        <f t="shared" si="489"/>
        <v>3.1493528637320294</v>
      </c>
      <c r="BD299" s="144">
        <f t="shared" si="489"/>
        <v>3.4544862608479305</v>
      </c>
      <c r="BE299" s="17"/>
      <c r="BF299" s="142">
        <f t="shared" ref="BF299:BM299" si="490">AW279</f>
        <v>0.83223790495335714</v>
      </c>
      <c r="BG299" s="142">
        <f t="shared" si="490"/>
        <v>0</v>
      </c>
      <c r="BH299" s="142">
        <f t="shared" si="490"/>
        <v>7.7764117579468763</v>
      </c>
      <c r="BI299" s="142">
        <f t="shared" si="490"/>
        <v>4.9627394570272001</v>
      </c>
      <c r="BJ299" s="142">
        <f t="shared" si="490"/>
        <v>8.2470708061432259</v>
      </c>
      <c r="BK299" s="142">
        <f t="shared" si="490"/>
        <v>4.8458343247092301</v>
      </c>
      <c r="BL299" s="142">
        <f t="shared" si="490"/>
        <v>2.4204966656889253</v>
      </c>
      <c r="BM299" s="142">
        <f t="shared" si="490"/>
        <v>4.7008303595016381</v>
      </c>
      <c r="BN299" s="17"/>
      <c r="BO299" s="142">
        <f t="shared" ref="BO299:BV299" si="491">BF279</f>
        <v>1.6644758099067141</v>
      </c>
      <c r="BP299" s="142">
        <f t="shared" si="491"/>
        <v>0</v>
      </c>
      <c r="BQ299" s="142">
        <f t="shared" si="491"/>
        <v>7.7764117579468763</v>
      </c>
      <c r="BR299" s="142">
        <f t="shared" si="491"/>
        <v>4.9627394570272001</v>
      </c>
      <c r="BS299" s="142">
        <f t="shared" si="491"/>
        <v>11.222531483729737</v>
      </c>
      <c r="BT299" s="142">
        <f t="shared" si="491"/>
        <v>2.8602102325331629</v>
      </c>
      <c r="BU299" s="142">
        <f t="shared" si="491"/>
        <v>1.4286764398267544</v>
      </c>
      <c r="BV299" s="142">
        <f t="shared" si="491"/>
        <v>6.3968429457259495</v>
      </c>
      <c r="BW299" s="17"/>
      <c r="BX299" s="142">
        <f t="shared" ref="BX299:CE299" si="492">BO279</f>
        <v>3.3289516198134281</v>
      </c>
      <c r="BY299" s="142">
        <f t="shared" si="492"/>
        <v>52.68066422188307</v>
      </c>
      <c r="BZ299" s="142">
        <f t="shared" si="492"/>
        <v>7.7764117579468763</v>
      </c>
      <c r="CA299" s="142">
        <f t="shared" si="492"/>
        <v>4.9627394570272001</v>
      </c>
      <c r="CB299" s="142">
        <f t="shared" si="492"/>
        <v>15.271508619701541</v>
      </c>
      <c r="CC299" s="142">
        <f t="shared" si="492"/>
        <v>0.15819282379464625</v>
      </c>
      <c r="CD299" s="142">
        <f t="shared" si="492"/>
        <v>7.9017394502820304E-2</v>
      </c>
      <c r="CE299" s="142">
        <f t="shared" si="492"/>
        <v>8.7047599132298767</v>
      </c>
      <c r="CF299" s="17"/>
      <c r="CG299" s="17"/>
      <c r="CH299">
        <f t="shared" si="307"/>
        <v>141</v>
      </c>
      <c r="CI299" s="113">
        <f t="shared" si="308"/>
        <v>162.03637469814757</v>
      </c>
      <c r="CJ299" s="124">
        <f t="shared" si="353"/>
        <v>6.6318958050970647</v>
      </c>
      <c r="CK299" s="124">
        <f t="shared" si="354"/>
        <v>52.68066422188307</v>
      </c>
      <c r="CL299" s="124">
        <f t="shared" si="355"/>
        <v>68.271917220831824</v>
      </c>
      <c r="CM299" s="124">
        <f t="shared" si="356"/>
        <v>40.456126538009563</v>
      </c>
      <c r="CN299" s="124">
        <f t="shared" si="357"/>
        <v>52.700679763559123</v>
      </c>
      <c r="CO299" s="124">
        <f t="shared" si="358"/>
        <v>47.626116312522008</v>
      </c>
      <c r="CP299" s="124">
        <f t="shared" si="359"/>
        <v>23.789268887373627</v>
      </c>
      <c r="CQ299" s="124">
        <f t="shared" si="360"/>
        <v>31.382825598420624</v>
      </c>
      <c r="CR299" s="144">
        <f t="shared" si="417"/>
        <v>323.53949434769686</v>
      </c>
    </row>
    <row r="300" spans="1:96" ht="14">
      <c r="A300">
        <f t="shared" si="418"/>
        <v>142</v>
      </c>
      <c r="B300" s="19">
        <f t="shared" si="418"/>
        <v>222</v>
      </c>
      <c r="C300" s="26">
        <f t="shared" si="403"/>
        <v>162.15365074030461</v>
      </c>
      <c r="D300" s="26"/>
      <c r="E300" s="26"/>
      <c r="F300" s="141">
        <f t="shared" ref="F300:G300" si="493">F299</f>
        <v>6.0606231572568161</v>
      </c>
      <c r="G300" s="141">
        <f t="shared" si="493"/>
        <v>0.7542108817919595</v>
      </c>
      <c r="H300" s="140">
        <f>(H$118)*('Product half-life and C flows'!L201/100)</f>
        <v>0</v>
      </c>
      <c r="I300" s="140">
        <f>(($C$39*$C$118*0.28)*H$41)*('Product half-life and C flows'!N201/100)</f>
        <v>0</v>
      </c>
      <c r="J300" s="140">
        <f>(($C$39*$C$118*0.28)*H$41)*(+'Product half-life and C flows'!P201/100)</f>
        <v>0</v>
      </c>
      <c r="K300" s="141">
        <f t="shared" si="201"/>
        <v>1.3434381331919276</v>
      </c>
      <c r="L300" s="26"/>
      <c r="M300" s="142">
        <f>(C$158-C$138)*(0.4*D$14)*('Product half-life and C flows'!B161/100)</f>
        <v>2.5121525834460947E-2</v>
      </c>
      <c r="N300" s="85"/>
      <c r="O300" s="143">
        <f t="shared" si="326"/>
        <v>7.7764117579468763</v>
      </c>
      <c r="P300" s="142">
        <f t="shared" si="327"/>
        <v>4.9627394570272001</v>
      </c>
      <c r="Q300" s="142">
        <f>(C$158-C$138)*(0.6*C$15)*('Product half-life and C flows'!L161/100)</f>
        <v>1.7404222303490684</v>
      </c>
      <c r="R300" s="142">
        <f>(C$158-C$138)*0.6*('Product half-life and C flows'!N161/100)</f>
        <v>9.1879378076225287</v>
      </c>
      <c r="S300" s="142">
        <f>(C$158-C$138)*0.6*('Product half-life and C flows'!P161/100)</f>
        <v>4.5893795242869739</v>
      </c>
      <c r="T300" s="142">
        <f t="shared" si="411"/>
        <v>0.99204067129896889</v>
      </c>
      <c r="U300" s="3"/>
      <c r="V300" s="142">
        <f t="shared" si="165"/>
        <v>5.0243051668921894E-2</v>
      </c>
      <c r="W300" s="142">
        <f t="shared" si="166"/>
        <v>0</v>
      </c>
      <c r="X300" s="142">
        <f t="shared" si="167"/>
        <v>7.7764117579468763</v>
      </c>
      <c r="Y300" s="142">
        <f t="shared" si="168"/>
        <v>4.9627394570272001</v>
      </c>
      <c r="Z300" s="142">
        <f t="shared" si="169"/>
        <v>2.3683491671401984</v>
      </c>
      <c r="AA300" s="142">
        <f t="shared" si="170"/>
        <v>8.7689012318039143</v>
      </c>
      <c r="AB300" s="142">
        <f t="shared" si="171"/>
        <v>4.380070545356598</v>
      </c>
      <c r="AC300" s="142">
        <f t="shared" si="172"/>
        <v>1.349959025269913</v>
      </c>
      <c r="AD300" s="115"/>
      <c r="AE300" s="142">
        <f t="shared" ref="AE300:AL300" si="494">V280</f>
        <v>0.10048610333784382</v>
      </c>
      <c r="AF300" s="142">
        <f t="shared" si="494"/>
        <v>0</v>
      </c>
      <c r="AG300" s="142">
        <f t="shared" si="494"/>
        <v>7.7764117579468763</v>
      </c>
      <c r="AH300" s="142">
        <f t="shared" si="494"/>
        <v>4.9627394570272001</v>
      </c>
      <c r="AI300" s="142">
        <f t="shared" si="494"/>
        <v>3.2228258635656966</v>
      </c>
      <c r="AJ300" s="142">
        <f t="shared" si="494"/>
        <v>8.198680449722632</v>
      </c>
      <c r="AK300" s="142">
        <f t="shared" si="494"/>
        <v>4.0952449798814339</v>
      </c>
      <c r="AL300" s="142">
        <f t="shared" si="494"/>
        <v>1.8370107422324469</v>
      </c>
      <c r="AM300" s="115"/>
      <c r="AN300" s="144">
        <f t="shared" ref="AN300:AU300" si="495">AE280</f>
        <v>0.20097220667568763</v>
      </c>
      <c r="AO300" s="144">
        <f t="shared" si="495"/>
        <v>0</v>
      </c>
      <c r="AP300" s="144">
        <f t="shared" si="495"/>
        <v>7.7764117579468763</v>
      </c>
      <c r="AQ300" s="144">
        <f t="shared" si="495"/>
        <v>4.9627394570272001</v>
      </c>
      <c r="AR300" s="144">
        <f t="shared" si="495"/>
        <v>4.3855892074435507</v>
      </c>
      <c r="AS300" s="144">
        <f t="shared" si="495"/>
        <v>7.422729711574811</v>
      </c>
      <c r="AT300" s="144">
        <f t="shared" si="495"/>
        <v>3.7076571985888176</v>
      </c>
      <c r="AU300" s="144">
        <f t="shared" si="495"/>
        <v>2.4997858482428237</v>
      </c>
      <c r="AV300" s="115"/>
      <c r="AW300" s="144">
        <f t="shared" ref="AW300:BD300" si="496">AN280</f>
        <v>0.4019444133513751</v>
      </c>
      <c r="AX300" s="144">
        <f t="shared" si="496"/>
        <v>0</v>
      </c>
      <c r="AY300" s="144">
        <f t="shared" si="496"/>
        <v>7.7764117579468763</v>
      </c>
      <c r="AZ300" s="144">
        <f t="shared" si="496"/>
        <v>4.9627394570272001</v>
      </c>
      <c r="BA300" s="144">
        <f t="shared" si="496"/>
        <v>5.9678659383618546</v>
      </c>
      <c r="BB300" s="144">
        <f t="shared" si="496"/>
        <v>6.3668237064753317</v>
      </c>
      <c r="BC300" s="144">
        <f t="shared" si="496"/>
        <v>3.1802316216160484</v>
      </c>
      <c r="BD300" s="144">
        <f t="shared" si="496"/>
        <v>3.401683584866257</v>
      </c>
      <c r="BE300" s="17"/>
      <c r="BF300" s="142">
        <f t="shared" ref="BF300:BM300" si="497">AW280</f>
        <v>0.80388882670275008</v>
      </c>
      <c r="BG300" s="142">
        <f t="shared" si="497"/>
        <v>0</v>
      </c>
      <c r="BH300" s="142">
        <f t="shared" si="497"/>
        <v>7.7764117579468763</v>
      </c>
      <c r="BI300" s="142">
        <f t="shared" si="497"/>
        <v>4.9627394570272001</v>
      </c>
      <c r="BJ300" s="142">
        <f t="shared" si="497"/>
        <v>8.1210122913040852</v>
      </c>
      <c r="BK300" s="142">
        <f t="shared" si="497"/>
        <v>4.9299573736118827</v>
      </c>
      <c r="BL300" s="142">
        <f t="shared" si="497"/>
        <v>2.4625161706353049</v>
      </c>
      <c r="BM300" s="142">
        <f t="shared" si="497"/>
        <v>4.6289770060433284</v>
      </c>
      <c r="BN300" s="17"/>
      <c r="BO300" s="142">
        <f t="shared" ref="BO300:BV300" si="498">BF280</f>
        <v>1.6077776534055002</v>
      </c>
      <c r="BP300" s="142">
        <f t="shared" si="498"/>
        <v>0</v>
      </c>
      <c r="BQ300" s="142">
        <f t="shared" si="498"/>
        <v>7.7764117579468763</v>
      </c>
      <c r="BR300" s="142">
        <f t="shared" si="498"/>
        <v>4.9627394570272001</v>
      </c>
      <c r="BS300" s="142">
        <f t="shared" si="498"/>
        <v>11.050992317299807</v>
      </c>
      <c r="BT300" s="142">
        <f t="shared" si="498"/>
        <v>2.9746840362640703</v>
      </c>
      <c r="BU300" s="142">
        <f t="shared" si="498"/>
        <v>1.485856161970065</v>
      </c>
      <c r="BV300" s="142">
        <f t="shared" si="498"/>
        <v>6.2990656208608895</v>
      </c>
      <c r="BW300" s="17"/>
      <c r="BX300" s="142">
        <f t="shared" ref="BX300:CE300" si="499">BO280</f>
        <v>3.2155553068110003</v>
      </c>
      <c r="BY300" s="142">
        <f t="shared" si="499"/>
        <v>54.403837644461959</v>
      </c>
      <c r="BZ300" s="142">
        <f t="shared" si="499"/>
        <v>7.7764117579468763</v>
      </c>
      <c r="CA300" s="142">
        <f t="shared" si="499"/>
        <v>4.9627394570272001</v>
      </c>
      <c r="CB300" s="142">
        <f t="shared" si="499"/>
        <v>15.038079837385441</v>
      </c>
      <c r="CC300" s="142">
        <f t="shared" si="499"/>
        <v>0.3139676311935905</v>
      </c>
      <c r="CD300" s="142">
        <f t="shared" si="499"/>
        <v>0.15682698860818706</v>
      </c>
      <c r="CE300" s="142">
        <f t="shared" si="499"/>
        <v>8.5717055073096997</v>
      </c>
      <c r="CF300" s="17"/>
      <c r="CG300" s="17"/>
      <c r="CH300">
        <f t="shared" si="307"/>
        <v>142</v>
      </c>
      <c r="CI300" s="113">
        <f t="shared" si="308"/>
        <v>162.15365074030461</v>
      </c>
      <c r="CJ300" s="124">
        <f t="shared" si="353"/>
        <v>6.4059890877875407</v>
      </c>
      <c r="CK300" s="124">
        <f t="shared" si="354"/>
        <v>54.403837644461959</v>
      </c>
      <c r="CL300" s="124">
        <f t="shared" si="355"/>
        <v>68.271917220831824</v>
      </c>
      <c r="CM300" s="124">
        <f t="shared" si="356"/>
        <v>40.456126538009563</v>
      </c>
      <c r="CN300" s="124">
        <f t="shared" si="357"/>
        <v>51.895136852849703</v>
      </c>
      <c r="CO300" s="124">
        <f t="shared" si="358"/>
        <v>48.16368194826876</v>
      </c>
      <c r="CP300" s="124">
        <f t="shared" si="359"/>
        <v>24.057783190943429</v>
      </c>
      <c r="CQ300" s="124">
        <f t="shared" si="360"/>
        <v>30.923666139316254</v>
      </c>
      <c r="CR300" s="144">
        <f t="shared" si="417"/>
        <v>324.57813862246906</v>
      </c>
    </row>
    <row r="301" spans="1:96" ht="14">
      <c r="A301">
        <f t="shared" si="418"/>
        <v>143</v>
      </c>
      <c r="B301" s="19">
        <f t="shared" si="418"/>
        <v>223</v>
      </c>
      <c r="C301" s="26">
        <f t="shared" si="403"/>
        <v>162.26865946501934</v>
      </c>
      <c r="D301" s="26"/>
      <c r="E301" s="26"/>
      <c r="F301" s="141">
        <f t="shared" ref="F301:G301" si="500">F300</f>
        <v>6.0606231572568161</v>
      </c>
      <c r="G301" s="141">
        <f t="shared" si="500"/>
        <v>0.7542108817919595</v>
      </c>
      <c r="H301" s="140">
        <f>(H$118)*('Product half-life and C flows'!L202/100)</f>
        <v>0</v>
      </c>
      <c r="I301" s="140">
        <f>(($C$39*$C$118*0.28)*H$41)*('Product half-life and C flows'!N202/100)</f>
        <v>0</v>
      </c>
      <c r="J301" s="140">
        <f>(($C$39*$C$118*0.28)*H$41)*(+'Product half-life and C flows'!P202/100)</f>
        <v>0</v>
      </c>
      <c r="K301" s="141">
        <f t="shared" si="201"/>
        <v>1.3434381331919276</v>
      </c>
      <c r="L301" s="26"/>
      <c r="M301" s="142">
        <f>(C$158-C$138)*(0.4*D$14)*('Product half-life and C flows'!B162/100)</f>
        <v>2.4265794441529868E-2</v>
      </c>
      <c r="N301" s="85"/>
      <c r="O301" s="143">
        <f t="shared" si="326"/>
        <v>7.7764117579468763</v>
      </c>
      <c r="P301" s="142">
        <f t="shared" si="327"/>
        <v>4.9627394570272001</v>
      </c>
      <c r="Q301" s="142">
        <f>(C$158-C$138)*(0.6*C$15)*('Product half-life and C flows'!L162/100)</f>
        <v>1.7138194465597749</v>
      </c>
      <c r="R301" s="142">
        <f>(C$158-C$138)*0.6*('Product half-life and C flows'!N162/100)</f>
        <v>9.2056907320045855</v>
      </c>
      <c r="S301" s="142">
        <f>(C$158-C$138)*0.6*('Product half-life and C flows'!P162/100)</f>
        <v>4.598247118883406</v>
      </c>
      <c r="T301" s="142">
        <f t="shared" si="411"/>
        <v>0.97687708453907163</v>
      </c>
      <c r="U301" s="3"/>
      <c r="V301" s="142">
        <f t="shared" si="165"/>
        <v>4.8531588883059737E-2</v>
      </c>
      <c r="W301" s="142">
        <f t="shared" si="166"/>
        <v>0</v>
      </c>
      <c r="X301" s="142">
        <f t="shared" si="167"/>
        <v>7.7764117579468763</v>
      </c>
      <c r="Y301" s="142">
        <f t="shared" si="168"/>
        <v>4.9627394570272001</v>
      </c>
      <c r="Z301" s="142">
        <f t="shared" si="169"/>
        <v>2.3321483649829262</v>
      </c>
      <c r="AA301" s="142">
        <f t="shared" si="170"/>
        <v>8.7930592337768658</v>
      </c>
      <c r="AB301" s="142">
        <f t="shared" si="171"/>
        <v>4.3921374794090227</v>
      </c>
      <c r="AC301" s="142">
        <f t="shared" si="172"/>
        <v>1.3293245680402679</v>
      </c>
      <c r="AD301" s="115"/>
      <c r="AE301" s="142">
        <f t="shared" ref="AE301:AL301" si="501">V281</f>
        <v>9.7063177766119474E-2</v>
      </c>
      <c r="AF301" s="142">
        <f t="shared" si="501"/>
        <v>0</v>
      </c>
      <c r="AG301" s="142">
        <f t="shared" si="501"/>
        <v>7.7764117579468763</v>
      </c>
      <c r="AH301" s="142">
        <f t="shared" si="501"/>
        <v>4.9627394570272001</v>
      </c>
      <c r="AI301" s="142">
        <f t="shared" si="501"/>
        <v>3.1735641739917897</v>
      </c>
      <c r="AJ301" s="142">
        <f t="shared" si="501"/>
        <v>8.2315544172316191</v>
      </c>
      <c r="AK301" s="142">
        <f t="shared" si="501"/>
        <v>4.1116655430727365</v>
      </c>
      <c r="AL301" s="142">
        <f t="shared" si="501"/>
        <v>1.80893157917532</v>
      </c>
      <c r="AM301" s="115"/>
      <c r="AN301" s="144">
        <f t="shared" ref="AN301:AU301" si="502">AE281</f>
        <v>0.19412635553223886</v>
      </c>
      <c r="AO301" s="144">
        <f t="shared" si="502"/>
        <v>0</v>
      </c>
      <c r="AP301" s="144">
        <f t="shared" si="502"/>
        <v>7.7764117579468763</v>
      </c>
      <c r="AQ301" s="144">
        <f t="shared" si="502"/>
        <v>4.9627394570272001</v>
      </c>
      <c r="AR301" s="144">
        <f t="shared" si="502"/>
        <v>4.3185543928796832</v>
      </c>
      <c r="AS301" s="144">
        <f t="shared" si="502"/>
        <v>7.4674642778270988</v>
      </c>
      <c r="AT301" s="144">
        <f t="shared" si="502"/>
        <v>3.7300021367767719</v>
      </c>
      <c r="AU301" s="144">
        <f t="shared" si="502"/>
        <v>2.4615760039414192</v>
      </c>
      <c r="AV301" s="115"/>
      <c r="AW301" s="144">
        <f t="shared" ref="AW301:BD301" si="503">AN281</f>
        <v>0.38825271106447801</v>
      </c>
      <c r="AX301" s="144">
        <f t="shared" si="503"/>
        <v>0</v>
      </c>
      <c r="AY301" s="144">
        <f t="shared" si="503"/>
        <v>7.7764117579468763</v>
      </c>
      <c r="AZ301" s="144">
        <f t="shared" si="503"/>
        <v>4.9627394570272001</v>
      </c>
      <c r="BA301" s="144">
        <f t="shared" si="503"/>
        <v>5.8766456330398018</v>
      </c>
      <c r="BB301" s="144">
        <f t="shared" si="503"/>
        <v>6.4276980568935826</v>
      </c>
      <c r="BC301" s="144">
        <f t="shared" si="503"/>
        <v>3.210638390056733</v>
      </c>
      <c r="BD301" s="144">
        <f t="shared" si="503"/>
        <v>3.3496880108326867</v>
      </c>
      <c r="BE301" s="17"/>
      <c r="BF301" s="142">
        <f t="shared" ref="BF301:BM301" si="504">AW281</f>
        <v>0.7765054221289559</v>
      </c>
      <c r="BG301" s="142">
        <f t="shared" si="504"/>
        <v>0</v>
      </c>
      <c r="BH301" s="142">
        <f t="shared" si="504"/>
        <v>7.7764117579468763</v>
      </c>
      <c r="BI301" s="142">
        <f t="shared" si="504"/>
        <v>4.9627394570272001</v>
      </c>
      <c r="BJ301" s="142">
        <f t="shared" si="504"/>
        <v>7.9968806120089821</v>
      </c>
      <c r="BK301" s="142">
        <f t="shared" si="504"/>
        <v>5.0127945809281487</v>
      </c>
      <c r="BL301" s="142">
        <f t="shared" si="504"/>
        <v>2.5038933970670061</v>
      </c>
      <c r="BM301" s="142">
        <f t="shared" si="504"/>
        <v>4.5582219488451194</v>
      </c>
      <c r="BN301" s="17"/>
      <c r="BO301" s="142">
        <f t="shared" ref="BO301:BV301" si="505">BF281</f>
        <v>1.5530108442579118</v>
      </c>
      <c r="BP301" s="142">
        <f t="shared" si="505"/>
        <v>0</v>
      </c>
      <c r="BQ301" s="142">
        <f t="shared" si="505"/>
        <v>7.7764117579468763</v>
      </c>
      <c r="BR301" s="142">
        <f t="shared" si="505"/>
        <v>4.9627394570272001</v>
      </c>
      <c r="BS301" s="142">
        <f t="shared" si="505"/>
        <v>10.882075169410175</v>
      </c>
      <c r="BT301" s="142">
        <f t="shared" si="505"/>
        <v>3.0874080796224175</v>
      </c>
      <c r="BU301" s="142">
        <f t="shared" si="505"/>
        <v>1.5421618779332751</v>
      </c>
      <c r="BV301" s="142">
        <f t="shared" si="505"/>
        <v>6.2027828465637995</v>
      </c>
      <c r="BW301" s="17"/>
      <c r="BX301" s="142">
        <f t="shared" ref="BX301:CE301" si="506">BO281</f>
        <v>3.1060216885158232</v>
      </c>
      <c r="BY301" s="142">
        <f t="shared" si="506"/>
        <v>56.127011067040847</v>
      </c>
      <c r="BZ301" s="142">
        <f t="shared" si="506"/>
        <v>7.7764117579468763</v>
      </c>
      <c r="CA301" s="142">
        <f t="shared" si="506"/>
        <v>4.9627394570272001</v>
      </c>
      <c r="CB301" s="142">
        <f t="shared" si="506"/>
        <v>14.808219071679254</v>
      </c>
      <c r="CC301" s="142">
        <f t="shared" si="506"/>
        <v>0.46736138217485096</v>
      </c>
      <c r="CD301" s="142">
        <f t="shared" si="506"/>
        <v>0.23344724384358187</v>
      </c>
      <c r="CE301" s="142">
        <f t="shared" si="506"/>
        <v>8.440684870857174</v>
      </c>
      <c r="CF301" s="17"/>
      <c r="CG301" s="17"/>
      <c r="CH301">
        <f t="shared" si="307"/>
        <v>143</v>
      </c>
      <c r="CI301" s="113">
        <f t="shared" si="308"/>
        <v>162.26865946501934</v>
      </c>
      <c r="CJ301" s="124">
        <f t="shared" si="353"/>
        <v>6.1877775825901171</v>
      </c>
      <c r="CK301" s="124">
        <f t="shared" si="354"/>
        <v>56.127011067040847</v>
      </c>
      <c r="CL301" s="124">
        <f t="shared" si="355"/>
        <v>68.271917220831824</v>
      </c>
      <c r="CM301" s="124">
        <f t="shared" si="356"/>
        <v>40.456126538009563</v>
      </c>
      <c r="CN301" s="124">
        <f t="shared" si="357"/>
        <v>51.10190686455239</v>
      </c>
      <c r="CO301" s="124">
        <f t="shared" si="358"/>
        <v>48.693030760459173</v>
      </c>
      <c r="CP301" s="124">
        <f t="shared" si="359"/>
        <v>24.322193187042533</v>
      </c>
      <c r="CQ301" s="124">
        <f t="shared" si="360"/>
        <v>30.471525045986787</v>
      </c>
      <c r="CR301" s="144">
        <f t="shared" si="417"/>
        <v>325.63148826651326</v>
      </c>
    </row>
    <row r="302" spans="1:96" ht="14">
      <c r="A302">
        <f t="shared" si="418"/>
        <v>144</v>
      </c>
      <c r="B302" s="19">
        <f t="shared" si="418"/>
        <v>224</v>
      </c>
      <c r="C302" s="26">
        <f t="shared" si="403"/>
        <v>162.38144362784706</v>
      </c>
      <c r="D302" s="26"/>
      <c r="E302" s="26"/>
      <c r="F302" s="141">
        <f t="shared" ref="F302:G302" si="507">F301</f>
        <v>6.0606231572568161</v>
      </c>
      <c r="G302" s="141">
        <f t="shared" si="507"/>
        <v>0.7542108817919595</v>
      </c>
      <c r="H302" s="140">
        <f>(H$118)*('Product half-life and C flows'!L203/100)</f>
        <v>0</v>
      </c>
      <c r="I302" s="140">
        <f>(($C$39*$C$118*0.28)*H$41)*('Product half-life and C flows'!N203/100)</f>
        <v>0</v>
      </c>
      <c r="J302" s="140">
        <f>(($C$39*$C$118*0.28)*H$41)*(+'Product half-life and C flows'!P203/100)</f>
        <v>0</v>
      </c>
      <c r="K302" s="141">
        <f t="shared" si="201"/>
        <v>1.3434381331919276</v>
      </c>
      <c r="L302" s="26"/>
      <c r="M302" s="142">
        <f>(C$158-C$138)*(0.4*D$14)*('Product half-life and C flows'!B163/100)</f>
        <v>2.3439212401296292E-2</v>
      </c>
      <c r="N302" s="85"/>
      <c r="O302" s="143">
        <f t="shared" si="326"/>
        <v>7.7764117579468763</v>
      </c>
      <c r="P302" s="142">
        <f t="shared" si="327"/>
        <v>4.9627394570272001</v>
      </c>
      <c r="Q302" s="142">
        <f>(C$158-C$138)*(0.6*C$15)*('Product half-life and C flows'!L163/100)</f>
        <v>1.6876232928933323</v>
      </c>
      <c r="R302" s="142">
        <f>(C$158-C$138)*0.6*('Product half-life and C flows'!N163/100)</f>
        <v>9.223172298551324</v>
      </c>
      <c r="S302" s="142">
        <f>(C$158-C$138)*0.6*('Product half-life and C flows'!P163/100)</f>
        <v>4.6069791701055536</v>
      </c>
      <c r="T302" s="142">
        <f t="shared" si="411"/>
        <v>0.9619452769491994</v>
      </c>
      <c r="U302" s="3"/>
      <c r="V302" s="142">
        <f t="shared" si="165"/>
        <v>4.6878424802592585E-2</v>
      </c>
      <c r="W302" s="142">
        <f t="shared" si="166"/>
        <v>0</v>
      </c>
      <c r="X302" s="142">
        <f t="shared" si="167"/>
        <v>7.7764117579468763</v>
      </c>
      <c r="Y302" s="142">
        <f t="shared" si="168"/>
        <v>4.9627394570272001</v>
      </c>
      <c r="Z302" s="142">
        <f t="shared" si="169"/>
        <v>2.2965009010306003</v>
      </c>
      <c r="AA302" s="142">
        <f t="shared" si="170"/>
        <v>8.8168479747210533</v>
      </c>
      <c r="AB302" s="142">
        <f t="shared" si="171"/>
        <v>4.4040199673931317</v>
      </c>
      <c r="AC302" s="142">
        <f t="shared" si="172"/>
        <v>1.3090055135874421</v>
      </c>
      <c r="AD302" s="115"/>
      <c r="AE302" s="142">
        <f t="shared" ref="AE302:AL302" si="508">V282</f>
        <v>9.3756849605185141E-2</v>
      </c>
      <c r="AF302" s="142">
        <f t="shared" si="508"/>
        <v>0</v>
      </c>
      <c r="AG302" s="142">
        <f t="shared" si="508"/>
        <v>7.7764117579468763</v>
      </c>
      <c r="AH302" s="142">
        <f t="shared" si="508"/>
        <v>4.9627394570272001</v>
      </c>
      <c r="AI302" s="142">
        <f t="shared" si="508"/>
        <v>3.1250554615138877</v>
      </c>
      <c r="AJ302" s="142">
        <f t="shared" si="508"/>
        <v>8.2639258980252048</v>
      </c>
      <c r="AK302" s="142">
        <f t="shared" si="508"/>
        <v>4.1278351138987031</v>
      </c>
      <c r="AL302" s="142">
        <f t="shared" si="508"/>
        <v>1.7812816130629159</v>
      </c>
      <c r="AM302" s="115"/>
      <c r="AN302" s="144">
        <f t="shared" ref="AN302:AU302" si="509">AE282</f>
        <v>0.18751369921037031</v>
      </c>
      <c r="AO302" s="144">
        <f t="shared" si="509"/>
        <v>0</v>
      </c>
      <c r="AP302" s="144">
        <f t="shared" si="509"/>
        <v>7.7764117579468763</v>
      </c>
      <c r="AQ302" s="144">
        <f t="shared" si="509"/>
        <v>4.9627394570272001</v>
      </c>
      <c r="AR302" s="144">
        <f t="shared" si="509"/>
        <v>4.25254422201842</v>
      </c>
      <c r="AS302" s="144">
        <f t="shared" si="509"/>
        <v>7.5115150651818494</v>
      </c>
      <c r="AT302" s="144">
        <f t="shared" si="509"/>
        <v>3.7520055270638606</v>
      </c>
      <c r="AU302" s="144">
        <f t="shared" si="509"/>
        <v>2.423950206550499</v>
      </c>
      <c r="AV302" s="115"/>
      <c r="AW302" s="144">
        <f t="shared" ref="AW302:BD302" si="510">AN282</f>
        <v>0.37502739842074062</v>
      </c>
      <c r="AX302" s="144">
        <f t="shared" si="510"/>
        <v>0</v>
      </c>
      <c r="AY302" s="144">
        <f t="shared" si="510"/>
        <v>7.7764117579468763</v>
      </c>
      <c r="AZ302" s="144">
        <f t="shared" si="510"/>
        <v>4.9627394570272001</v>
      </c>
      <c r="BA302" s="144">
        <f t="shared" si="510"/>
        <v>5.7868196526219924</v>
      </c>
      <c r="BB302" s="144">
        <f t="shared" si="510"/>
        <v>6.4876419278257336</v>
      </c>
      <c r="BC302" s="144">
        <f t="shared" si="510"/>
        <v>3.2405803835293363</v>
      </c>
      <c r="BD302" s="144">
        <f t="shared" si="510"/>
        <v>3.2984872019945355</v>
      </c>
      <c r="BE302" s="17"/>
      <c r="BF302" s="142">
        <f t="shared" ref="BF302:BM302" si="511">AW282</f>
        <v>0.75005479684148113</v>
      </c>
      <c r="BG302" s="142">
        <f t="shared" si="511"/>
        <v>0</v>
      </c>
      <c r="BH302" s="142">
        <f t="shared" si="511"/>
        <v>7.7764117579468763</v>
      </c>
      <c r="BI302" s="142">
        <f t="shared" si="511"/>
        <v>4.9627394570272001</v>
      </c>
      <c r="BJ302" s="142">
        <f t="shared" si="511"/>
        <v>7.8746463161005691</v>
      </c>
      <c r="BK302" s="142">
        <f t="shared" si="511"/>
        <v>5.0943656010643634</v>
      </c>
      <c r="BL302" s="142">
        <f t="shared" si="511"/>
        <v>2.5446381623698104</v>
      </c>
      <c r="BM302" s="142">
        <f t="shared" si="511"/>
        <v>4.4885484001773239</v>
      </c>
      <c r="BN302" s="17"/>
      <c r="BO302" s="142">
        <f t="shared" ref="BO302:BV302" si="512">BF282</f>
        <v>1.5001095936829623</v>
      </c>
      <c r="BP302" s="142">
        <f t="shared" si="512"/>
        <v>0</v>
      </c>
      <c r="BQ302" s="142">
        <f t="shared" si="512"/>
        <v>7.7764117579468763</v>
      </c>
      <c r="BR302" s="142">
        <f t="shared" si="512"/>
        <v>4.9627394570272001</v>
      </c>
      <c r="BS302" s="142">
        <f t="shared" si="512"/>
        <v>10.715739961859647</v>
      </c>
      <c r="BT302" s="142">
        <f t="shared" si="512"/>
        <v>3.1984091081278025</v>
      </c>
      <c r="BU302" s="142">
        <f t="shared" si="512"/>
        <v>1.5976069471167842</v>
      </c>
      <c r="BV302" s="142">
        <f t="shared" si="512"/>
        <v>6.1079717782599987</v>
      </c>
      <c r="BW302" s="17"/>
      <c r="BX302" s="142">
        <f t="shared" ref="BX302:CE302" si="513">BO282</f>
        <v>3.0002191873659245</v>
      </c>
      <c r="BY302" s="142">
        <f t="shared" si="513"/>
        <v>57.850184489619735</v>
      </c>
      <c r="BZ302" s="142">
        <f t="shared" si="513"/>
        <v>7.7764117579468763</v>
      </c>
      <c r="CA302" s="142">
        <f t="shared" si="513"/>
        <v>4.9627394570272001</v>
      </c>
      <c r="CB302" s="142">
        <f t="shared" si="513"/>
        <v>14.581871784567571</v>
      </c>
      <c r="CC302" s="142">
        <f t="shared" si="513"/>
        <v>0.61841047177404773</v>
      </c>
      <c r="CD302" s="142">
        <f t="shared" si="513"/>
        <v>0.30889633954747636</v>
      </c>
      <c r="CE302" s="142">
        <f t="shared" si="513"/>
        <v>8.3116669172035156</v>
      </c>
      <c r="CF302" s="17"/>
      <c r="CG302" s="17"/>
      <c r="CH302">
        <f t="shared" si="307"/>
        <v>144</v>
      </c>
      <c r="CI302" s="113">
        <f t="shared" si="308"/>
        <v>162.38144362784706</v>
      </c>
      <c r="CJ302" s="124">
        <f t="shared" si="353"/>
        <v>5.9769991623305536</v>
      </c>
      <c r="CK302" s="124">
        <f t="shared" si="354"/>
        <v>57.850184489619735</v>
      </c>
      <c r="CL302" s="124">
        <f t="shared" si="355"/>
        <v>68.271917220831824</v>
      </c>
      <c r="CM302" s="124">
        <f t="shared" si="356"/>
        <v>40.456126538009563</v>
      </c>
      <c r="CN302" s="124">
        <f t="shared" si="357"/>
        <v>50.320801592606017</v>
      </c>
      <c r="CO302" s="124">
        <f t="shared" si="358"/>
        <v>49.214288345271378</v>
      </c>
      <c r="CP302" s="124">
        <f t="shared" si="359"/>
        <v>24.582561611024659</v>
      </c>
      <c r="CQ302" s="124">
        <f t="shared" si="360"/>
        <v>30.026295040977359</v>
      </c>
      <c r="CR302" s="144">
        <f t="shared" si="417"/>
        <v>326.69917400067112</v>
      </c>
    </row>
    <row r="303" spans="1:96" ht="14">
      <c r="A303">
        <f t="shared" si="418"/>
        <v>145</v>
      </c>
      <c r="B303" s="19">
        <f t="shared" si="418"/>
        <v>225</v>
      </c>
      <c r="C303" s="26">
        <f t="shared" si="403"/>
        <v>162.49204522092421</v>
      </c>
      <c r="D303" s="26"/>
      <c r="E303" s="26"/>
      <c r="F303" s="141">
        <f t="shared" ref="F303:G303" si="514">F302</f>
        <v>6.0606231572568161</v>
      </c>
      <c r="G303" s="141">
        <f t="shared" si="514"/>
        <v>0.7542108817919595</v>
      </c>
      <c r="H303" s="140">
        <f>(H$118)*('Product half-life and C flows'!L204/100)</f>
        <v>0</v>
      </c>
      <c r="I303" s="140">
        <f>(($C$39*$C$118*0.28)*H$41)*('Product half-life and C flows'!N204/100)</f>
        <v>0</v>
      </c>
      <c r="J303" s="140">
        <f>(($C$39*$C$118*0.28)*H$41)*(+'Product half-life and C flows'!P204/100)</f>
        <v>0</v>
      </c>
      <c r="K303" s="141">
        <f t="shared" si="201"/>
        <v>1.3434381331919276</v>
      </c>
      <c r="L303" s="26"/>
      <c r="M303" s="142">
        <f>(C$158-C$138)*(0.4*D$14)*('Product half-life and C flows'!B164/100)</f>
        <v>2.2640786779797844E-2</v>
      </c>
      <c r="N303" s="85"/>
      <c r="O303" s="143">
        <f t="shared" si="326"/>
        <v>7.7764117579468763</v>
      </c>
      <c r="P303" s="142">
        <f t="shared" si="327"/>
        <v>4.9627394570272001</v>
      </c>
      <c r="Q303" s="142">
        <f>(C$158-C$138)*(0.6*C$15)*('Product half-life and C flows'!L164/100)</f>
        <v>1.6618275539078493</v>
      </c>
      <c r="R303" s="142">
        <f>(C$158-C$138)*0.6*('Product half-life and C flows'!N164/100)</f>
        <v>9.240386655034305</v>
      </c>
      <c r="S303" s="142">
        <f>(C$158-C$138)*0.6*('Product half-life and C flows'!P164/100)</f>
        <v>4.6155777497673807</v>
      </c>
      <c r="T303" s="142">
        <f t="shared" si="411"/>
        <v>0.94724170572747401</v>
      </c>
      <c r="U303" s="3"/>
      <c r="V303" s="142">
        <f t="shared" si="165"/>
        <v>4.5281573559595695E-2</v>
      </c>
      <c r="W303" s="142">
        <f t="shared" si="166"/>
        <v>0</v>
      </c>
      <c r="X303" s="142">
        <f t="shared" si="167"/>
        <v>7.7764117579468763</v>
      </c>
      <c r="Y303" s="142">
        <f t="shared" si="168"/>
        <v>4.9627394570272001</v>
      </c>
      <c r="Z303" s="142">
        <f t="shared" si="169"/>
        <v>2.2613983173720467</v>
      </c>
      <c r="AA303" s="142">
        <f t="shared" si="170"/>
        <v>8.8402730988825269</v>
      </c>
      <c r="AB303" s="142">
        <f t="shared" si="171"/>
        <v>4.415720828612649</v>
      </c>
      <c r="AC303" s="142">
        <f t="shared" si="172"/>
        <v>1.2889970409020666</v>
      </c>
      <c r="AD303" s="115"/>
      <c r="AE303" s="142">
        <f t="shared" ref="AE303:AL303" si="515">V283</f>
        <v>9.0563147119191389E-2</v>
      </c>
      <c r="AF303" s="142">
        <f t="shared" si="515"/>
        <v>0</v>
      </c>
      <c r="AG303" s="142">
        <f t="shared" si="515"/>
        <v>7.7764117579468763</v>
      </c>
      <c r="AH303" s="142">
        <f t="shared" si="515"/>
        <v>4.9627394570272001</v>
      </c>
      <c r="AI303" s="142">
        <f t="shared" si="515"/>
        <v>3.0772882166910422</v>
      </c>
      <c r="AJ303" s="142">
        <f t="shared" si="515"/>
        <v>8.2958025727369851</v>
      </c>
      <c r="AK303" s="142">
        <f t="shared" si="515"/>
        <v>4.143757528839652</v>
      </c>
      <c r="AL303" s="142">
        <f t="shared" si="515"/>
        <v>1.7540542835138939</v>
      </c>
      <c r="AM303" s="115"/>
      <c r="AN303" s="144">
        <f t="shared" ref="AN303:AU303" si="516">AE283</f>
        <v>0.18112629423838278</v>
      </c>
      <c r="AO303" s="144">
        <f t="shared" si="516"/>
        <v>0</v>
      </c>
      <c r="AP303" s="144">
        <f t="shared" si="516"/>
        <v>7.7764117579468763</v>
      </c>
      <c r="AQ303" s="144">
        <f t="shared" si="516"/>
        <v>4.9627394570272001</v>
      </c>
      <c r="AR303" s="144">
        <f t="shared" si="516"/>
        <v>4.1875430329276115</v>
      </c>
      <c r="AS303" s="144">
        <f t="shared" si="516"/>
        <v>7.5548925253684489</v>
      </c>
      <c r="AT303" s="144">
        <f t="shared" si="516"/>
        <v>3.7736725900941295</v>
      </c>
      <c r="AU303" s="144">
        <f t="shared" si="516"/>
        <v>2.3868995287687382</v>
      </c>
      <c r="AV303" s="115"/>
      <c r="AW303" s="144">
        <f t="shared" ref="AW303:BD303" si="517">AN283</f>
        <v>0.36225258847676561</v>
      </c>
      <c r="AX303" s="144">
        <f t="shared" si="517"/>
        <v>0</v>
      </c>
      <c r="AY303" s="144">
        <f t="shared" si="517"/>
        <v>7.7764117579468763</v>
      </c>
      <c r="AZ303" s="144">
        <f t="shared" si="517"/>
        <v>4.9627394570272001</v>
      </c>
      <c r="BA303" s="144">
        <f t="shared" si="517"/>
        <v>5.6983666845077758</v>
      </c>
      <c r="BB303" s="144">
        <f t="shared" si="517"/>
        <v>6.54666954188062</v>
      </c>
      <c r="BC303" s="144">
        <f t="shared" si="517"/>
        <v>3.2700647062340749</v>
      </c>
      <c r="BD303" s="144">
        <f t="shared" si="517"/>
        <v>3.2480690101694321</v>
      </c>
      <c r="BE303" s="17"/>
      <c r="BF303" s="142">
        <f t="shared" ref="BF303:BM303" si="518">AW283</f>
        <v>0.72450517695353112</v>
      </c>
      <c r="BG303" s="142">
        <f t="shared" si="518"/>
        <v>0</v>
      </c>
      <c r="BH303" s="142">
        <f t="shared" si="518"/>
        <v>7.7764117579468763</v>
      </c>
      <c r="BI303" s="142">
        <f t="shared" si="518"/>
        <v>4.9627394570272001</v>
      </c>
      <c r="BJ303" s="142">
        <f t="shared" si="518"/>
        <v>7.7542804016050004</v>
      </c>
      <c r="BK303" s="142">
        <f t="shared" si="518"/>
        <v>5.1746897880044065</v>
      </c>
      <c r="BL303" s="142">
        <f t="shared" si="518"/>
        <v>2.5847601338683335</v>
      </c>
      <c r="BM303" s="142">
        <f t="shared" si="518"/>
        <v>4.4199398289148499</v>
      </c>
      <c r="BN303" s="17"/>
      <c r="BO303" s="142">
        <f t="shared" ref="BO303:BV303" si="519">BF283</f>
        <v>1.4490103539070622</v>
      </c>
      <c r="BP303" s="142">
        <f t="shared" si="519"/>
        <v>0</v>
      </c>
      <c r="BQ303" s="142">
        <f t="shared" si="519"/>
        <v>7.7764117579468763</v>
      </c>
      <c r="BR303" s="142">
        <f t="shared" si="519"/>
        <v>4.9627394570272001</v>
      </c>
      <c r="BS303" s="142">
        <f t="shared" si="519"/>
        <v>10.551947229052235</v>
      </c>
      <c r="BT303" s="142">
        <f t="shared" si="519"/>
        <v>3.3077134584879491</v>
      </c>
      <c r="BU303" s="142">
        <f t="shared" si="519"/>
        <v>1.6522045247192549</v>
      </c>
      <c r="BV303" s="142">
        <f t="shared" si="519"/>
        <v>6.0146099205597734</v>
      </c>
      <c r="BW303" s="17"/>
      <c r="BX303" s="142">
        <f t="shared" ref="BX303:CE303" si="520">BO283</f>
        <v>2.8980207078141245</v>
      </c>
      <c r="BY303" s="142">
        <f t="shared" si="520"/>
        <v>59.573357912198624</v>
      </c>
      <c r="BZ303" s="142">
        <f t="shared" si="520"/>
        <v>7.7764117579468763</v>
      </c>
      <c r="CA303" s="142">
        <f t="shared" si="520"/>
        <v>4.9627394570272001</v>
      </c>
      <c r="CB303" s="142">
        <f t="shared" si="520"/>
        <v>14.35898427166201</v>
      </c>
      <c r="CC303" s="142">
        <f t="shared" si="520"/>
        <v>0.76715073871969297</v>
      </c>
      <c r="CD303" s="142">
        <f t="shared" si="520"/>
        <v>0.38319217718266385</v>
      </c>
      <c r="CE303" s="142">
        <f t="shared" si="520"/>
        <v>8.1846210348473445</v>
      </c>
      <c r="CF303" s="17"/>
      <c r="CG303" s="17"/>
      <c r="CH303">
        <f t="shared" si="307"/>
        <v>145</v>
      </c>
      <c r="CI303" s="113">
        <f t="shared" si="308"/>
        <v>162.49204522092421</v>
      </c>
      <c r="CJ303" s="124">
        <f t="shared" si="353"/>
        <v>5.7734006288484512</v>
      </c>
      <c r="CK303" s="124">
        <f t="shared" si="354"/>
        <v>59.573357912198624</v>
      </c>
      <c r="CL303" s="124">
        <f t="shared" si="355"/>
        <v>68.271917220831824</v>
      </c>
      <c r="CM303" s="124">
        <f t="shared" si="356"/>
        <v>40.456126538009563</v>
      </c>
      <c r="CN303" s="124">
        <f t="shared" si="357"/>
        <v>49.551635707725566</v>
      </c>
      <c r="CO303" s="124">
        <f t="shared" si="358"/>
        <v>49.727578379114931</v>
      </c>
      <c r="CP303" s="124">
        <f t="shared" si="359"/>
        <v>24.838950239318137</v>
      </c>
      <c r="CQ303" s="124">
        <f t="shared" si="360"/>
        <v>29.587870486595499</v>
      </c>
      <c r="CR303" s="144">
        <f t="shared" si="417"/>
        <v>327.78083711264259</v>
      </c>
    </row>
    <row r="304" spans="1:96" ht="14">
      <c r="A304">
        <f t="shared" ref="A304:B318" si="521">A303+1</f>
        <v>146</v>
      </c>
      <c r="B304" s="19">
        <f t="shared" si="521"/>
        <v>226</v>
      </c>
      <c r="C304" s="26">
        <f t="shared" si="403"/>
        <v>162.60050548486475</v>
      </c>
      <c r="D304" s="26"/>
      <c r="E304" s="26"/>
      <c r="F304" s="141">
        <f t="shared" ref="F304:G304" si="522">F303</f>
        <v>6.0606231572568161</v>
      </c>
      <c r="G304" s="141">
        <f t="shared" si="522"/>
        <v>0.7542108817919595</v>
      </c>
      <c r="H304" s="140">
        <f>(H$118)*('Product half-life and C flows'!L205/100)</f>
        <v>0</v>
      </c>
      <c r="I304" s="140">
        <f>(($C$39*$C$118*0.28)*H$41)*('Product half-life and C flows'!N205/100)</f>
        <v>0</v>
      </c>
      <c r="J304" s="140">
        <f>(($C$39*$C$118*0.28)*H$41)*(+'Product half-life and C flows'!P205/100)</f>
        <v>0</v>
      </c>
      <c r="K304" s="141">
        <f t="shared" si="201"/>
        <v>1.3434381331919276</v>
      </c>
      <c r="L304" s="26"/>
      <c r="M304" s="142">
        <f>(C$158-C$138)*(0.4*D$14)*('Product half-life and C flows'!B165/100)</f>
        <v>2.1869558466048114E-2</v>
      </c>
      <c r="N304" s="85"/>
      <c r="O304" s="143">
        <f t="shared" si="326"/>
        <v>7.7764117579468763</v>
      </c>
      <c r="P304" s="142">
        <f t="shared" si="327"/>
        <v>4.9627394570272001</v>
      </c>
      <c r="Q304" s="142">
        <f>(C$158-C$138)*(0.6*C$15)*('Product half-life and C flows'!L165/100)</f>
        <v>1.6364261091659982</v>
      </c>
      <c r="R304" s="142">
        <f>(C$158-C$138)*0.6*('Product half-life and C flows'!N165/100)</f>
        <v>9.2573378858253648</v>
      </c>
      <c r="S304" s="142">
        <f>(C$158-C$138)*0.6*('Product half-life and C flows'!P165/100)</f>
        <v>4.624044898014664</v>
      </c>
      <c r="T304" s="142">
        <f t="shared" si="411"/>
        <v>0.93276288222461889</v>
      </c>
      <c r="U304" s="3"/>
      <c r="V304" s="142">
        <f t="shared" si="165"/>
        <v>4.3739116932096228E-2</v>
      </c>
      <c r="W304" s="142">
        <f t="shared" si="166"/>
        <v>0</v>
      </c>
      <c r="X304" s="142">
        <f t="shared" si="167"/>
        <v>7.7764117579468763</v>
      </c>
      <c r="Y304" s="142">
        <f t="shared" si="168"/>
        <v>4.9627394570272001</v>
      </c>
      <c r="Z304" s="142">
        <f t="shared" si="169"/>
        <v>2.2268322853773537</v>
      </c>
      <c r="AA304" s="142">
        <f t="shared" si="170"/>
        <v>8.8633401642336533</v>
      </c>
      <c r="AB304" s="142">
        <f t="shared" si="171"/>
        <v>4.4272428392775467</v>
      </c>
      <c r="AC304" s="142">
        <f t="shared" si="172"/>
        <v>1.2692944026650914</v>
      </c>
      <c r="AD304" s="115"/>
      <c r="AE304" s="142">
        <f t="shared" ref="AE304:AL304" si="523">V284</f>
        <v>8.747823386419247E-2</v>
      </c>
      <c r="AF304" s="142">
        <f t="shared" si="523"/>
        <v>0</v>
      </c>
      <c r="AG304" s="142">
        <f t="shared" si="523"/>
        <v>7.7764117579468763</v>
      </c>
      <c r="AH304" s="142">
        <f t="shared" si="523"/>
        <v>4.9627394570272001</v>
      </c>
      <c r="AI304" s="142">
        <f t="shared" si="523"/>
        <v>3.0302511060069559</v>
      </c>
      <c r="AJ304" s="142">
        <f t="shared" si="523"/>
        <v>8.3271920046001657</v>
      </c>
      <c r="AK304" s="142">
        <f t="shared" si="523"/>
        <v>4.1594365657343468</v>
      </c>
      <c r="AL304" s="142">
        <f t="shared" si="523"/>
        <v>1.7272431304239648</v>
      </c>
      <c r="AM304" s="115"/>
      <c r="AN304" s="144">
        <f t="shared" ref="AN304:AU304" si="524">AE284</f>
        <v>0.17495646772838486</v>
      </c>
      <c r="AO304" s="144">
        <f t="shared" si="524"/>
        <v>0</v>
      </c>
      <c r="AP304" s="144">
        <f t="shared" si="524"/>
        <v>7.7764117579468763</v>
      </c>
      <c r="AQ304" s="144">
        <f t="shared" si="524"/>
        <v>4.9627394570272001</v>
      </c>
      <c r="AR304" s="144">
        <f t="shared" si="524"/>
        <v>4.1235354030716129</v>
      </c>
      <c r="AS304" s="144">
        <f t="shared" si="524"/>
        <v>7.5976069503590189</v>
      </c>
      <c r="AT304" s="144">
        <f t="shared" si="524"/>
        <v>3.7950084667127957</v>
      </c>
      <c r="AU304" s="144">
        <f t="shared" si="524"/>
        <v>2.350415179750819</v>
      </c>
      <c r="AV304" s="115"/>
      <c r="AW304" s="144">
        <f t="shared" ref="AW304:BD304" si="525">AN284</f>
        <v>0.34991293545676982</v>
      </c>
      <c r="AX304" s="144">
        <f t="shared" si="525"/>
        <v>0</v>
      </c>
      <c r="AY304" s="144">
        <f t="shared" si="525"/>
        <v>7.7764117579468763</v>
      </c>
      <c r="AZ304" s="144">
        <f t="shared" si="525"/>
        <v>4.9627394570272001</v>
      </c>
      <c r="BA304" s="144">
        <f t="shared" si="525"/>
        <v>5.6112657418648686</v>
      </c>
      <c r="BB304" s="144">
        <f t="shared" si="525"/>
        <v>6.604794904270987</v>
      </c>
      <c r="BC304" s="144">
        <f t="shared" si="525"/>
        <v>3.2990983537817109</v>
      </c>
      <c r="BD304" s="144">
        <f t="shared" si="525"/>
        <v>3.1984214728629747</v>
      </c>
      <c r="BE304" s="17"/>
      <c r="BF304" s="142">
        <f t="shared" ref="BF304:BM304" si="526">AW284</f>
        <v>0.69982587091353965</v>
      </c>
      <c r="BG304" s="142">
        <f t="shared" si="526"/>
        <v>0</v>
      </c>
      <c r="BH304" s="142">
        <f t="shared" si="526"/>
        <v>7.7764117579468763</v>
      </c>
      <c r="BI304" s="142">
        <f t="shared" si="526"/>
        <v>4.9627394570272001</v>
      </c>
      <c r="BJ304" s="142">
        <f t="shared" si="526"/>
        <v>7.6357543098507712</v>
      </c>
      <c r="BK304" s="142">
        <f t="shared" si="526"/>
        <v>5.2537861999017288</v>
      </c>
      <c r="BL304" s="142">
        <f t="shared" si="526"/>
        <v>2.6242688311197431</v>
      </c>
      <c r="BM304" s="142">
        <f t="shared" si="526"/>
        <v>4.3523799566149393</v>
      </c>
      <c r="BN304" s="17"/>
      <c r="BO304" s="142">
        <f t="shared" ref="BO304:BV304" si="527">BF284</f>
        <v>1.3996517418270789</v>
      </c>
      <c r="BP304" s="142">
        <f t="shared" si="527"/>
        <v>0</v>
      </c>
      <c r="BQ304" s="142">
        <f t="shared" si="527"/>
        <v>7.7764117579468763</v>
      </c>
      <c r="BR304" s="142">
        <f t="shared" si="527"/>
        <v>4.9627394570272001</v>
      </c>
      <c r="BS304" s="142">
        <f t="shared" si="527"/>
        <v>10.390658108633332</v>
      </c>
      <c r="BT304" s="142">
        <f t="shared" si="527"/>
        <v>3.4153470648474982</v>
      </c>
      <c r="BU304" s="142">
        <f t="shared" si="527"/>
        <v>1.7059675648588901</v>
      </c>
      <c r="BV304" s="142">
        <f t="shared" si="527"/>
        <v>5.9226751219209985</v>
      </c>
      <c r="BW304" s="17"/>
      <c r="BX304" s="142">
        <f t="shared" ref="BX304:CE304" si="528">BO284</f>
        <v>2.7993034836541577</v>
      </c>
      <c r="BY304" s="142">
        <f t="shared" si="528"/>
        <v>61.296531334777512</v>
      </c>
      <c r="BZ304" s="142">
        <f t="shared" si="528"/>
        <v>7.7764117579468763</v>
      </c>
      <c r="CA304" s="142">
        <f t="shared" si="528"/>
        <v>4.9627394570272001</v>
      </c>
      <c r="CB304" s="142">
        <f t="shared" si="528"/>
        <v>14.139503649459039</v>
      </c>
      <c r="CC304" s="142">
        <f t="shared" si="528"/>
        <v>0.91361747393647497</v>
      </c>
      <c r="CD304" s="142">
        <f t="shared" si="528"/>
        <v>0.4563523845836539</v>
      </c>
      <c r="CE304" s="142">
        <f t="shared" si="528"/>
        <v>8.059517080191652</v>
      </c>
      <c r="CF304" s="17"/>
      <c r="CG304" s="17"/>
      <c r="CH304">
        <f t="shared" si="307"/>
        <v>146</v>
      </c>
      <c r="CI304" s="113">
        <f t="shared" si="308"/>
        <v>162.60050548486475</v>
      </c>
      <c r="CJ304" s="124">
        <f t="shared" si="353"/>
        <v>5.5767374088422681</v>
      </c>
      <c r="CK304" s="124">
        <f t="shared" si="354"/>
        <v>61.296531334777512</v>
      </c>
      <c r="CL304" s="124">
        <f t="shared" si="355"/>
        <v>68.271917220831824</v>
      </c>
      <c r="CM304" s="124">
        <f t="shared" si="356"/>
        <v>40.456126538009563</v>
      </c>
      <c r="CN304" s="124">
        <f t="shared" si="357"/>
        <v>48.794226713429929</v>
      </c>
      <c r="CO304" s="124">
        <f t="shared" si="358"/>
        <v>50.233022647974884</v>
      </c>
      <c r="CP304" s="124">
        <f t="shared" si="359"/>
        <v>25.091419904083352</v>
      </c>
      <c r="CQ304" s="124">
        <f t="shared" si="360"/>
        <v>29.15614735984699</v>
      </c>
      <c r="CR304" s="144">
        <f t="shared" si="417"/>
        <v>328.87612912779633</v>
      </c>
    </row>
    <row r="305" spans="1:96" ht="14">
      <c r="A305">
        <f t="shared" si="521"/>
        <v>147</v>
      </c>
      <c r="B305" s="19">
        <f t="shared" si="521"/>
        <v>227</v>
      </c>
      <c r="C305" s="26">
        <f t="shared" si="403"/>
        <v>162.70686492054548</v>
      </c>
      <c r="D305" s="26"/>
      <c r="E305" s="26"/>
      <c r="F305" s="141">
        <f t="shared" ref="F305:G305" si="529">F304</f>
        <v>6.0606231572568161</v>
      </c>
      <c r="G305" s="141">
        <f t="shared" si="529"/>
        <v>0.7542108817919595</v>
      </c>
      <c r="H305" s="140">
        <f>(H$118)*('Product half-life and C flows'!L206/100)</f>
        <v>0</v>
      </c>
      <c r="I305" s="140">
        <f>(($C$39*$C$118*0.28)*H$41)*('Product half-life and C flows'!N206/100)</f>
        <v>0</v>
      </c>
      <c r="J305" s="140">
        <f>(($C$39*$C$118*0.28)*H$41)*(+'Product half-life and C flows'!P206/100)</f>
        <v>0</v>
      </c>
      <c r="K305" s="141">
        <f t="shared" si="201"/>
        <v>1.3434381331919276</v>
      </c>
      <c r="L305" s="26"/>
      <c r="M305" s="142">
        <f>(C$158-C$138)*(0.4*D$14)*('Product half-life and C flows'!B166/100)</f>
        <v>2.1124601019901802E-2</v>
      </c>
      <c r="N305" s="85"/>
      <c r="O305" s="143">
        <f t="shared" si="326"/>
        <v>7.7764117579468763</v>
      </c>
      <c r="P305" s="142">
        <f t="shared" si="327"/>
        <v>4.9627394570272001</v>
      </c>
      <c r="Q305" s="142">
        <f>(C$158-C$138)*(0.6*C$15)*('Product half-life and C flows'!L166/100)</f>
        <v>1.6114129317828483</v>
      </c>
      <c r="R305" s="142">
        <f>(C$158-C$138)*0.6*('Product half-life and C flows'!N166/100)</f>
        <v>9.2740300128657207</v>
      </c>
      <c r="S305" s="142">
        <f>(C$158-C$138)*0.6*('Product half-life and C flows'!P166/100)</f>
        <v>4.6323826238090478</v>
      </c>
      <c r="T305" s="142">
        <f t="shared" si="411"/>
        <v>0.91850537111622343</v>
      </c>
      <c r="U305" s="3"/>
      <c r="V305" s="142">
        <f t="shared" si="165"/>
        <v>4.2249202039803604E-2</v>
      </c>
      <c r="W305" s="142">
        <f t="shared" si="166"/>
        <v>0</v>
      </c>
      <c r="X305" s="142">
        <f t="shared" si="167"/>
        <v>7.7764117579468763</v>
      </c>
      <c r="Y305" s="142">
        <f t="shared" si="168"/>
        <v>4.9627394570272001</v>
      </c>
      <c r="Z305" s="142">
        <f t="shared" si="169"/>
        <v>2.1927946037217754</v>
      </c>
      <c r="AA305" s="142">
        <f t="shared" si="170"/>
        <v>8.8860546437918089</v>
      </c>
      <c r="AB305" s="142">
        <f t="shared" si="171"/>
        <v>4.4385887331627396</v>
      </c>
      <c r="AC305" s="142">
        <f t="shared" si="172"/>
        <v>1.2498929241214118</v>
      </c>
      <c r="AD305" s="115"/>
      <c r="AE305" s="142">
        <f t="shared" ref="AE305:AL305" si="530">V285</f>
        <v>8.4498404079607195E-2</v>
      </c>
      <c r="AF305" s="142">
        <f t="shared" si="530"/>
        <v>0</v>
      </c>
      <c r="AG305" s="142">
        <f t="shared" si="530"/>
        <v>7.7764117579468763</v>
      </c>
      <c r="AH305" s="142">
        <f t="shared" si="530"/>
        <v>4.9627394570272001</v>
      </c>
      <c r="AI305" s="142">
        <f t="shared" si="530"/>
        <v>2.9839329691809273</v>
      </c>
      <c r="AJ305" s="142">
        <f t="shared" si="530"/>
        <v>8.358101641242067</v>
      </c>
      <c r="AK305" s="142">
        <f t="shared" si="530"/>
        <v>4.1748759446763559</v>
      </c>
      <c r="AL305" s="142">
        <f t="shared" si="530"/>
        <v>1.7008417924331285</v>
      </c>
      <c r="AM305" s="115"/>
      <c r="AN305" s="144">
        <f t="shared" ref="AN305:AU305" si="531">AE285</f>
        <v>0.16899680815921439</v>
      </c>
      <c r="AO305" s="144">
        <f t="shared" si="531"/>
        <v>0</v>
      </c>
      <c r="AP305" s="144">
        <f t="shared" si="531"/>
        <v>7.7764117579468763</v>
      </c>
      <c r="AQ305" s="144">
        <f t="shared" si="531"/>
        <v>4.9627394570272001</v>
      </c>
      <c r="AR305" s="144">
        <f t="shared" si="531"/>
        <v>4.0605061456520435</v>
      </c>
      <c r="AS305" s="144">
        <f t="shared" si="531"/>
        <v>7.6396684748103443</v>
      </c>
      <c r="AT305" s="144">
        <f t="shared" si="531"/>
        <v>3.816018219185985</v>
      </c>
      <c r="AU305" s="144">
        <f t="shared" si="531"/>
        <v>2.3144885030216646</v>
      </c>
      <c r="AV305" s="115"/>
      <c r="AW305" s="144">
        <f t="shared" ref="AW305:BD305" si="532">AN285</f>
        <v>0.33799361631842861</v>
      </c>
      <c r="AX305" s="144">
        <f t="shared" si="532"/>
        <v>0</v>
      </c>
      <c r="AY305" s="144">
        <f t="shared" si="532"/>
        <v>7.7764117579468763</v>
      </c>
      <c r="AZ305" s="144">
        <f t="shared" si="532"/>
        <v>4.9627394570272001</v>
      </c>
      <c r="BA305" s="144">
        <f t="shared" si="532"/>
        <v>5.5254961586499034</v>
      </c>
      <c r="BB305" s="144">
        <f t="shared" si="532"/>
        <v>6.662031806136441</v>
      </c>
      <c r="BC305" s="144">
        <f t="shared" si="532"/>
        <v>3.327688214853366</v>
      </c>
      <c r="BD305" s="144">
        <f t="shared" si="532"/>
        <v>3.1495328104304448</v>
      </c>
      <c r="BE305" s="17"/>
      <c r="BF305" s="142">
        <f t="shared" ref="BF305:BM305" si="533">AW285</f>
        <v>0.67598723263685712</v>
      </c>
      <c r="BG305" s="142">
        <f t="shared" si="533"/>
        <v>0</v>
      </c>
      <c r="BH305" s="142">
        <f t="shared" si="533"/>
        <v>7.7764117579468763</v>
      </c>
      <c r="BI305" s="142">
        <f t="shared" si="533"/>
        <v>4.9627394570272001</v>
      </c>
      <c r="BJ305" s="142">
        <f t="shared" si="533"/>
        <v>7.5190399186927204</v>
      </c>
      <c r="BK305" s="142">
        <f t="shared" si="533"/>
        <v>5.3316736036012013</v>
      </c>
      <c r="BL305" s="142">
        <f t="shared" si="533"/>
        <v>2.6631736281724274</v>
      </c>
      <c r="BM305" s="142">
        <f t="shared" si="533"/>
        <v>4.2858527536548499</v>
      </c>
      <c r="BN305" s="17"/>
      <c r="BO305" s="142">
        <f t="shared" ref="BO305:BV305" si="534">BF285</f>
        <v>1.3519744652737142</v>
      </c>
      <c r="BP305" s="142">
        <f t="shared" si="534"/>
        <v>0</v>
      </c>
      <c r="BQ305" s="142">
        <f t="shared" si="534"/>
        <v>7.7764117579468763</v>
      </c>
      <c r="BR305" s="142">
        <f t="shared" si="534"/>
        <v>4.9627394570272001</v>
      </c>
      <c r="BS305" s="142">
        <f t="shared" si="534"/>
        <v>10.231834332269013</v>
      </c>
      <c r="BT305" s="142">
        <f t="shared" si="534"/>
        <v>3.5213354649412865</v>
      </c>
      <c r="BU305" s="142">
        <f t="shared" si="534"/>
        <v>1.7589088236469963</v>
      </c>
      <c r="BV305" s="142">
        <f t="shared" si="534"/>
        <v>5.8321455693933375</v>
      </c>
      <c r="BW305" s="17"/>
      <c r="BX305" s="142">
        <f t="shared" ref="BX305:CE305" si="535">BO285</f>
        <v>2.7039489305474285</v>
      </c>
      <c r="BY305" s="142">
        <f t="shared" si="535"/>
        <v>63.019704757356401</v>
      </c>
      <c r="BZ305" s="142">
        <f t="shared" si="535"/>
        <v>7.7764117579468763</v>
      </c>
      <c r="CA305" s="142">
        <f t="shared" si="535"/>
        <v>4.9627394570272001</v>
      </c>
      <c r="CB305" s="142">
        <f t="shared" si="535"/>
        <v>13.923377842792547</v>
      </c>
      <c r="CC305" s="142">
        <f t="shared" si="535"/>
        <v>1.0578454289185806</v>
      </c>
      <c r="CD305" s="142">
        <f t="shared" si="535"/>
        <v>0.52839432013915122</v>
      </c>
      <c r="CE305" s="142">
        <f t="shared" si="535"/>
        <v>7.9363253703917511</v>
      </c>
      <c r="CF305" s="17"/>
      <c r="CG305" s="17"/>
      <c r="CH305">
        <f t="shared" si="307"/>
        <v>147</v>
      </c>
      <c r="CI305" s="113">
        <f t="shared" si="308"/>
        <v>162.70686492054548</v>
      </c>
      <c r="CJ305" s="124">
        <f t="shared" si="353"/>
        <v>5.3867732600749552</v>
      </c>
      <c r="CK305" s="124">
        <f t="shared" si="354"/>
        <v>63.019704757356401</v>
      </c>
      <c r="CL305" s="124">
        <f t="shared" si="355"/>
        <v>68.271917220831824</v>
      </c>
      <c r="CM305" s="124">
        <f t="shared" si="356"/>
        <v>40.456126538009563</v>
      </c>
      <c r="CN305" s="124">
        <f t="shared" si="357"/>
        <v>48.048394902741776</v>
      </c>
      <c r="CO305" s="124">
        <f t="shared" si="358"/>
        <v>50.730741076307453</v>
      </c>
      <c r="CP305" s="124">
        <f t="shared" si="359"/>
        <v>25.34003050764607</v>
      </c>
      <c r="CQ305" s="124">
        <f t="shared" si="360"/>
        <v>28.73102322775474</v>
      </c>
      <c r="CR305" s="144">
        <f t="shared" si="417"/>
        <v>329.98471149072282</v>
      </c>
    </row>
    <row r="306" spans="1:96" ht="14">
      <c r="A306">
        <f t="shared" si="521"/>
        <v>148</v>
      </c>
      <c r="B306" s="19">
        <f t="shared" si="521"/>
        <v>228</v>
      </c>
      <c r="C306" s="26">
        <f t="shared" si="403"/>
        <v>162.81116330077649</v>
      </c>
      <c r="D306" s="26"/>
      <c r="E306" s="26"/>
      <c r="F306" s="141">
        <f t="shared" ref="F306:G306" si="536">F305</f>
        <v>6.0606231572568161</v>
      </c>
      <c r="G306" s="141">
        <f t="shared" si="536"/>
        <v>0.7542108817919595</v>
      </c>
      <c r="H306" s="140">
        <f>(H$118)*('Product half-life and C flows'!L207/100)</f>
        <v>0</v>
      </c>
      <c r="I306" s="140">
        <f>(($C$39*$C$118*0.28)*H$41)*('Product half-life and C flows'!N207/100)</f>
        <v>0</v>
      </c>
      <c r="J306" s="140">
        <f>(($C$39*$C$118*0.28)*H$41)*(+'Product half-life and C flows'!P207/100)</f>
        <v>0</v>
      </c>
      <c r="K306" s="141">
        <f t="shared" si="201"/>
        <v>1.3434381331919276</v>
      </c>
      <c r="L306" s="26"/>
      <c r="M306" s="142">
        <f>(C$158-C$138)*(0.4*D$14)*('Product half-life and C flows'!B167/100)</f>
        <v>2.0405019559165981E-2</v>
      </c>
      <c r="N306" s="85"/>
      <c r="O306" s="143">
        <f t="shared" ref="O306:O318" si="537">(C$158-C$138)*((0.4*B$14))-(C$158*0.03)</f>
        <v>7.7764117579468763</v>
      </c>
      <c r="P306" s="142">
        <f t="shared" ref="P306:P318" si="538">(C$158-C$138)*((0.6*B$15))</f>
        <v>4.9627394570272001</v>
      </c>
      <c r="Q306" s="142">
        <f>(C$158-C$138)*(0.6*C$15)*('Product half-life and C flows'!L167/100)</f>
        <v>1.5867820869958953</v>
      </c>
      <c r="R306" s="142">
        <f>(C$158-C$138)*0.6*('Product half-life and C flows'!N167/100)</f>
        <v>9.2904669966202142</v>
      </c>
      <c r="S306" s="142">
        <f>(C$158-C$138)*0.6*('Product half-life and C flows'!P167/100)</f>
        <v>4.6405929054046986</v>
      </c>
      <c r="T306" s="142">
        <f t="shared" si="411"/>
        <v>0.90446578958766022</v>
      </c>
      <c r="U306" s="3"/>
      <c r="V306" s="142">
        <f t="shared" si="165"/>
        <v>4.0810039118331976E-2</v>
      </c>
      <c r="W306" s="142">
        <f t="shared" si="166"/>
        <v>0</v>
      </c>
      <c r="X306" s="142">
        <f t="shared" si="167"/>
        <v>7.7764117579468763</v>
      </c>
      <c r="Y306" s="142">
        <f t="shared" si="168"/>
        <v>4.9627394570272001</v>
      </c>
      <c r="Z306" s="142">
        <f t="shared" si="169"/>
        <v>2.1592771964398416</v>
      </c>
      <c r="AA306" s="142">
        <f t="shared" si="170"/>
        <v>8.908421926917951</v>
      </c>
      <c r="AB306" s="142">
        <f t="shared" si="171"/>
        <v>4.4497612022567177</v>
      </c>
      <c r="AC306" s="142">
        <f t="shared" si="172"/>
        <v>1.2307880019707096</v>
      </c>
      <c r="AD306" s="115"/>
      <c r="AE306" s="142">
        <f t="shared" ref="AE306:AL306" si="539">V286</f>
        <v>8.1620078236663909E-2</v>
      </c>
      <c r="AF306" s="142">
        <f t="shared" si="539"/>
        <v>0</v>
      </c>
      <c r="AG306" s="142">
        <f t="shared" si="539"/>
        <v>7.7764117579468763</v>
      </c>
      <c r="AH306" s="142">
        <f t="shared" si="539"/>
        <v>4.9627394570272001</v>
      </c>
      <c r="AI306" s="142">
        <f t="shared" si="539"/>
        <v>2.9383228165199005</v>
      </c>
      <c r="AJ306" s="142">
        <f t="shared" si="539"/>
        <v>8.3885388164511934</v>
      </c>
      <c r="AK306" s="142">
        <f t="shared" si="539"/>
        <v>4.1900793288966982</v>
      </c>
      <c r="AL306" s="142">
        <f t="shared" si="539"/>
        <v>1.6748440054163432</v>
      </c>
      <c r="AM306" s="115"/>
      <c r="AN306" s="144">
        <f t="shared" ref="AN306:AU306" si="540">AE286</f>
        <v>0.16324015647332785</v>
      </c>
      <c r="AO306" s="144">
        <f t="shared" si="540"/>
        <v>0</v>
      </c>
      <c r="AP306" s="144">
        <f t="shared" si="540"/>
        <v>7.7764117579468763</v>
      </c>
      <c r="AQ306" s="144">
        <f t="shared" si="540"/>
        <v>4.9627394570272001</v>
      </c>
      <c r="AR306" s="144">
        <f t="shared" si="540"/>
        <v>3.998440306004492</v>
      </c>
      <c r="AS306" s="144">
        <f t="shared" si="540"/>
        <v>7.6810870784684777</v>
      </c>
      <c r="AT306" s="144">
        <f t="shared" si="540"/>
        <v>3.8367068324018359</v>
      </c>
      <c r="AU306" s="144">
        <f t="shared" si="540"/>
        <v>2.2791109744225602</v>
      </c>
      <c r="AV306" s="115"/>
      <c r="AW306" s="144">
        <f t="shared" ref="AW306:BD306" si="541">AN286</f>
        <v>0.32648031294665569</v>
      </c>
      <c r="AX306" s="144">
        <f t="shared" si="541"/>
        <v>0</v>
      </c>
      <c r="AY306" s="144">
        <f t="shared" si="541"/>
        <v>7.7764117579468763</v>
      </c>
      <c r="AZ306" s="144">
        <f t="shared" si="541"/>
        <v>4.9627394570272001</v>
      </c>
      <c r="BA306" s="144">
        <f t="shared" si="541"/>
        <v>5.4410375847050894</v>
      </c>
      <c r="BB306" s="144">
        <f t="shared" si="541"/>
        <v>6.7183938278156141</v>
      </c>
      <c r="BC306" s="144">
        <f t="shared" si="541"/>
        <v>3.3558410728349708</v>
      </c>
      <c r="BD306" s="144">
        <f t="shared" si="541"/>
        <v>3.1013914232819007</v>
      </c>
      <c r="BE306" s="17"/>
      <c r="BF306" s="142">
        <f t="shared" ref="BF306:BM306" si="542">AW286</f>
        <v>0.65296062589331128</v>
      </c>
      <c r="BG306" s="142">
        <f t="shared" si="542"/>
        <v>0</v>
      </c>
      <c r="BH306" s="142">
        <f t="shared" si="542"/>
        <v>7.7764117579468763</v>
      </c>
      <c r="BI306" s="142">
        <f t="shared" si="542"/>
        <v>4.9627394570272001</v>
      </c>
      <c r="BJ306" s="142">
        <f t="shared" si="542"/>
        <v>7.4041095358396269</v>
      </c>
      <c r="BK306" s="142">
        <f t="shared" si="542"/>
        <v>5.4083704790918317</v>
      </c>
      <c r="BL306" s="142">
        <f t="shared" si="542"/>
        <v>2.7014837557901243</v>
      </c>
      <c r="BM306" s="142">
        <f t="shared" si="542"/>
        <v>4.220342435428587</v>
      </c>
      <c r="BN306" s="17"/>
      <c r="BO306" s="142">
        <f t="shared" ref="BO306:BV306" si="543">BF286</f>
        <v>1.3059212517866228</v>
      </c>
      <c r="BP306" s="142">
        <f t="shared" si="543"/>
        <v>0</v>
      </c>
      <c r="BQ306" s="142">
        <f t="shared" si="543"/>
        <v>7.7764117579468763</v>
      </c>
      <c r="BR306" s="142">
        <f t="shared" si="543"/>
        <v>4.9627394570272001</v>
      </c>
      <c r="BS306" s="142">
        <f t="shared" si="543"/>
        <v>10.075438216566313</v>
      </c>
      <c r="BT306" s="142">
        <f t="shared" si="543"/>
        <v>3.6257038061535538</v>
      </c>
      <c r="BU306" s="142">
        <f t="shared" si="543"/>
        <v>1.8110408622145622</v>
      </c>
      <c r="BV306" s="142">
        <f t="shared" si="543"/>
        <v>5.7429997834427979</v>
      </c>
      <c r="BW306" s="17"/>
      <c r="BX306" s="142">
        <f t="shared" ref="BX306:CE306" si="544">BO286</f>
        <v>2.6118425035732455</v>
      </c>
      <c r="BY306" s="142">
        <f t="shared" si="544"/>
        <v>64.742878179935289</v>
      </c>
      <c r="BZ306" s="142">
        <f t="shared" si="544"/>
        <v>7.7764117579468763</v>
      </c>
      <c r="CA306" s="142">
        <f t="shared" si="544"/>
        <v>4.9627394570272001</v>
      </c>
      <c r="CB306" s="142">
        <f t="shared" si="544"/>
        <v>13.710555572478198</v>
      </c>
      <c r="CC306" s="142">
        <f t="shared" si="544"/>
        <v>1.1998688239750228</v>
      </c>
      <c r="CD306" s="142">
        <f t="shared" si="544"/>
        <v>0.59933507691060084</v>
      </c>
      <c r="CE306" s="142">
        <f t="shared" si="544"/>
        <v>7.8150166763125721</v>
      </c>
      <c r="CF306" s="17"/>
      <c r="CG306" s="17"/>
      <c r="CH306">
        <f t="shared" si="307"/>
        <v>148</v>
      </c>
      <c r="CI306" s="113">
        <f t="shared" si="308"/>
        <v>162.81116330077649</v>
      </c>
      <c r="CJ306" s="124">
        <f t="shared" si="353"/>
        <v>5.203279987587325</v>
      </c>
      <c r="CK306" s="124">
        <f t="shared" si="354"/>
        <v>64.742878179935289</v>
      </c>
      <c r="CL306" s="124">
        <f t="shared" si="355"/>
        <v>68.271917220831824</v>
      </c>
      <c r="CM306" s="124">
        <f t="shared" si="356"/>
        <v>40.456126538009563</v>
      </c>
      <c r="CN306" s="124">
        <f t="shared" si="357"/>
        <v>47.313963315549358</v>
      </c>
      <c r="CO306" s="124">
        <f t="shared" si="358"/>
        <v>51.220851755493854</v>
      </c>
      <c r="CP306" s="124">
        <f t="shared" si="359"/>
        <v>25.584841036710209</v>
      </c>
      <c r="CQ306" s="124">
        <f t="shared" si="360"/>
        <v>28.312397223055058</v>
      </c>
      <c r="CR306" s="144">
        <f t="shared" si="417"/>
        <v>331.10625525717251</v>
      </c>
    </row>
    <row r="307" spans="1:96" ht="14">
      <c r="A307">
        <f t="shared" si="521"/>
        <v>149</v>
      </c>
      <c r="B307" s="19">
        <f t="shared" si="521"/>
        <v>229</v>
      </c>
      <c r="C307" s="26">
        <f t="shared" si="403"/>
        <v>162.91343968185561</v>
      </c>
      <c r="D307" s="26"/>
      <c r="E307" s="26"/>
      <c r="F307" s="141">
        <f t="shared" ref="F307:G307" si="545">F306</f>
        <v>6.0606231572568161</v>
      </c>
      <c r="G307" s="141">
        <f t="shared" si="545"/>
        <v>0.7542108817919595</v>
      </c>
      <c r="H307" s="140">
        <f>(H$118)*('Product half-life and C flows'!L208/100)</f>
        <v>0</v>
      </c>
      <c r="I307" s="140">
        <f>(($C$39*$C$118*0.28)*H$41)*('Product half-life and C flows'!N208/100)</f>
        <v>0</v>
      </c>
      <c r="J307" s="140">
        <f>(($C$39*$C$118*0.28)*H$41)*(+'Product half-life and C flows'!P208/100)</f>
        <v>0</v>
      </c>
      <c r="K307" s="141">
        <f t="shared" si="201"/>
        <v>1.3434381331919276</v>
      </c>
      <c r="L307" s="26"/>
      <c r="M307" s="142">
        <f>(C$158-C$138)*(0.4*D$14)*('Product half-life and C flows'!B168/100)</f>
        <v>1.9709949684620455E-2</v>
      </c>
      <c r="N307" s="85"/>
      <c r="O307" s="143">
        <f t="shared" si="537"/>
        <v>7.7764117579468763</v>
      </c>
      <c r="P307" s="142">
        <f t="shared" si="538"/>
        <v>4.9627394570272001</v>
      </c>
      <c r="Q307" s="142">
        <f>(C$158-C$138)*(0.6*C$15)*('Product half-life and C flows'!L168/100)</f>
        <v>1.5625277307569443</v>
      </c>
      <c r="R307" s="142">
        <f>(C$158-C$138)*0.6*('Product half-life and C flows'!N168/100)</f>
        <v>9.3066527370170071</v>
      </c>
      <c r="S307" s="142">
        <f>(C$158-C$138)*0.6*('Product half-life and C flows'!P168/100)</f>
        <v>4.6486776908176823</v>
      </c>
      <c r="T307" s="142">
        <f t="shared" si="411"/>
        <v>0.89064080653145816</v>
      </c>
      <c r="U307" s="3"/>
      <c r="V307" s="142">
        <f t="shared" ref="V307:V318" si="546">$M287</f>
        <v>3.941989936924091E-2</v>
      </c>
      <c r="W307" s="142">
        <f t="shared" ref="W307:W318" si="547">$N287</f>
        <v>0</v>
      </c>
      <c r="X307" s="142">
        <f t="shared" ref="X307:X318" si="548">$O287</f>
        <v>7.7764117579468763</v>
      </c>
      <c r="Y307" s="142">
        <f t="shared" ref="Y307:Y318" si="549">$P287</f>
        <v>4.9627394570272001</v>
      </c>
      <c r="Z307" s="142">
        <f t="shared" ref="Z307:Z318" si="550">$Q287</f>
        <v>2.1262721110092104</v>
      </c>
      <c r="AA307" s="142">
        <f t="shared" ref="AA307:AA318" si="551">$R287</f>
        <v>8.9304473205953272</v>
      </c>
      <c r="AB307" s="142">
        <f t="shared" ref="AB307:AB318" si="552">$S287</f>
        <v>4.4607628974002616</v>
      </c>
      <c r="AC307" s="142">
        <f t="shared" ref="AC307:AC318" si="553">$T287</f>
        <v>1.2119751032752499</v>
      </c>
      <c r="AD307" s="115"/>
      <c r="AE307" s="142">
        <f t="shared" ref="AE307:AL307" si="554">V287</f>
        <v>7.883979873848182E-2</v>
      </c>
      <c r="AF307" s="142">
        <f t="shared" si="554"/>
        <v>0</v>
      </c>
      <c r="AG307" s="142">
        <f t="shared" si="554"/>
        <v>7.7764117579468763</v>
      </c>
      <c r="AH307" s="142">
        <f t="shared" si="554"/>
        <v>4.9627394570272001</v>
      </c>
      <c r="AI307" s="142">
        <f t="shared" si="554"/>
        <v>2.8934098263109966</v>
      </c>
      <c r="AJ307" s="142">
        <f t="shared" si="554"/>
        <v>8.4185107519172675</v>
      </c>
      <c r="AK307" s="142">
        <f t="shared" si="554"/>
        <v>4.2050503256329996</v>
      </c>
      <c r="AL307" s="142">
        <f t="shared" si="554"/>
        <v>1.649243600997268</v>
      </c>
      <c r="AM307" s="115"/>
      <c r="AN307" s="144">
        <f t="shared" ref="AN307:AU307" si="555">AE287</f>
        <v>0.15767959747696364</v>
      </c>
      <c r="AO307" s="144">
        <f t="shared" si="555"/>
        <v>0</v>
      </c>
      <c r="AP307" s="144">
        <f t="shared" si="555"/>
        <v>7.7764117579468763</v>
      </c>
      <c r="AQ307" s="144">
        <f t="shared" si="555"/>
        <v>4.9627394570272001</v>
      </c>
      <c r="AR307" s="144">
        <f t="shared" si="555"/>
        <v>3.9373231580502845</v>
      </c>
      <c r="AS307" s="144">
        <f t="shared" si="555"/>
        <v>7.7218725885365851</v>
      </c>
      <c r="AT307" s="144">
        <f t="shared" si="555"/>
        <v>3.857079215053238</v>
      </c>
      <c r="AU307" s="144">
        <f t="shared" si="555"/>
        <v>2.244274200088662</v>
      </c>
      <c r="AV307" s="115"/>
      <c r="AW307" s="144">
        <f t="shared" ref="AW307:BD307" si="556">AN287</f>
        <v>0.31535919495392739</v>
      </c>
      <c r="AX307" s="144">
        <f t="shared" si="556"/>
        <v>0</v>
      </c>
      <c r="AY307" s="144">
        <f t="shared" si="556"/>
        <v>7.7764117579468763</v>
      </c>
      <c r="AZ307" s="144">
        <f t="shared" si="556"/>
        <v>4.9627394570272001</v>
      </c>
      <c r="BA307" s="144">
        <f t="shared" si="556"/>
        <v>5.3578699809298236</v>
      </c>
      <c r="BB307" s="144">
        <f t="shared" si="556"/>
        <v>6.7738943420683073</v>
      </c>
      <c r="BC307" s="144">
        <f t="shared" si="556"/>
        <v>3.3835636074267259</v>
      </c>
      <c r="BD307" s="144">
        <f t="shared" si="556"/>
        <v>3.0539858891299994</v>
      </c>
      <c r="BE307" s="17"/>
      <c r="BF307" s="142">
        <f t="shared" ref="BF307:BM307" si="557">AW287</f>
        <v>0.63071838990785456</v>
      </c>
      <c r="BG307" s="142">
        <f t="shared" si="557"/>
        <v>0</v>
      </c>
      <c r="BH307" s="142">
        <f t="shared" si="557"/>
        <v>7.7764117579468763</v>
      </c>
      <c r="BI307" s="142">
        <f t="shared" si="557"/>
        <v>4.9627394570272001</v>
      </c>
      <c r="BJ307" s="142">
        <f t="shared" si="557"/>
        <v>7.2909358922837857</v>
      </c>
      <c r="BK307" s="142">
        <f t="shared" si="557"/>
        <v>5.4838950238914306</v>
      </c>
      <c r="BL307" s="142">
        <f t="shared" si="557"/>
        <v>2.7392083036420716</v>
      </c>
      <c r="BM307" s="142">
        <f t="shared" si="557"/>
        <v>4.1558334586017578</v>
      </c>
      <c r="BN307" s="17"/>
      <c r="BO307" s="142">
        <f t="shared" ref="BO307:BV307" si="558">BF287</f>
        <v>1.2614367798157096</v>
      </c>
      <c r="BP307" s="142">
        <f t="shared" si="558"/>
        <v>0</v>
      </c>
      <c r="BQ307" s="142">
        <f t="shared" si="558"/>
        <v>7.7764117579468763</v>
      </c>
      <c r="BR307" s="142">
        <f t="shared" si="558"/>
        <v>4.9627394570272001</v>
      </c>
      <c r="BS307" s="142">
        <f t="shared" si="558"/>
        <v>9.9214326541322233</v>
      </c>
      <c r="BT307" s="142">
        <f t="shared" si="558"/>
        <v>3.728476851484571</v>
      </c>
      <c r="BU307" s="142">
        <f t="shared" si="558"/>
        <v>1.8623760496925927</v>
      </c>
      <c r="BV307" s="142">
        <f t="shared" si="558"/>
        <v>5.6552166128553667</v>
      </c>
      <c r="BW307" s="17"/>
      <c r="BX307" s="142">
        <f t="shared" ref="BX307:CE307" si="559">BO287</f>
        <v>2.5228735596314182</v>
      </c>
      <c r="BY307" s="142">
        <f t="shared" si="559"/>
        <v>66.466051602514185</v>
      </c>
      <c r="BZ307" s="142">
        <f t="shared" si="559"/>
        <v>7.7764117579468763</v>
      </c>
      <c r="CA307" s="142">
        <f t="shared" si="559"/>
        <v>4.9627394570272001</v>
      </c>
      <c r="CB307" s="142">
        <f t="shared" si="559"/>
        <v>13.500986343146657</v>
      </c>
      <c r="CC307" s="142">
        <f t="shared" si="559"/>
        <v>1.3397213563489379</v>
      </c>
      <c r="CD307" s="142">
        <f t="shared" si="559"/>
        <v>0.66919148668778117</v>
      </c>
      <c r="CE307" s="142">
        <f t="shared" si="559"/>
        <v>7.6955622155935934</v>
      </c>
      <c r="CF307" s="17"/>
      <c r="CG307" s="17"/>
      <c r="CH307">
        <f t="shared" si="307"/>
        <v>149</v>
      </c>
      <c r="CI307" s="113">
        <f t="shared" si="308"/>
        <v>162.91343968185561</v>
      </c>
      <c r="CJ307" s="124">
        <f t="shared" si="353"/>
        <v>5.0260371695782169</v>
      </c>
      <c r="CK307" s="124">
        <f t="shared" si="354"/>
        <v>66.466051602514185</v>
      </c>
      <c r="CL307" s="124">
        <f t="shared" si="355"/>
        <v>68.271917220831824</v>
      </c>
      <c r="CM307" s="124">
        <f t="shared" si="356"/>
        <v>40.456126538009563</v>
      </c>
      <c r="CN307" s="124">
        <f t="shared" si="357"/>
        <v>46.590757696619924</v>
      </c>
      <c r="CO307" s="124">
        <f t="shared" si="358"/>
        <v>51.703470971859439</v>
      </c>
      <c r="CP307" s="124">
        <f t="shared" si="359"/>
        <v>25.82590957635335</v>
      </c>
      <c r="CQ307" s="124">
        <f t="shared" si="360"/>
        <v>27.900170020265282</v>
      </c>
      <c r="CR307" s="144">
        <f t="shared" si="417"/>
        <v>332.24044079603181</v>
      </c>
    </row>
    <row r="308" spans="1:96" ht="14">
      <c r="A308">
        <f t="shared" si="521"/>
        <v>150</v>
      </c>
      <c r="B308" s="19">
        <f t="shared" si="521"/>
        <v>230</v>
      </c>
      <c r="C308" s="26">
        <f t="shared" si="403"/>
        <v>163.01373241500369</v>
      </c>
      <c r="D308" s="26"/>
      <c r="E308" s="26"/>
      <c r="F308" s="141">
        <f t="shared" ref="F308:G308" si="560">F307</f>
        <v>6.0606231572568161</v>
      </c>
      <c r="G308" s="141">
        <f t="shared" si="560"/>
        <v>0.7542108817919595</v>
      </c>
      <c r="H308" s="140">
        <f>(H$118)*('Product half-life and C flows'!L209/100)</f>
        <v>0</v>
      </c>
      <c r="I308" s="140">
        <f>(($C$39*$C$118*0.28)*H$41)*('Product half-life and C flows'!N209/100)</f>
        <v>0</v>
      </c>
      <c r="J308" s="140">
        <f>(($C$39*$C$118*0.28)*H$41)*(+'Product half-life and C flows'!P209/100)</f>
        <v>0</v>
      </c>
      <c r="K308" s="141">
        <f t="shared" si="201"/>
        <v>1.3434381331919276</v>
      </c>
      <c r="L308" s="26"/>
      <c r="M308" s="142">
        <f>(C$158-C$138)*(0.4*D$14)*('Product half-life and C flows'!B169/100)</f>
        <v>1.9038556441655707E-2</v>
      </c>
      <c r="N308" s="85"/>
      <c r="O308" s="143">
        <f t="shared" si="537"/>
        <v>7.7764117579468763</v>
      </c>
      <c r="P308" s="142">
        <f t="shared" si="538"/>
        <v>4.9627394570272001</v>
      </c>
      <c r="Q308" s="142">
        <f>(C$158-C$138)*(0.6*C$15)*('Product half-life and C flows'!L169/100)</f>
        <v>1.5386441083455213</v>
      </c>
      <c r="R308" s="142">
        <f>(C$158-C$138)*0.6*('Product half-life and C flows'!N169/100)</f>
        <v>9.3225910743728964</v>
      </c>
      <c r="S308" s="142">
        <f>(C$158-C$138)*0.6*('Product half-life and C flows'!P169/100)</f>
        <v>4.6566388982881568</v>
      </c>
      <c r="T308" s="142">
        <f t="shared" si="411"/>
        <v>0.87702714175694707</v>
      </c>
      <c r="U308" s="3"/>
      <c r="V308" s="142">
        <f t="shared" si="546"/>
        <v>3.8077112883311413E-2</v>
      </c>
      <c r="W308" s="142">
        <f t="shared" si="547"/>
        <v>0</v>
      </c>
      <c r="X308" s="142">
        <f t="shared" si="548"/>
        <v>7.7764117579468763</v>
      </c>
      <c r="Y308" s="142">
        <f t="shared" si="549"/>
        <v>4.9627394570272001</v>
      </c>
      <c r="Z308" s="142">
        <f t="shared" si="550"/>
        <v>2.0937715164638058</v>
      </c>
      <c r="AA308" s="142">
        <f t="shared" si="551"/>
        <v>8.9521360506886261</v>
      </c>
      <c r="AB308" s="142">
        <f t="shared" si="552"/>
        <v>4.4715964289153964</v>
      </c>
      <c r="AC308" s="142">
        <f t="shared" si="553"/>
        <v>1.1934497643843691</v>
      </c>
      <c r="AD308" s="115"/>
      <c r="AE308" s="142">
        <f t="shared" ref="AE308:AL308" si="561">V288</f>
        <v>7.6154225766622799E-2</v>
      </c>
      <c r="AF308" s="142">
        <f t="shared" si="561"/>
        <v>0</v>
      </c>
      <c r="AG308" s="142">
        <f t="shared" si="561"/>
        <v>7.7764117579468763</v>
      </c>
      <c r="AH308" s="142">
        <f t="shared" si="561"/>
        <v>4.9627394570272001</v>
      </c>
      <c r="AI308" s="142">
        <f t="shared" si="561"/>
        <v>2.8491833422538875</v>
      </c>
      <c r="AJ308" s="142">
        <f t="shared" si="561"/>
        <v>8.4480245589447129</v>
      </c>
      <c r="AK308" s="142">
        <f t="shared" si="561"/>
        <v>4.2197924869853702</v>
      </c>
      <c r="AL308" s="142">
        <f t="shared" si="561"/>
        <v>1.6240345050847158</v>
      </c>
      <c r="AM308" s="115"/>
      <c r="AN308" s="144">
        <f t="shared" ref="AN308:AU308" si="562">AE288</f>
        <v>0.15230845153324563</v>
      </c>
      <c r="AO308" s="144">
        <f t="shared" si="562"/>
        <v>0</v>
      </c>
      <c r="AP308" s="144">
        <f t="shared" si="562"/>
        <v>7.7764117579468763</v>
      </c>
      <c r="AQ308" s="144">
        <f t="shared" si="562"/>
        <v>4.9627394570272001</v>
      </c>
      <c r="AR308" s="144">
        <f t="shared" si="562"/>
        <v>3.8771402008025002</v>
      </c>
      <c r="AS308" s="144">
        <f t="shared" si="562"/>
        <v>7.7620346820066057</v>
      </c>
      <c r="AT308" s="144">
        <f t="shared" si="562"/>
        <v>3.8771402008024998</v>
      </c>
      <c r="AU308" s="144">
        <f t="shared" si="562"/>
        <v>2.209969914457425</v>
      </c>
      <c r="AV308" s="115"/>
      <c r="AW308" s="144">
        <f t="shared" ref="AW308:BD308" si="563">AN288</f>
        <v>0.30461690306649125</v>
      </c>
      <c r="AX308" s="144">
        <f t="shared" si="563"/>
        <v>0</v>
      </c>
      <c r="AY308" s="144">
        <f t="shared" si="563"/>
        <v>7.7764117579468763</v>
      </c>
      <c r="AZ308" s="144">
        <f t="shared" si="563"/>
        <v>4.9627394570272001</v>
      </c>
      <c r="BA308" s="144">
        <f t="shared" si="563"/>
        <v>5.2759736145261176</v>
      </c>
      <c r="BB308" s="144">
        <f t="shared" si="563"/>
        <v>6.8285465172483804</v>
      </c>
      <c r="BC308" s="144">
        <f t="shared" si="563"/>
        <v>3.4108623962279605</v>
      </c>
      <c r="BD308" s="144">
        <f t="shared" si="563"/>
        <v>3.0073049602798867</v>
      </c>
      <c r="BE308" s="17"/>
      <c r="BF308" s="142">
        <f t="shared" ref="BF308:BM308" si="564">AW288</f>
        <v>0.6092338061329825</v>
      </c>
      <c r="BG308" s="142">
        <f t="shared" si="564"/>
        <v>0</v>
      </c>
      <c r="BH308" s="142">
        <f t="shared" si="564"/>
        <v>7.7764117579468763</v>
      </c>
      <c r="BI308" s="142">
        <f t="shared" si="564"/>
        <v>4.9627394570272001</v>
      </c>
      <c r="BJ308" s="142">
        <f t="shared" si="564"/>
        <v>7.1794921358310049</v>
      </c>
      <c r="BK308" s="142">
        <f t="shared" si="564"/>
        <v>5.5582651573642528</v>
      </c>
      <c r="BL308" s="142">
        <f t="shared" si="564"/>
        <v>2.7763562224596656</v>
      </c>
      <c r="BM308" s="142">
        <f t="shared" si="564"/>
        <v>4.0923105174236722</v>
      </c>
      <c r="BN308" s="17"/>
      <c r="BO308" s="142">
        <f t="shared" ref="BO308:BV308" si="565">BF288</f>
        <v>1.218467612265965</v>
      </c>
      <c r="BP308" s="142">
        <f t="shared" si="565"/>
        <v>0</v>
      </c>
      <c r="BQ308" s="142">
        <f t="shared" si="565"/>
        <v>7.7764117579468763</v>
      </c>
      <c r="BR308" s="142">
        <f t="shared" si="565"/>
        <v>4.9627394570272001</v>
      </c>
      <c r="BS308" s="142">
        <f t="shared" si="565"/>
        <v>9.769781104769411</v>
      </c>
      <c r="BT308" s="142">
        <f t="shared" si="565"/>
        <v>3.8296789854260211</v>
      </c>
      <c r="BU308" s="142">
        <f t="shared" si="565"/>
        <v>1.9129265661468633</v>
      </c>
      <c r="BV308" s="142">
        <f t="shared" si="565"/>
        <v>5.5687752297185638</v>
      </c>
      <c r="BW308" s="17"/>
      <c r="BX308" s="142">
        <f t="shared" ref="BX308:CE308" si="566">BO288</f>
        <v>2.43693522453193</v>
      </c>
      <c r="BY308" s="142">
        <f t="shared" si="566"/>
        <v>68.18922502509308</v>
      </c>
      <c r="BZ308" s="142">
        <f t="shared" si="566"/>
        <v>7.7764117579468763</v>
      </c>
      <c r="CA308" s="142">
        <f t="shared" si="566"/>
        <v>4.9627394570272001</v>
      </c>
      <c r="CB308" s="142">
        <f t="shared" si="566"/>
        <v>13.294620431262789</v>
      </c>
      <c r="CC308" s="142">
        <f t="shared" si="566"/>
        <v>1.4774362082127719</v>
      </c>
      <c r="CD308" s="142">
        <f t="shared" si="566"/>
        <v>0.73798012398240365</v>
      </c>
      <c r="CE308" s="142">
        <f t="shared" si="566"/>
        <v>7.5779336458197895</v>
      </c>
      <c r="CF308" s="17"/>
      <c r="CG308" s="17"/>
      <c r="CH308">
        <f t="shared" si="307"/>
        <v>150</v>
      </c>
      <c r="CI308" s="113">
        <f t="shared" si="308"/>
        <v>163.01373241500369</v>
      </c>
      <c r="CJ308" s="124">
        <f t="shared" si="353"/>
        <v>4.8548318926222045</v>
      </c>
      <c r="CK308" s="124">
        <f t="shared" si="354"/>
        <v>68.18922502509308</v>
      </c>
      <c r="CL308" s="124">
        <f t="shared" si="355"/>
        <v>68.271917220831824</v>
      </c>
      <c r="CM308" s="124">
        <f t="shared" si="356"/>
        <v>40.456126538009563</v>
      </c>
      <c r="CN308" s="124">
        <f t="shared" si="357"/>
        <v>45.878606454255035</v>
      </c>
      <c r="CO308" s="124">
        <f t="shared" si="358"/>
        <v>52.178713234264272</v>
      </c>
      <c r="CP308" s="124">
        <f t="shared" si="359"/>
        <v>26.063293323808317</v>
      </c>
      <c r="CQ308" s="124">
        <f t="shared" si="360"/>
        <v>27.494243812117297</v>
      </c>
      <c r="CR308" s="144">
        <f t="shared" si="417"/>
        <v>333.38695750100158</v>
      </c>
    </row>
    <row r="309" spans="1:96" ht="14">
      <c r="A309">
        <f t="shared" si="521"/>
        <v>151</v>
      </c>
      <c r="B309" s="19">
        <f t="shared" si="521"/>
        <v>231</v>
      </c>
      <c r="C309" s="26">
        <f t="shared" si="403"/>
        <v>163.11207915767986</v>
      </c>
      <c r="D309" s="26"/>
      <c r="E309" s="26"/>
      <c r="F309" s="141">
        <f t="shared" ref="F309:G309" si="567">F308</f>
        <v>6.0606231572568161</v>
      </c>
      <c r="G309" s="141">
        <f t="shared" si="567"/>
        <v>0.7542108817919595</v>
      </c>
      <c r="H309" s="140">
        <f>(H$118)*('Product half-life and C flows'!L210/100)</f>
        <v>0</v>
      </c>
      <c r="I309" s="140">
        <f>(($C$39*$C$118*0.28)*H$41)*('Product half-life and C flows'!N210/100)</f>
        <v>0</v>
      </c>
      <c r="J309" s="140">
        <f>(($C$39*$C$118*0.28)*H$41)*(+'Product half-life and C flows'!P210/100)</f>
        <v>0</v>
      </c>
      <c r="K309" s="141">
        <f t="shared" si="201"/>
        <v>1.3434381331919276</v>
      </c>
      <c r="L309" s="26"/>
      <c r="M309" s="142">
        <f>(C$158-C$138)*(0.4*D$14)*('Product half-life and C flows'!B170/100)</f>
        <v>1.8390033317281389E-2</v>
      </c>
      <c r="N309" s="85"/>
      <c r="O309" s="143">
        <f t="shared" si="537"/>
        <v>7.7764117579468763</v>
      </c>
      <c r="P309" s="142">
        <f t="shared" si="538"/>
        <v>4.9627394570272001</v>
      </c>
      <c r="Q309" s="142">
        <f>(C$158-C$138)*(0.6*C$15)*('Product half-life and C flows'!L170/100)</f>
        <v>1.5151255530034784</v>
      </c>
      <c r="R309" s="142">
        <f>(C$158-C$138)*0.6*('Product half-life and C flows'!N170/100)</f>
        <v>9.3382857903044876</v>
      </c>
      <c r="S309" s="142">
        <f>(C$158-C$138)*0.6*('Product half-life and C flows'!P170/100)</f>
        <v>4.6644784167355047</v>
      </c>
      <c r="T309" s="142">
        <f t="shared" si="411"/>
        <v>0.86362156521198263</v>
      </c>
      <c r="U309" s="3"/>
      <c r="V309" s="142">
        <f t="shared" si="546"/>
        <v>3.6780066634562757E-2</v>
      </c>
      <c r="W309" s="142">
        <f t="shared" si="547"/>
        <v>0</v>
      </c>
      <c r="X309" s="142">
        <f t="shared" si="548"/>
        <v>7.7764117579468763</v>
      </c>
      <c r="Y309" s="142">
        <f t="shared" si="549"/>
        <v>4.9627394570272001</v>
      </c>
      <c r="Z309" s="142">
        <f t="shared" si="550"/>
        <v>2.061767701535806</v>
      </c>
      <c r="AA309" s="142">
        <f t="shared" si="551"/>
        <v>8.9734932631839115</v>
      </c>
      <c r="AB309" s="142">
        <f t="shared" si="552"/>
        <v>4.4822643672247287</v>
      </c>
      <c r="AC309" s="142">
        <f t="shared" si="553"/>
        <v>1.1752075898754093</v>
      </c>
      <c r="AD309" s="115"/>
      <c r="AE309" s="142">
        <f t="shared" ref="AE309:AL309" si="568">V289</f>
        <v>7.3560133269125541E-2</v>
      </c>
      <c r="AF309" s="142">
        <f t="shared" si="568"/>
        <v>0</v>
      </c>
      <c r="AG309" s="142">
        <f t="shared" si="568"/>
        <v>7.7764117579468763</v>
      </c>
      <c r="AH309" s="142">
        <f t="shared" si="568"/>
        <v>4.9627394570272001</v>
      </c>
      <c r="AI309" s="142">
        <f t="shared" si="568"/>
        <v>2.8056328709324343</v>
      </c>
      <c r="AJ309" s="142">
        <f t="shared" si="568"/>
        <v>8.4770872401398965</v>
      </c>
      <c r="AK309" s="142">
        <f t="shared" si="568"/>
        <v>4.2343093107591878</v>
      </c>
      <c r="AL309" s="142">
        <f t="shared" si="568"/>
        <v>1.5992107364314874</v>
      </c>
      <c r="AM309" s="115"/>
      <c r="AN309" s="144">
        <f t="shared" ref="AN309:AU309" si="569">AE289</f>
        <v>0.14712026653825105</v>
      </c>
      <c r="AO309" s="144">
        <f t="shared" si="569"/>
        <v>0</v>
      </c>
      <c r="AP309" s="144">
        <f t="shared" si="569"/>
        <v>7.7764117579468763</v>
      </c>
      <c r="AQ309" s="144">
        <f t="shared" si="569"/>
        <v>4.9627394570272001</v>
      </c>
      <c r="AR309" s="144">
        <f t="shared" si="569"/>
        <v>3.8178771549253856</v>
      </c>
      <c r="AS309" s="144">
        <f t="shared" si="569"/>
        <v>7.8015828879552673</v>
      </c>
      <c r="AT309" s="144">
        <f t="shared" si="569"/>
        <v>3.8968945494282048</v>
      </c>
      <c r="AU309" s="144">
        <f t="shared" si="569"/>
        <v>2.1761899783074696</v>
      </c>
      <c r="AV309" s="115"/>
      <c r="AW309" s="144">
        <f t="shared" ref="AW309:BD309" si="570">AN289</f>
        <v>0.29424053307650211</v>
      </c>
      <c r="AX309" s="144">
        <f t="shared" si="570"/>
        <v>0</v>
      </c>
      <c r="AY309" s="144">
        <f t="shared" si="570"/>
        <v>7.7764117579468763</v>
      </c>
      <c r="AZ309" s="144">
        <f t="shared" si="570"/>
        <v>4.9627394570272001</v>
      </c>
      <c r="BA309" s="144">
        <f t="shared" si="570"/>
        <v>5.1953290543166659</v>
      </c>
      <c r="BB309" s="144">
        <f t="shared" si="570"/>
        <v>6.8823633204281549</v>
      </c>
      <c r="BC309" s="144">
        <f t="shared" si="570"/>
        <v>3.4377439162977783</v>
      </c>
      <c r="BD309" s="144">
        <f t="shared" si="570"/>
        <v>2.9613375609604993</v>
      </c>
      <c r="BE309" s="17"/>
      <c r="BF309" s="142">
        <f t="shared" ref="BF309:BM309" si="571">AW289</f>
        <v>0.58848106615300433</v>
      </c>
      <c r="BG309" s="142">
        <f t="shared" si="571"/>
        <v>0</v>
      </c>
      <c r="BH309" s="142">
        <f t="shared" si="571"/>
        <v>7.7764117579468763</v>
      </c>
      <c r="BI309" s="142">
        <f t="shared" si="571"/>
        <v>4.9627394570272001</v>
      </c>
      <c r="BJ309" s="142">
        <f t="shared" si="571"/>
        <v>7.0697518247295204</v>
      </c>
      <c r="BK309" s="142">
        <f t="shared" si="571"/>
        <v>5.6314985249726428</v>
      </c>
      <c r="BL309" s="142">
        <f t="shared" si="571"/>
        <v>2.8129363261601599</v>
      </c>
      <c r="BM309" s="142">
        <f t="shared" si="571"/>
        <v>4.029758540095826</v>
      </c>
      <c r="BN309" s="17"/>
      <c r="BO309" s="142">
        <f t="shared" ref="BO309:BV309" si="572">BF289</f>
        <v>1.1769621323060084</v>
      </c>
      <c r="BP309" s="142">
        <f t="shared" si="572"/>
        <v>0</v>
      </c>
      <c r="BQ309" s="142">
        <f t="shared" si="572"/>
        <v>7.7764117579468763</v>
      </c>
      <c r="BR309" s="142">
        <f t="shared" si="572"/>
        <v>4.9627394570272001</v>
      </c>
      <c r="BS309" s="142">
        <f t="shared" si="572"/>
        <v>9.6204475868064847</v>
      </c>
      <c r="BT309" s="142">
        <f t="shared" si="572"/>
        <v>3.9293342197466132</v>
      </c>
      <c r="BU309" s="142">
        <f t="shared" si="572"/>
        <v>1.9627044054678384</v>
      </c>
      <c r="BV309" s="142">
        <f t="shared" si="572"/>
        <v>5.4836551244796956</v>
      </c>
      <c r="BW309" s="17"/>
      <c r="BX309" s="142">
        <f t="shared" ref="BX309:CE309" si="573">BO289</f>
        <v>2.3539242646120164</v>
      </c>
      <c r="BY309" s="142">
        <f t="shared" si="573"/>
        <v>69.912398447671976</v>
      </c>
      <c r="BZ309" s="142">
        <f t="shared" si="573"/>
        <v>7.7764117579468763</v>
      </c>
      <c r="CA309" s="142">
        <f t="shared" si="573"/>
        <v>4.9627394570272001</v>
      </c>
      <c r="CB309" s="142">
        <f t="shared" si="573"/>
        <v>13.091408873327982</v>
      </c>
      <c r="CC309" s="142">
        <f t="shared" si="573"/>
        <v>1.6130460545412677</v>
      </c>
      <c r="CD309" s="142">
        <f t="shared" si="573"/>
        <v>0.80571730996067314</v>
      </c>
      <c r="CE309" s="142">
        <f t="shared" si="573"/>
        <v>7.4621030577969494</v>
      </c>
      <c r="CF309" s="17"/>
      <c r="CG309" s="17"/>
      <c r="CH309">
        <f t="shared" si="307"/>
        <v>151</v>
      </c>
      <c r="CI309" s="113">
        <f t="shared" si="308"/>
        <v>163.11207915767986</v>
      </c>
      <c r="CJ309" s="124">
        <f t="shared" si="353"/>
        <v>4.6894584959067522</v>
      </c>
      <c r="CK309" s="124">
        <f t="shared" si="354"/>
        <v>69.912398447671976</v>
      </c>
      <c r="CL309" s="124">
        <f t="shared" si="355"/>
        <v>68.271917220831824</v>
      </c>
      <c r="CM309" s="124">
        <f t="shared" si="356"/>
        <v>40.456126538009563</v>
      </c>
      <c r="CN309" s="124">
        <f t="shared" si="357"/>
        <v>45.177340619577762</v>
      </c>
      <c r="CO309" s="124">
        <f t="shared" si="358"/>
        <v>52.646691301272242</v>
      </c>
      <c r="CP309" s="124">
        <f t="shared" si="359"/>
        <v>26.297048602034074</v>
      </c>
      <c r="CQ309" s="124">
        <f t="shared" si="360"/>
        <v>27.094522286351246</v>
      </c>
      <c r="CR309" s="144">
        <f t="shared" si="417"/>
        <v>334.54550351165545</v>
      </c>
    </row>
    <row r="310" spans="1:96" ht="14">
      <c r="A310">
        <f t="shared" si="521"/>
        <v>152</v>
      </c>
      <c r="B310" s="19">
        <f t="shared" si="521"/>
        <v>232</v>
      </c>
      <c r="C310" s="26">
        <f t="shared" si="403"/>
        <v>163.2085168847747</v>
      </c>
      <c r="D310" s="26"/>
      <c r="E310" s="26"/>
      <c r="F310" s="141">
        <f t="shared" ref="F310:G310" si="574">F309</f>
        <v>6.0606231572568161</v>
      </c>
      <c r="G310" s="141">
        <f t="shared" si="574"/>
        <v>0.7542108817919595</v>
      </c>
      <c r="H310" s="140">
        <f>(H$118)*('Product half-life and C flows'!L211/100)</f>
        <v>0</v>
      </c>
      <c r="I310" s="140">
        <f>(($C$39*$C$118*0.28)*H$41)*('Product half-life and C flows'!N211/100)</f>
        <v>0</v>
      </c>
      <c r="J310" s="140">
        <f>(($C$39*$C$118*0.28)*H$41)*(+'Product half-life and C flows'!P211/100)</f>
        <v>0</v>
      </c>
      <c r="K310" s="141">
        <f t="shared" si="201"/>
        <v>1.3434381331919276</v>
      </c>
      <c r="L310" s="26"/>
      <c r="M310" s="142">
        <f>(C$158-C$138)*(0.4*D$14)*('Product half-life and C flows'!B171/100)</f>
        <v>1.7763601271300378E-2</v>
      </c>
      <c r="N310" s="85"/>
      <c r="O310" s="143">
        <f t="shared" si="537"/>
        <v>7.7764117579468763</v>
      </c>
      <c r="P310" s="142">
        <f t="shared" si="538"/>
        <v>4.9627394570272001</v>
      </c>
      <c r="Q310" s="142">
        <f>(C$158-C$138)*(0.6*C$15)*('Product half-life and C flows'!L171/100)</f>
        <v>1.4919664845904637</v>
      </c>
      <c r="R310" s="142">
        <f>(C$158-C$138)*0.6*('Product half-life and C flows'!N171/100)</f>
        <v>9.3537406086254382</v>
      </c>
      <c r="S310" s="142">
        <f>(C$158-C$138)*0.6*('Product half-life and C flows'!P171/100)</f>
        <v>4.6721981062065092</v>
      </c>
      <c r="T310" s="142">
        <f t="shared" si="411"/>
        <v>0.85042089621656425</v>
      </c>
      <c r="U310" s="3"/>
      <c r="V310" s="142">
        <f t="shared" si="546"/>
        <v>3.5527202542600757E-2</v>
      </c>
      <c r="W310" s="142">
        <f t="shared" si="547"/>
        <v>0</v>
      </c>
      <c r="X310" s="142">
        <f t="shared" si="548"/>
        <v>7.7764117579468763</v>
      </c>
      <c r="Y310" s="142">
        <f t="shared" si="549"/>
        <v>4.9627394570272001</v>
      </c>
      <c r="Z310" s="142">
        <f t="shared" si="550"/>
        <v>2.0302530728260213</v>
      </c>
      <c r="AA310" s="142">
        <f t="shared" si="551"/>
        <v>8.9945240254095751</v>
      </c>
      <c r="AB310" s="142">
        <f t="shared" si="552"/>
        <v>4.492769243461324</v>
      </c>
      <c r="AC310" s="142">
        <f t="shared" si="553"/>
        <v>1.1572442515108321</v>
      </c>
      <c r="AD310" s="115"/>
      <c r="AE310" s="142">
        <f t="shared" ref="AE310:AL310" si="575">V290</f>
        <v>7.1054405085201527E-2</v>
      </c>
      <c r="AF310" s="142">
        <f t="shared" si="575"/>
        <v>0</v>
      </c>
      <c r="AG310" s="142">
        <f t="shared" si="575"/>
        <v>7.7764117579468763</v>
      </c>
      <c r="AH310" s="142">
        <f t="shared" si="575"/>
        <v>4.9627394570272001</v>
      </c>
      <c r="AI310" s="142">
        <f t="shared" si="575"/>
        <v>2.7627480793249517</v>
      </c>
      <c r="AJ310" s="142">
        <f t="shared" si="575"/>
        <v>8.5057056910726221</v>
      </c>
      <c r="AK310" s="142">
        <f t="shared" si="575"/>
        <v>4.2486042412950153</v>
      </c>
      <c r="AL310" s="142">
        <f t="shared" si="575"/>
        <v>1.5747664052152224</v>
      </c>
      <c r="AM310" s="115"/>
      <c r="AN310" s="144">
        <f t="shared" ref="AN310:AU310" si="576">AE290</f>
        <v>0.14210881017040305</v>
      </c>
      <c r="AO310" s="144">
        <f t="shared" si="576"/>
        <v>0</v>
      </c>
      <c r="AP310" s="144">
        <f t="shared" si="576"/>
        <v>7.7764117579468763</v>
      </c>
      <c r="AQ310" s="144">
        <f t="shared" si="576"/>
        <v>4.9627394570272001</v>
      </c>
      <c r="AR310" s="144">
        <f t="shared" si="576"/>
        <v>3.7595199593463606</v>
      </c>
      <c r="AS310" s="144">
        <f t="shared" si="576"/>
        <v>7.8405265898050036</v>
      </c>
      <c r="AT310" s="144">
        <f t="shared" si="576"/>
        <v>3.9163469479545459</v>
      </c>
      <c r="AU310" s="144">
        <f t="shared" si="576"/>
        <v>2.1429263768274254</v>
      </c>
      <c r="AV310" s="115"/>
      <c r="AW310" s="144">
        <f t="shared" ref="AW310:BD310" si="577">AN290</f>
        <v>0.284217620340806</v>
      </c>
      <c r="AX310" s="144">
        <f t="shared" si="577"/>
        <v>0</v>
      </c>
      <c r="AY310" s="144">
        <f t="shared" si="577"/>
        <v>7.7764117579468763</v>
      </c>
      <c r="AZ310" s="144">
        <f t="shared" si="577"/>
        <v>4.9627394570272001</v>
      </c>
      <c r="BA310" s="144">
        <f t="shared" si="577"/>
        <v>5.1159171661345075</v>
      </c>
      <c r="BB310" s="144">
        <f t="shared" si="577"/>
        <v>6.9353575204750486</v>
      </c>
      <c r="BC310" s="144">
        <f t="shared" si="577"/>
        <v>3.4642145456918314</v>
      </c>
      <c r="BD310" s="144">
        <f t="shared" si="577"/>
        <v>2.9160727846966692</v>
      </c>
      <c r="BE310" s="17"/>
      <c r="BF310" s="142">
        <f t="shared" ref="BF310:BM310" si="578">AW290</f>
        <v>0.56843524068161189</v>
      </c>
      <c r="BG310" s="142">
        <f t="shared" si="578"/>
        <v>0</v>
      </c>
      <c r="BH310" s="142">
        <f t="shared" si="578"/>
        <v>7.7764117579468763</v>
      </c>
      <c r="BI310" s="142">
        <f t="shared" si="578"/>
        <v>4.9627394570272001</v>
      </c>
      <c r="BJ310" s="142">
        <f t="shared" si="578"/>
        <v>6.9616889213962736</v>
      </c>
      <c r="BK310" s="142">
        <f t="shared" si="578"/>
        <v>5.7036125024636961</v>
      </c>
      <c r="BL310" s="142">
        <f t="shared" si="578"/>
        <v>2.8489572939379091</v>
      </c>
      <c r="BM310" s="142">
        <f t="shared" si="578"/>
        <v>3.9681626851958756</v>
      </c>
      <c r="BN310" s="17"/>
      <c r="BO310" s="142">
        <f t="shared" ref="BO310:BV310" si="579">BF290</f>
        <v>1.136870481363224</v>
      </c>
      <c r="BP310" s="142">
        <f t="shared" si="579"/>
        <v>0</v>
      </c>
      <c r="BQ310" s="142">
        <f t="shared" si="579"/>
        <v>7.7764117579468763</v>
      </c>
      <c r="BR310" s="142">
        <f t="shared" si="579"/>
        <v>4.9627394570272001</v>
      </c>
      <c r="BS310" s="142">
        <f t="shared" si="579"/>
        <v>9.4733966685607935</v>
      </c>
      <c r="BT310" s="142">
        <f t="shared" si="579"/>
        <v>4.027466199189238</v>
      </c>
      <c r="BU310" s="142">
        <f t="shared" si="579"/>
        <v>2.0117213782164023</v>
      </c>
      <c r="BV310" s="142">
        <f t="shared" si="579"/>
        <v>5.3998361010796518</v>
      </c>
      <c r="BW310" s="17"/>
      <c r="BX310" s="142">
        <f t="shared" ref="BX310:CE310" si="580">BO290</f>
        <v>2.2737409627264475</v>
      </c>
      <c r="BY310" s="142">
        <f t="shared" si="580"/>
        <v>71.635571870250871</v>
      </c>
      <c r="BZ310" s="142">
        <f t="shared" si="580"/>
        <v>7.7764117579468763</v>
      </c>
      <c r="CA310" s="142">
        <f t="shared" si="580"/>
        <v>4.9627394570272001</v>
      </c>
      <c r="CB310" s="142">
        <f t="shared" si="580"/>
        <v>12.891303454262784</v>
      </c>
      <c r="CC310" s="142">
        <f t="shared" si="580"/>
        <v>1.7465830708641092</v>
      </c>
      <c r="CD310" s="142">
        <f t="shared" si="580"/>
        <v>0.87241911631573887</v>
      </c>
      <c r="CE310" s="142">
        <f t="shared" si="580"/>
        <v>7.3480429689297866</v>
      </c>
      <c r="CF310" s="17"/>
      <c r="CG310" s="17"/>
      <c r="CH310">
        <f t="shared" si="307"/>
        <v>152</v>
      </c>
      <c r="CI310" s="113">
        <f t="shared" si="308"/>
        <v>163.2085168847747</v>
      </c>
      <c r="CJ310" s="124">
        <f>D310+M310+V310+AE310+AN310+AW310+BF310+BO310+BX310</f>
        <v>4.5297183241815953</v>
      </c>
      <c r="CK310" s="124">
        <f t="shared" ref="CK310:CK318" si="581">E310+N310+W310+AF310+AO310+AX310+BG310+BP310+BY310</f>
        <v>71.635571870250871</v>
      </c>
      <c r="CL310" s="124">
        <f t="shared" ref="CL310:CL318" si="582">F310+O310+X310+AG310+AP310+AY310+BH310+BQ310+BZ310</f>
        <v>68.271917220831824</v>
      </c>
      <c r="CM310" s="124">
        <f t="shared" ref="CM310:CM318" si="583">G310+P310+Y310+AH310+AQ310+AZ310+BI310+BR310+CA310</f>
        <v>40.456126538009563</v>
      </c>
      <c r="CN310" s="124">
        <f t="shared" ref="CN310:CN318" si="584">H310+Q310+Z310+AI310+AR310+BA310+BJ310+BS310+CB310</f>
        <v>44.486793806442158</v>
      </c>
      <c r="CO310" s="124">
        <f t="shared" ref="CO310:CO318" si="585">I310+R310+AA310+AJ310+AS310+BB310+BK310+BT310+CC310</f>
        <v>53.10751620790473</v>
      </c>
      <c r="CP310" s="124">
        <f t="shared" ref="CP310:CP318" si="586">J310+S310+AB310+AK310+AT310+BC310+BL310+BU310+CD310</f>
        <v>26.527230873079279</v>
      </c>
      <c r="CQ310" s="124">
        <f t="shared" ref="CQ310:CQ318" si="587">K310+T310+AC310+AL310+AU310+BD310+BM310+BV310+CE310</f>
        <v>26.700910602863953</v>
      </c>
      <c r="CR310" s="144">
        <f t="shared" si="417"/>
        <v>335.71578544356402</v>
      </c>
    </row>
    <row r="311" spans="1:96" ht="14">
      <c r="A311">
        <f t="shared" si="521"/>
        <v>153</v>
      </c>
      <c r="B311" s="19">
        <f t="shared" si="521"/>
        <v>233</v>
      </c>
      <c r="C311" s="26">
        <f t="shared" si="403"/>
        <v>163.3030818996792</v>
      </c>
      <c r="D311" s="26"/>
      <c r="E311" s="26"/>
      <c r="F311" s="141">
        <f t="shared" ref="F311:G311" si="588">F310</f>
        <v>6.0606231572568161</v>
      </c>
      <c r="G311" s="141">
        <f t="shared" si="588"/>
        <v>0.7542108817919595</v>
      </c>
      <c r="H311" s="140">
        <f>(H$118)*('Product half-life and C flows'!L212/100)</f>
        <v>0</v>
      </c>
      <c r="I311" s="140">
        <f>(($C$39*$C$118*0.28)*H$41)*('Product half-life and C flows'!N212/100)</f>
        <v>0</v>
      </c>
      <c r="J311" s="140">
        <f>(($C$39*$C$118*0.28)*H$41)*(+'Product half-life and C flows'!P212/100)</f>
        <v>0</v>
      </c>
      <c r="K311" s="141">
        <f t="shared" si="201"/>
        <v>1.3434381331919276</v>
      </c>
      <c r="L311" s="26"/>
      <c r="M311" s="142">
        <f>(C$158-C$138)*(0.4*D$14)*('Product half-life and C flows'!B172/100)</f>
        <v>1.7158507800484599E-2</v>
      </c>
      <c r="N311" s="85"/>
      <c r="O311" s="143">
        <f t="shared" si="537"/>
        <v>7.7764117579468763</v>
      </c>
      <c r="P311" s="142">
        <f t="shared" si="538"/>
        <v>4.9627394570272001</v>
      </c>
      <c r="Q311" s="142">
        <f>(C$158-C$138)*(0.6*C$15)*('Product half-life and C flows'!L172/100)</f>
        <v>1.4691614082599505</v>
      </c>
      <c r="R311" s="142">
        <f>(C$158-C$138)*0.6*('Product half-life and C flows'!N172/100)</f>
        <v>9.3689591962299996</v>
      </c>
      <c r="S311" s="142">
        <f>(C$158-C$138)*0.6*('Product half-life and C flows'!P172/100)</f>
        <v>4.6797997983166804</v>
      </c>
      <c r="T311" s="142">
        <f t="shared" si="411"/>
        <v>0.83742200270817169</v>
      </c>
      <c r="U311" s="3"/>
      <c r="V311" s="142">
        <f t="shared" si="546"/>
        <v>3.4317015600969204E-2</v>
      </c>
      <c r="W311" s="142">
        <f t="shared" si="547"/>
        <v>0</v>
      </c>
      <c r="X311" s="142">
        <f t="shared" si="548"/>
        <v>7.7764117579468763</v>
      </c>
      <c r="Y311" s="142">
        <f t="shared" si="549"/>
        <v>4.9627394570272001</v>
      </c>
      <c r="Z311" s="142">
        <f t="shared" si="550"/>
        <v>1.9992201530022455</v>
      </c>
      <c r="AA311" s="142">
        <f t="shared" si="551"/>
        <v>9.0152333272386418</v>
      </c>
      <c r="AB311" s="142">
        <f t="shared" si="552"/>
        <v>4.5031135500692487</v>
      </c>
      <c r="AC311" s="142">
        <f t="shared" si="553"/>
        <v>1.1395554872112799</v>
      </c>
      <c r="AD311" s="115"/>
      <c r="AE311" s="142">
        <f t="shared" ref="AE311:AL311" si="589">V291</f>
        <v>6.8634031201938409E-2</v>
      </c>
      <c r="AF311" s="142">
        <f t="shared" si="589"/>
        <v>0</v>
      </c>
      <c r="AG311" s="142">
        <f t="shared" si="589"/>
        <v>7.7764117579468763</v>
      </c>
      <c r="AH311" s="142">
        <f t="shared" si="589"/>
        <v>4.9627394570272001</v>
      </c>
      <c r="AI311" s="142">
        <f t="shared" si="589"/>
        <v>2.7205187923525438</v>
      </c>
      <c r="AJ311" s="142">
        <f t="shared" si="589"/>
        <v>8.5338867019122109</v>
      </c>
      <c r="AK311" s="142">
        <f t="shared" si="589"/>
        <v>4.2626806702858175</v>
      </c>
      <c r="AL311" s="142">
        <f t="shared" si="589"/>
        <v>1.5506957116409499</v>
      </c>
      <c r="AM311" s="115"/>
      <c r="AN311" s="144">
        <f t="shared" ref="AN311:AU311" si="590">AE291</f>
        <v>0.13726806240387682</v>
      </c>
      <c r="AO311" s="144">
        <f t="shared" si="590"/>
        <v>0</v>
      </c>
      <c r="AP311" s="144">
        <f t="shared" si="590"/>
        <v>7.7764117579468763</v>
      </c>
      <c r="AQ311" s="144">
        <f t="shared" si="590"/>
        <v>4.9627394570272001</v>
      </c>
      <c r="AR311" s="144">
        <f t="shared" si="590"/>
        <v>3.7020547679198135</v>
      </c>
      <c r="AS311" s="144">
        <f t="shared" si="590"/>
        <v>7.8788750275503192</v>
      </c>
      <c r="AT311" s="144">
        <f t="shared" si="590"/>
        <v>3.9355020117633948</v>
      </c>
      <c r="AU311" s="144">
        <f t="shared" si="590"/>
        <v>2.1101712177142935</v>
      </c>
      <c r="AV311" s="115"/>
      <c r="AW311" s="144">
        <f t="shared" ref="AW311:BD311" si="591">AN291</f>
        <v>0.27453612480775363</v>
      </c>
      <c r="AX311" s="144">
        <f t="shared" si="591"/>
        <v>0</v>
      </c>
      <c r="AY311" s="144">
        <f t="shared" si="591"/>
        <v>7.7764117579468763</v>
      </c>
      <c r="AZ311" s="144">
        <f t="shared" si="591"/>
        <v>4.9627394570272001</v>
      </c>
      <c r="BA311" s="144">
        <f t="shared" si="591"/>
        <v>5.0377191082831567</v>
      </c>
      <c r="BB311" s="144">
        <f t="shared" si="591"/>
        <v>6.9875416910811827</v>
      </c>
      <c r="BC311" s="144">
        <f t="shared" si="591"/>
        <v>3.4902805649756155</v>
      </c>
      <c r="BD311" s="144">
        <f t="shared" si="591"/>
        <v>2.871499891721399</v>
      </c>
      <c r="BE311" s="17"/>
      <c r="BF311" s="142">
        <f t="shared" ref="BF311:BM311" si="592">AW291</f>
        <v>0.54907224961550738</v>
      </c>
      <c r="BG311" s="142">
        <f t="shared" si="592"/>
        <v>0</v>
      </c>
      <c r="BH311" s="142">
        <f t="shared" si="592"/>
        <v>7.7764117579468763</v>
      </c>
      <c r="BI311" s="142">
        <f t="shared" si="592"/>
        <v>4.9627394570272001</v>
      </c>
      <c r="BJ311" s="142">
        <f t="shared" si="592"/>
        <v>6.8552777862390979</v>
      </c>
      <c r="BK311" s="142">
        <f t="shared" si="592"/>
        <v>5.7746241999919183</v>
      </c>
      <c r="BL311" s="142">
        <f t="shared" si="592"/>
        <v>2.8844276723236346</v>
      </c>
      <c r="BM311" s="142">
        <f t="shared" si="592"/>
        <v>3.9075083381562856</v>
      </c>
      <c r="BN311" s="17"/>
      <c r="BO311" s="142">
        <f t="shared" ref="BO311:BV311" si="593">BF291</f>
        <v>1.0981444992310145</v>
      </c>
      <c r="BP311" s="142">
        <f t="shared" si="593"/>
        <v>0</v>
      </c>
      <c r="BQ311" s="142">
        <f t="shared" si="593"/>
        <v>7.7764117579468763</v>
      </c>
      <c r="BR311" s="142">
        <f t="shared" si="593"/>
        <v>4.9627394570272001</v>
      </c>
      <c r="BS311" s="142">
        <f t="shared" si="593"/>
        <v>9.3285934599317049</v>
      </c>
      <c r="BT311" s="142">
        <f t="shared" si="593"/>
        <v>4.1240982070810492</v>
      </c>
      <c r="BU311" s="142">
        <f t="shared" si="593"/>
        <v>2.0599891144260982</v>
      </c>
      <c r="BV311" s="142">
        <f t="shared" si="593"/>
        <v>5.3172982721610715</v>
      </c>
      <c r="BW311" s="17"/>
      <c r="BX311" s="142">
        <f t="shared" ref="BX311:CE311" si="594">BO291</f>
        <v>2.1962889984620291</v>
      </c>
      <c r="BY311" s="142">
        <f t="shared" si="594"/>
        <v>73.358745292829767</v>
      </c>
      <c r="BZ311" s="142">
        <f t="shared" si="594"/>
        <v>7.7764117579468763</v>
      </c>
      <c r="CA311" s="142">
        <f t="shared" si="594"/>
        <v>4.9627394570272001</v>
      </c>
      <c r="CB311" s="142">
        <f t="shared" si="594"/>
        <v>12.694256695967157</v>
      </c>
      <c r="CC311" s="142">
        <f t="shared" si="594"/>
        <v>1.8780789409000571</v>
      </c>
      <c r="CD311" s="142">
        <f t="shared" si="594"/>
        <v>0.93810136908094788</v>
      </c>
      <c r="CE311" s="142">
        <f t="shared" si="594"/>
        <v>7.2357263167012791</v>
      </c>
      <c r="CF311" s="17"/>
      <c r="CG311" s="17"/>
      <c r="CH311">
        <f t="shared" si="307"/>
        <v>153</v>
      </c>
      <c r="CI311" s="113">
        <f t="shared" si="308"/>
        <v>163.3030818996792</v>
      </c>
      <c r="CJ311" s="124">
        <f t="shared" ref="CJ311:CJ318" si="595">D311+M311+V311+AE311+AN311+AW311+BF311+BO311+BX311</f>
        <v>4.3754194891235736</v>
      </c>
      <c r="CK311" s="124">
        <f t="shared" si="581"/>
        <v>73.358745292829767</v>
      </c>
      <c r="CL311" s="124">
        <f t="shared" si="582"/>
        <v>68.271917220831824</v>
      </c>
      <c r="CM311" s="124">
        <f t="shared" si="583"/>
        <v>40.456126538009563</v>
      </c>
      <c r="CN311" s="124">
        <f t="shared" si="584"/>
        <v>43.806802171955667</v>
      </c>
      <c r="CO311" s="124">
        <f t="shared" si="585"/>
        <v>53.561297291985383</v>
      </c>
      <c r="CP311" s="124">
        <f t="shared" si="586"/>
        <v>26.75389475124144</v>
      </c>
      <c r="CQ311" s="124">
        <f t="shared" si="587"/>
        <v>26.313315371206656</v>
      </c>
      <c r="CR311" s="144">
        <f t="shared" si="417"/>
        <v>336.89751812718384</v>
      </c>
    </row>
    <row r="312" spans="1:96" ht="14">
      <c r="A312">
        <f t="shared" si="521"/>
        <v>154</v>
      </c>
      <c r="B312" s="19">
        <f t="shared" si="521"/>
        <v>234</v>
      </c>
      <c r="C312" s="26">
        <f t="shared" si="403"/>
        <v>163.39580984522976</v>
      </c>
      <c r="D312" s="26"/>
      <c r="E312" s="26"/>
      <c r="F312" s="141">
        <f t="shared" ref="F312:G312" si="596">F311</f>
        <v>6.0606231572568161</v>
      </c>
      <c r="G312" s="141">
        <f t="shared" si="596"/>
        <v>0.7542108817919595</v>
      </c>
      <c r="H312" s="140">
        <f>(H$118)*('Product half-life and C flows'!L213/100)</f>
        <v>0</v>
      </c>
      <c r="I312" s="140">
        <f>(($C$39*$C$118*0.28)*H$41)*('Product half-life and C flows'!N213/100)</f>
        <v>0</v>
      </c>
      <c r="J312" s="140">
        <f>(($C$39*$C$118*0.28)*H$41)*(+'Product half-life and C flows'!P213/100)</f>
        <v>0</v>
      </c>
      <c r="K312" s="141">
        <f t="shared" ref="K312:K318" si="597">K311</f>
        <v>1.3434381331919276</v>
      </c>
      <c r="L312" s="26"/>
      <c r="M312" s="142">
        <f>(C$158-C$138)*(0.4*D$14)*('Product half-life and C flows'!B173/100)</f>
        <v>1.6574026034628427E-2</v>
      </c>
      <c r="N312" s="85"/>
      <c r="O312" s="143">
        <f t="shared" si="537"/>
        <v>7.7764117579468763</v>
      </c>
      <c r="P312" s="142">
        <f t="shared" si="538"/>
        <v>4.9627394570272001</v>
      </c>
      <c r="Q312" s="142">
        <f>(C$158-C$138)*(0.6*C$15)*('Product half-life and C flows'!L173/100)</f>
        <v>1.4467049131554983</v>
      </c>
      <c r="R312" s="142">
        <f>(C$158-C$138)*0.6*('Product half-life and C flows'!N173/100)</f>
        <v>9.3839451639630376</v>
      </c>
      <c r="S312" s="142">
        <f>(C$158-C$138)*0.6*('Product half-life and C flows'!P173/100)</f>
        <v>4.6872852966848306</v>
      </c>
      <c r="T312" s="142">
        <f t="shared" si="411"/>
        <v>0.82462180049863398</v>
      </c>
      <c r="U312" s="3"/>
      <c r="V312" s="142">
        <f t="shared" si="546"/>
        <v>3.3148052069256861E-2</v>
      </c>
      <c r="W312" s="142">
        <f t="shared" si="547"/>
        <v>0</v>
      </c>
      <c r="X312" s="142">
        <f t="shared" si="548"/>
        <v>7.7764117579468763</v>
      </c>
      <c r="Y312" s="142">
        <f t="shared" si="549"/>
        <v>4.9627394570272001</v>
      </c>
      <c r="Z312" s="142">
        <f t="shared" si="550"/>
        <v>1.9686615790251423</v>
      </c>
      <c r="AA312" s="142">
        <f t="shared" si="551"/>
        <v>9.0356260822726959</v>
      </c>
      <c r="AB312" s="142">
        <f t="shared" si="552"/>
        <v>4.5132997413949498</v>
      </c>
      <c r="AC312" s="142">
        <f t="shared" si="553"/>
        <v>1.122137100044331</v>
      </c>
      <c r="AD312" s="115"/>
      <c r="AE312" s="142">
        <f t="shared" ref="AE312:AL312" si="598">V292</f>
        <v>6.6296104138513695E-2</v>
      </c>
      <c r="AF312" s="142">
        <f t="shared" si="598"/>
        <v>0</v>
      </c>
      <c r="AG312" s="142">
        <f t="shared" si="598"/>
        <v>7.7764117579468763</v>
      </c>
      <c r="AH312" s="142">
        <f t="shared" si="598"/>
        <v>4.9627394570272001</v>
      </c>
      <c r="AI312" s="142">
        <f t="shared" si="598"/>
        <v>2.6789349904649127</v>
      </c>
      <c r="AJ312" s="142">
        <f t="shared" si="598"/>
        <v>8.561636959038557</v>
      </c>
      <c r="AK312" s="142">
        <f t="shared" si="598"/>
        <v>4.2765419375816949</v>
      </c>
      <c r="AL312" s="142">
        <f t="shared" si="598"/>
        <v>1.5269929445650001</v>
      </c>
      <c r="AM312" s="115"/>
      <c r="AN312" s="144">
        <f t="shared" ref="AN312:AU312" si="599">AE292</f>
        <v>0.13259220827702739</v>
      </c>
      <c r="AO312" s="144">
        <f t="shared" si="599"/>
        <v>0</v>
      </c>
      <c r="AP312" s="144">
        <f t="shared" si="599"/>
        <v>7.7764117579468763</v>
      </c>
      <c r="AQ312" s="144">
        <f t="shared" si="599"/>
        <v>4.9627394570272001</v>
      </c>
      <c r="AR312" s="144">
        <f t="shared" si="599"/>
        <v>3.6454679461418928</v>
      </c>
      <c r="AS312" s="144">
        <f t="shared" si="599"/>
        <v>7.9166372999501187</v>
      </c>
      <c r="AT312" s="144">
        <f t="shared" si="599"/>
        <v>3.954364285689369</v>
      </c>
      <c r="AU312" s="144">
        <f t="shared" si="599"/>
        <v>2.0779167293008789</v>
      </c>
      <c r="AV312" s="115"/>
      <c r="AW312" s="144">
        <f t="shared" ref="AW312:BD312" si="600">AN292</f>
        <v>0.26518441655405484</v>
      </c>
      <c r="AX312" s="144">
        <f t="shared" si="600"/>
        <v>0</v>
      </c>
      <c r="AY312" s="144">
        <f t="shared" si="600"/>
        <v>7.7764117579468763</v>
      </c>
      <c r="AZ312" s="144">
        <f t="shared" si="600"/>
        <v>4.9627394570272001</v>
      </c>
      <c r="BA312" s="144">
        <f t="shared" si="600"/>
        <v>4.9607163270661125</v>
      </c>
      <c r="BB312" s="144">
        <f t="shared" si="600"/>
        <v>7.03892821374669</v>
      </c>
      <c r="BC312" s="144">
        <f t="shared" si="600"/>
        <v>3.5159481587146297</v>
      </c>
      <c r="BD312" s="144">
        <f t="shared" si="600"/>
        <v>2.8276083064276838</v>
      </c>
      <c r="BE312" s="17"/>
      <c r="BF312" s="142">
        <f t="shared" ref="BF312:BM312" si="601">AW292</f>
        <v>0.53036883310810956</v>
      </c>
      <c r="BG312" s="142">
        <f t="shared" si="601"/>
        <v>0</v>
      </c>
      <c r="BH312" s="142">
        <f t="shared" si="601"/>
        <v>7.7764117579468763</v>
      </c>
      <c r="BI312" s="142">
        <f t="shared" si="601"/>
        <v>4.9627394570272001</v>
      </c>
      <c r="BJ312" s="142">
        <f t="shared" si="601"/>
        <v>6.7504931715733285</v>
      </c>
      <c r="BK312" s="142">
        <f t="shared" si="601"/>
        <v>5.8445504661788741</v>
      </c>
      <c r="BL312" s="142">
        <f t="shared" si="601"/>
        <v>2.9193558772122241</v>
      </c>
      <c r="BM312" s="142">
        <f t="shared" si="601"/>
        <v>3.8477811077967967</v>
      </c>
      <c r="BN312" s="17"/>
      <c r="BO312" s="142">
        <f t="shared" ref="BO312:BV312" si="602">BF292</f>
        <v>1.0607376662162191</v>
      </c>
      <c r="BP312" s="142">
        <f t="shared" si="602"/>
        <v>0</v>
      </c>
      <c r="BQ312" s="142">
        <f t="shared" si="602"/>
        <v>7.7764117579468763</v>
      </c>
      <c r="BR312" s="142">
        <f t="shared" si="602"/>
        <v>4.9627394570272001</v>
      </c>
      <c r="BS312" s="142">
        <f t="shared" si="602"/>
        <v>9.1860036041224014</v>
      </c>
      <c r="BT312" s="142">
        <f t="shared" si="602"/>
        <v>4.2192531708577921</v>
      </c>
      <c r="BU312" s="142">
        <f t="shared" si="602"/>
        <v>2.1075190663625332</v>
      </c>
      <c r="BV312" s="142">
        <f t="shared" si="602"/>
        <v>5.2360220543497684</v>
      </c>
      <c r="BW312" s="17"/>
      <c r="BX312" s="142">
        <f t="shared" ref="BX312:CE312" si="603">BO292</f>
        <v>2.1214753324324382</v>
      </c>
      <c r="BY312" s="142">
        <f t="shared" si="603"/>
        <v>75.081918715408662</v>
      </c>
      <c r="BZ312" s="142">
        <f t="shared" si="603"/>
        <v>7.7764117579468763</v>
      </c>
      <c r="CA312" s="142">
        <f t="shared" si="603"/>
        <v>4.9627394570272001</v>
      </c>
      <c r="CB312" s="142">
        <f t="shared" si="603"/>
        <v>12.500221846055549</v>
      </c>
      <c r="CC312" s="142">
        <f t="shared" si="603"/>
        <v>2.0075648640744035</v>
      </c>
      <c r="CD312" s="142">
        <f t="shared" si="603"/>
        <v>1.0027796523848169</v>
      </c>
      <c r="CE312" s="142">
        <f t="shared" si="603"/>
        <v>7.1251264522516626</v>
      </c>
      <c r="CF312" s="17"/>
      <c r="CG312" s="17"/>
      <c r="CH312">
        <f t="shared" si="307"/>
        <v>154</v>
      </c>
      <c r="CI312" s="113">
        <f t="shared" si="308"/>
        <v>163.39580984522976</v>
      </c>
      <c r="CJ312" s="124">
        <f t="shared" si="595"/>
        <v>4.2263766388302484</v>
      </c>
      <c r="CK312" s="124">
        <f t="shared" si="581"/>
        <v>75.081918715408662</v>
      </c>
      <c r="CL312" s="124">
        <f t="shared" si="582"/>
        <v>68.271917220831824</v>
      </c>
      <c r="CM312" s="124">
        <f t="shared" si="583"/>
        <v>40.456126538009563</v>
      </c>
      <c r="CN312" s="124">
        <f t="shared" si="584"/>
        <v>43.137204377604839</v>
      </c>
      <c r="CO312" s="124">
        <f t="shared" si="585"/>
        <v>54.008142220082163</v>
      </c>
      <c r="CP312" s="124">
        <f t="shared" si="586"/>
        <v>26.977094016025049</v>
      </c>
      <c r="CQ312" s="124">
        <f t="shared" si="587"/>
        <v>25.931644628426685</v>
      </c>
      <c r="CR312" s="144">
        <f t="shared" si="417"/>
        <v>338.090424355219</v>
      </c>
    </row>
    <row r="313" spans="1:96" ht="14">
      <c r="A313">
        <f t="shared" si="521"/>
        <v>155</v>
      </c>
      <c r="B313" s="19">
        <f t="shared" si="521"/>
        <v>235</v>
      </c>
      <c r="C313" s="26">
        <f t="shared" si="403"/>
        <v>163.48673571452642</v>
      </c>
      <c r="D313" s="26"/>
      <c r="E313" s="26"/>
      <c r="F313" s="141">
        <f t="shared" ref="F313:G313" si="604">F312</f>
        <v>6.0606231572568161</v>
      </c>
      <c r="G313" s="141">
        <f t="shared" si="604"/>
        <v>0.7542108817919595</v>
      </c>
      <c r="H313" s="140">
        <f>(H$118)*('Product half-life and C flows'!L214/100)</f>
        <v>0</v>
      </c>
      <c r="I313" s="140">
        <f>(($C$39*$C$118*0.28)*H$41)*('Product half-life and C flows'!N214/100)</f>
        <v>0</v>
      </c>
      <c r="J313" s="140">
        <f>(($C$39*$C$118*0.28)*H$41)*(+'Product half-life and C flows'!P214/100)</f>
        <v>0</v>
      </c>
      <c r="K313" s="141">
        <f t="shared" si="597"/>
        <v>1.3434381331919276</v>
      </c>
      <c r="L313" s="26"/>
      <c r="M313" s="142">
        <f>(C$158-C$138)*(0.4*D$14)*('Product half-life and C flows'!B174/100)</f>
        <v>1.600945386339379E-2</v>
      </c>
      <c r="N313" s="85"/>
      <c r="O313" s="143">
        <f t="shared" si="537"/>
        <v>7.7764117579468763</v>
      </c>
      <c r="P313" s="142">
        <f t="shared" si="538"/>
        <v>4.9627394570272001</v>
      </c>
      <c r="Q313" s="142">
        <f>(C$158-C$138)*(0.6*C$15)*('Product half-life and C flows'!L174/100)</f>
        <v>1.4245916711269437</v>
      </c>
      <c r="R313" s="142">
        <f>(C$158-C$138)*0.6*('Product half-life and C flows'!N174/100)</f>
        <v>9.3987020674767585</v>
      </c>
      <c r="S313" s="142">
        <f>(C$158-C$138)*0.6*('Product half-life and C flows'!P174/100)</f>
        <v>4.6946563773610155</v>
      </c>
      <c r="T313" s="142">
        <f t="shared" si="411"/>
        <v>0.8120172525423579</v>
      </c>
      <c r="U313" s="3"/>
      <c r="V313" s="142">
        <f t="shared" si="546"/>
        <v>3.2018907726787581E-2</v>
      </c>
      <c r="W313" s="142">
        <f t="shared" si="547"/>
        <v>0</v>
      </c>
      <c r="X313" s="142">
        <f t="shared" si="548"/>
        <v>7.7764117579468763</v>
      </c>
      <c r="Y313" s="142">
        <f t="shared" si="549"/>
        <v>4.9627394570272001</v>
      </c>
      <c r="Z313" s="142">
        <f t="shared" si="550"/>
        <v>1.9385701004012501</v>
      </c>
      <c r="AA313" s="142">
        <f t="shared" si="551"/>
        <v>9.0557071290077076</v>
      </c>
      <c r="AB313" s="142">
        <f t="shared" si="552"/>
        <v>4.5233302342695811</v>
      </c>
      <c r="AC313" s="142">
        <f t="shared" si="553"/>
        <v>1.1049849572287125</v>
      </c>
      <c r="AD313" s="115"/>
      <c r="AE313" s="142">
        <f t="shared" ref="AE313:AL313" si="605">V293</f>
        <v>6.4037815453575175E-2</v>
      </c>
      <c r="AF313" s="142">
        <f t="shared" si="605"/>
        <v>0</v>
      </c>
      <c r="AG313" s="142">
        <f t="shared" si="605"/>
        <v>7.7764117579468763</v>
      </c>
      <c r="AH313" s="142">
        <f t="shared" si="605"/>
        <v>4.9627394570272001</v>
      </c>
      <c r="AI313" s="142">
        <f t="shared" si="605"/>
        <v>2.6379868072630592</v>
      </c>
      <c r="AJ313" s="142">
        <f t="shared" si="605"/>
        <v>8.5889630466285922</v>
      </c>
      <c r="AK313" s="142">
        <f t="shared" si="605"/>
        <v>4.290191331982312</v>
      </c>
      <c r="AL313" s="142">
        <f t="shared" si="605"/>
        <v>1.5036524801399436</v>
      </c>
      <c r="AM313" s="115"/>
      <c r="AN313" s="144">
        <f t="shared" ref="AN313:AU313" si="606">AE293</f>
        <v>0.12807563090715035</v>
      </c>
      <c r="AO313" s="144">
        <f t="shared" si="606"/>
        <v>0</v>
      </c>
      <c r="AP313" s="144">
        <f t="shared" si="606"/>
        <v>7.7764117579468763</v>
      </c>
      <c r="AQ313" s="144">
        <f t="shared" si="606"/>
        <v>4.9627394570272001</v>
      </c>
      <c r="AR313" s="144">
        <f t="shared" si="606"/>
        <v>3.5897460679155024</v>
      </c>
      <c r="AS313" s="144">
        <f t="shared" si="606"/>
        <v>7.9538223666865298</v>
      </c>
      <c r="AT313" s="144">
        <f t="shared" si="606"/>
        <v>3.9729382450981658</v>
      </c>
      <c r="AU313" s="144">
        <f t="shared" si="606"/>
        <v>2.0461552587118361</v>
      </c>
      <c r="AV313" s="115"/>
      <c r="AW313" s="144">
        <f t="shared" ref="AW313:BD313" si="607">AN293</f>
        <v>0.25615126181430076</v>
      </c>
      <c r="AX313" s="144">
        <f t="shared" si="607"/>
        <v>0</v>
      </c>
      <c r="AY313" s="144">
        <f t="shared" si="607"/>
        <v>7.7764117579468763</v>
      </c>
      <c r="AZ313" s="144">
        <f t="shared" si="607"/>
        <v>4.9627394570272001</v>
      </c>
      <c r="BA313" s="144">
        <f t="shared" si="607"/>
        <v>4.8848905523847055</v>
      </c>
      <c r="BB313" s="144">
        <f t="shared" si="607"/>
        <v>7.0895292807174144</v>
      </c>
      <c r="BC313" s="144">
        <f t="shared" si="607"/>
        <v>3.5412234169417656</v>
      </c>
      <c r="BD313" s="144">
        <f t="shared" si="607"/>
        <v>2.7843876148592819</v>
      </c>
      <c r="BE313" s="17"/>
      <c r="BF313" s="142">
        <f t="shared" ref="BF313:BM313" si="608">AW293</f>
        <v>0.5123025236286014</v>
      </c>
      <c r="BG313" s="142">
        <f t="shared" si="608"/>
        <v>0</v>
      </c>
      <c r="BH313" s="142">
        <f t="shared" si="608"/>
        <v>7.7764117579468763</v>
      </c>
      <c r="BI313" s="142">
        <f t="shared" si="608"/>
        <v>4.9627394570272001</v>
      </c>
      <c r="BJ313" s="142">
        <f t="shared" si="608"/>
        <v>6.6473102156313946</v>
      </c>
      <c r="BK313" s="142">
        <f t="shared" si="608"/>
        <v>5.9134078921107918</v>
      </c>
      <c r="BL313" s="142">
        <f t="shared" si="608"/>
        <v>2.9537501958595356</v>
      </c>
      <c r="BM313" s="142">
        <f t="shared" si="608"/>
        <v>3.7889668229098947</v>
      </c>
      <c r="BN313" s="17"/>
      <c r="BO313" s="142">
        <f t="shared" ref="BO313:BV313" si="609">BF293</f>
        <v>1.024605047257203</v>
      </c>
      <c r="BP313" s="142">
        <f t="shared" si="609"/>
        <v>0</v>
      </c>
      <c r="BQ313" s="142">
        <f t="shared" si="609"/>
        <v>7.7764117579468763</v>
      </c>
      <c r="BR313" s="142">
        <f t="shared" si="609"/>
        <v>4.9627394570272001</v>
      </c>
      <c r="BS313" s="142">
        <f t="shared" si="609"/>
        <v>9.0455932694881849</v>
      </c>
      <c r="BT313" s="142">
        <f t="shared" si="609"/>
        <v>4.3129536675036926</v>
      </c>
      <c r="BU313" s="142">
        <f t="shared" si="609"/>
        <v>2.1543225112406055</v>
      </c>
      <c r="BV313" s="142">
        <f t="shared" si="609"/>
        <v>5.1559881636082645</v>
      </c>
      <c r="BW313" s="17"/>
      <c r="BX313" s="142">
        <f t="shared" ref="BX313:CE313" si="610">BO293</f>
        <v>2.0492100945144056</v>
      </c>
      <c r="BY313" s="142">
        <f t="shared" si="610"/>
        <v>76.805092137987558</v>
      </c>
      <c r="BZ313" s="142">
        <f t="shared" si="610"/>
        <v>7.7764117579468763</v>
      </c>
      <c r="CA313" s="142">
        <f t="shared" si="610"/>
        <v>4.9627394570272001</v>
      </c>
      <c r="CB313" s="142">
        <f t="shared" si="610"/>
        <v>12.309152866764171</v>
      </c>
      <c r="CC313" s="142">
        <f t="shared" si="610"/>
        <v>2.1350715629215169</v>
      </c>
      <c r="CD313" s="142">
        <f t="shared" si="610"/>
        <v>1.0664693121486097</v>
      </c>
      <c r="CE313" s="142">
        <f t="shared" si="610"/>
        <v>7.0162171340555766</v>
      </c>
      <c r="CF313" s="17"/>
      <c r="CG313" s="17"/>
      <c r="CH313">
        <f t="shared" si="307"/>
        <v>155</v>
      </c>
      <c r="CI313" s="113">
        <f t="shared" si="308"/>
        <v>163.48673571452642</v>
      </c>
      <c r="CJ313" s="124">
        <f t="shared" si="595"/>
        <v>4.0824107351654177</v>
      </c>
      <c r="CK313" s="124">
        <f t="shared" si="581"/>
        <v>76.805092137987558</v>
      </c>
      <c r="CL313" s="124">
        <f t="shared" si="582"/>
        <v>68.271917220831824</v>
      </c>
      <c r="CM313" s="124">
        <f t="shared" si="583"/>
        <v>40.456126538009563</v>
      </c>
      <c r="CN313" s="124">
        <f t="shared" si="584"/>
        <v>42.477841550975214</v>
      </c>
      <c r="CO313" s="124">
        <f t="shared" si="585"/>
        <v>54.448157013052999</v>
      </c>
      <c r="CP313" s="124">
        <f t="shared" si="586"/>
        <v>27.196881624901586</v>
      </c>
      <c r="CQ313" s="124">
        <f t="shared" si="587"/>
        <v>25.555807817247796</v>
      </c>
      <c r="CR313" s="144">
        <f t="shared" si="417"/>
        <v>339.29423463817199</v>
      </c>
    </row>
    <row r="314" spans="1:96" ht="14">
      <c r="A314">
        <f t="shared" si="521"/>
        <v>156</v>
      </c>
      <c r="B314" s="19">
        <f t="shared" si="521"/>
        <v>236</v>
      </c>
      <c r="C314" s="26">
        <f t="shared" si="403"/>
        <v>163.57589386162428</v>
      </c>
      <c r="D314" s="26"/>
      <c r="E314" s="26"/>
      <c r="F314" s="141">
        <f t="shared" ref="F314:G314" si="611">F313</f>
        <v>6.0606231572568161</v>
      </c>
      <c r="G314" s="141">
        <f t="shared" si="611"/>
        <v>0.7542108817919595</v>
      </c>
      <c r="H314" s="140">
        <f>(H$118)*('Product half-life and C flows'!L215/100)</f>
        <v>0</v>
      </c>
      <c r="I314" s="140">
        <f>(($C$39*$C$118*0.28)*H$41)*('Product half-life and C flows'!N215/100)</f>
        <v>0</v>
      </c>
      <c r="J314" s="140">
        <f>(($C$39*$C$118*0.28)*H$41)*(+'Product half-life and C flows'!P215/100)</f>
        <v>0</v>
      </c>
      <c r="K314" s="141">
        <f t="shared" si="597"/>
        <v>1.3434381331919276</v>
      </c>
      <c r="L314" s="26"/>
      <c r="M314" s="142">
        <f>(C$158-C$138)*(0.4*D$14)*('Product half-life and C flows'!B175/100)</f>
        <v>1.5464113092898291E-2</v>
      </c>
      <c r="N314" s="85"/>
      <c r="O314" s="143">
        <f t="shared" si="537"/>
        <v>7.7764117579468763</v>
      </c>
      <c r="P314" s="142">
        <f t="shared" si="538"/>
        <v>4.9627394570272001</v>
      </c>
      <c r="Q314" s="142">
        <f>(C$158-C$138)*(0.6*C$15)*('Product half-life and C flows'!L175/100)</f>
        <v>1.4028164354662171</v>
      </c>
      <c r="R314" s="142">
        <f>(C$158-C$138)*0.6*('Product half-life and C flows'!N175/100)</f>
        <v>9.4132334080743494</v>
      </c>
      <c r="S314" s="142">
        <f>(C$158-C$138)*0.6*('Product half-life and C flows'!P175/100)</f>
        <v>4.7019147892479243</v>
      </c>
      <c r="T314" s="142">
        <f t="shared" si="411"/>
        <v>0.79960536821574368</v>
      </c>
      <c r="U314" s="3"/>
      <c r="V314" s="142">
        <f t="shared" si="546"/>
        <v>3.0928226185796583E-2</v>
      </c>
      <c r="W314" s="142">
        <f t="shared" si="547"/>
        <v>0</v>
      </c>
      <c r="X314" s="142">
        <f t="shared" si="548"/>
        <v>7.7764117579468763</v>
      </c>
      <c r="Y314" s="142">
        <f t="shared" si="549"/>
        <v>4.9627394570272001</v>
      </c>
      <c r="Z314" s="142">
        <f t="shared" si="550"/>
        <v>1.908938577462693</v>
      </c>
      <c r="AA314" s="142">
        <f t="shared" si="551"/>
        <v>9.075481231982037</v>
      </c>
      <c r="AB314" s="142">
        <f t="shared" si="552"/>
        <v>4.5332074085824328</v>
      </c>
      <c r="AC314" s="142">
        <f t="shared" si="553"/>
        <v>1.088094989153735</v>
      </c>
      <c r="AD314" s="115"/>
      <c r="AE314" s="142">
        <f t="shared" ref="AE314:AL314" si="612">V294</f>
        <v>6.1856452371593179E-2</v>
      </c>
      <c r="AF314" s="142">
        <f t="shared" si="612"/>
        <v>0</v>
      </c>
      <c r="AG314" s="142">
        <f t="shared" si="612"/>
        <v>7.7764117579468763</v>
      </c>
      <c r="AH314" s="142">
        <f t="shared" si="612"/>
        <v>4.9627394570272001</v>
      </c>
      <c r="AI314" s="142">
        <f t="shared" si="612"/>
        <v>2.5976645271583321</v>
      </c>
      <c r="AJ314" s="142">
        <f t="shared" si="612"/>
        <v>8.6158714482184813</v>
      </c>
      <c r="AK314" s="142">
        <f t="shared" si="612"/>
        <v>4.3036320920172217</v>
      </c>
      <c r="AL314" s="142">
        <f t="shared" si="612"/>
        <v>1.4806687804802492</v>
      </c>
      <c r="AM314" s="115"/>
      <c r="AN314" s="144">
        <f t="shared" ref="AN314:AU314" si="613">AE294</f>
        <v>0.1237129047431863</v>
      </c>
      <c r="AO314" s="144">
        <f t="shared" si="613"/>
        <v>0</v>
      </c>
      <c r="AP314" s="144">
        <f t="shared" si="613"/>
        <v>7.7764117579468763</v>
      </c>
      <c r="AQ314" s="144">
        <f t="shared" si="613"/>
        <v>4.9627394570272001</v>
      </c>
      <c r="AR314" s="144">
        <f t="shared" si="613"/>
        <v>3.5348759123647602</v>
      </c>
      <c r="AS314" s="144">
        <f t="shared" si="613"/>
        <v>7.990439050490723</v>
      </c>
      <c r="AT314" s="144">
        <f t="shared" si="613"/>
        <v>3.9912282969484125</v>
      </c>
      <c r="AU314" s="144">
        <f t="shared" si="613"/>
        <v>2.014879270047913</v>
      </c>
      <c r="AV314" s="115"/>
      <c r="AW314" s="144">
        <f t="shared" ref="AW314:BD314" si="614">AN294</f>
        <v>0.24742580948637261</v>
      </c>
      <c r="AX314" s="144">
        <f t="shared" si="614"/>
        <v>0</v>
      </c>
      <c r="AY314" s="144">
        <f t="shared" si="614"/>
        <v>7.7764117579468763</v>
      </c>
      <c r="AZ314" s="144">
        <f t="shared" si="614"/>
        <v>4.9627394570272001</v>
      </c>
      <c r="BA314" s="144">
        <f t="shared" si="614"/>
        <v>4.8102237934032424</v>
      </c>
      <c r="BB314" s="144">
        <f t="shared" si="614"/>
        <v>7.1393568978777102</v>
      </c>
      <c r="BC314" s="144">
        <f t="shared" si="614"/>
        <v>3.5661123366022531</v>
      </c>
      <c r="BD314" s="144">
        <f t="shared" si="614"/>
        <v>2.7418275622398478</v>
      </c>
      <c r="BE314" s="17"/>
      <c r="BF314" s="142">
        <f t="shared" ref="BF314:BM314" si="615">AW294</f>
        <v>0.49485161897274532</v>
      </c>
      <c r="BG314" s="142">
        <f t="shared" si="615"/>
        <v>0</v>
      </c>
      <c r="BH314" s="142">
        <f t="shared" si="615"/>
        <v>7.7764117579468763</v>
      </c>
      <c r="BI314" s="142">
        <f t="shared" si="615"/>
        <v>4.9627394570272001</v>
      </c>
      <c r="BJ314" s="142">
        <f t="shared" si="615"/>
        <v>6.5457044366639909</v>
      </c>
      <c r="BK314" s="142">
        <f t="shared" si="615"/>
        <v>5.9812128152750397</v>
      </c>
      <c r="BL314" s="142">
        <f t="shared" si="615"/>
        <v>2.9876187888486698</v>
      </c>
      <c r="BM314" s="142">
        <f t="shared" si="615"/>
        <v>3.7310515288984747</v>
      </c>
      <c r="BN314" s="17"/>
      <c r="BO314" s="142">
        <f t="shared" ref="BO314:BV314" si="616">BF294</f>
        <v>0.98970323794549042</v>
      </c>
      <c r="BP314" s="142">
        <f t="shared" si="616"/>
        <v>0</v>
      </c>
      <c r="BQ314" s="142">
        <f t="shared" si="616"/>
        <v>7.7764117579468763</v>
      </c>
      <c r="BR314" s="142">
        <f t="shared" si="616"/>
        <v>4.9627394570272001</v>
      </c>
      <c r="BS314" s="142">
        <f t="shared" si="616"/>
        <v>8.9073291415094129</v>
      </c>
      <c r="BT314" s="142">
        <f t="shared" si="616"/>
        <v>4.4052219289081931</v>
      </c>
      <c r="BU314" s="142">
        <f t="shared" si="616"/>
        <v>2.2004105539001961</v>
      </c>
      <c r="BV314" s="142">
        <f t="shared" si="616"/>
        <v>5.0771776106603648</v>
      </c>
      <c r="BW314" s="17"/>
      <c r="BX314" s="142">
        <f t="shared" ref="BX314:CE314" si="617">BO294</f>
        <v>1.9794064758909808</v>
      </c>
      <c r="BY314" s="142">
        <f t="shared" si="617"/>
        <v>78.528265560566453</v>
      </c>
      <c r="BZ314" s="142">
        <f t="shared" si="617"/>
        <v>7.7764117579468763</v>
      </c>
      <c r="CA314" s="142">
        <f t="shared" si="617"/>
        <v>4.9627394570272001</v>
      </c>
      <c r="CB314" s="142">
        <f t="shared" si="617"/>
        <v>12.121004424027827</v>
      </c>
      <c r="CC314" s="142">
        <f t="shared" si="617"/>
        <v>2.2606292903742373</v>
      </c>
      <c r="CD314" s="142">
        <f t="shared" si="617"/>
        <v>1.1291854597273911</v>
      </c>
      <c r="CE314" s="142">
        <f t="shared" si="617"/>
        <v>6.9089725216958611</v>
      </c>
      <c r="CF314" s="17"/>
      <c r="CG314" s="17"/>
      <c r="CH314">
        <f t="shared" si="307"/>
        <v>156</v>
      </c>
      <c r="CI314" s="113">
        <f t="shared" si="308"/>
        <v>163.57589386162428</v>
      </c>
      <c r="CJ314" s="124">
        <f t="shared" si="595"/>
        <v>3.9433488386890634</v>
      </c>
      <c r="CK314" s="124">
        <f t="shared" si="581"/>
        <v>78.528265560566453</v>
      </c>
      <c r="CL314" s="124">
        <f t="shared" si="582"/>
        <v>68.271917220831824</v>
      </c>
      <c r="CM314" s="124">
        <f t="shared" si="583"/>
        <v>40.456126538009563</v>
      </c>
      <c r="CN314" s="124">
        <f t="shared" si="584"/>
        <v>41.828557248056484</v>
      </c>
      <c r="CO314" s="124">
        <f t="shared" si="585"/>
        <v>54.88144607120077</v>
      </c>
      <c r="CP314" s="124">
        <f t="shared" si="586"/>
        <v>27.413309725874502</v>
      </c>
      <c r="CQ314" s="124">
        <f t="shared" si="587"/>
        <v>25.185715764584117</v>
      </c>
      <c r="CR314" s="144">
        <f t="shared" si="417"/>
        <v>340.50868696781276</v>
      </c>
    </row>
    <row r="315" spans="1:96" ht="14">
      <c r="A315">
        <f t="shared" si="521"/>
        <v>157</v>
      </c>
      <c r="B315" s="19">
        <f t="shared" si="521"/>
        <v>237</v>
      </c>
      <c r="C315" s="26">
        <f t="shared" si="403"/>
        <v>163.66331801209776</v>
      </c>
      <c r="D315" s="26"/>
      <c r="E315" s="26"/>
      <c r="F315" s="141">
        <f t="shared" ref="F315:G315" si="618">F314</f>
        <v>6.0606231572568161</v>
      </c>
      <c r="G315" s="141">
        <f t="shared" si="618"/>
        <v>0.7542108817919595</v>
      </c>
      <c r="H315" s="140">
        <f>(H$118)*('Product half-life and C flows'!L216/100)</f>
        <v>0</v>
      </c>
      <c r="I315" s="140">
        <f>(($C$39*$C$118*0.28)*H$41)*('Product half-life and C flows'!N216/100)</f>
        <v>0</v>
      </c>
      <c r="J315" s="140">
        <f>(($C$39*$C$118*0.28)*H$41)*(+'Product half-life and C flows'!P216/100)</f>
        <v>0</v>
      </c>
      <c r="K315" s="141">
        <f t="shared" si="597"/>
        <v>1.3434381331919276</v>
      </c>
      <c r="L315" s="26"/>
      <c r="M315" s="142">
        <f>(C$158-C$138)*(0.4*D$14)*('Product half-life and C flows'!B176/100)</f>
        <v>1.4937348631032821E-2</v>
      </c>
      <c r="N315" s="85"/>
      <c r="O315" s="143">
        <f t="shared" si="537"/>
        <v>7.7764117579468763</v>
      </c>
      <c r="P315" s="142">
        <f t="shared" si="538"/>
        <v>4.9627394570272001</v>
      </c>
      <c r="Q315" s="142">
        <f>(C$158-C$138)*(0.6*C$15)*('Product half-life and C flows'!L176/100)</f>
        <v>1.3813740396624754</v>
      </c>
      <c r="R315" s="142">
        <f>(C$158-C$138)*0.6*('Product half-life and C flows'!N176/100)</f>
        <v>9.427542633540714</v>
      </c>
      <c r="S315" s="142">
        <f>(C$158-C$138)*0.6*('Product half-life and C flows'!P176/100)</f>
        <v>4.709062254515838</v>
      </c>
      <c r="T315" s="142">
        <f t="shared" si="411"/>
        <v>0.78738320260761097</v>
      </c>
      <c r="U315" s="3"/>
      <c r="V315" s="142">
        <f t="shared" si="546"/>
        <v>2.9874697262065642E-2</v>
      </c>
      <c r="W315" s="142">
        <f t="shared" si="547"/>
        <v>0</v>
      </c>
      <c r="X315" s="142">
        <f t="shared" si="548"/>
        <v>7.7764117579468763</v>
      </c>
      <c r="Y315" s="142">
        <f t="shared" si="549"/>
        <v>4.9627394570272001</v>
      </c>
      <c r="Z315" s="142">
        <f t="shared" si="550"/>
        <v>1.8797599796731805</v>
      </c>
      <c r="AA315" s="142">
        <f t="shared" si="551"/>
        <v>9.0949530829069065</v>
      </c>
      <c r="AB315" s="142">
        <f t="shared" si="552"/>
        <v>4.5429336078456029</v>
      </c>
      <c r="AC315" s="142">
        <f t="shared" si="553"/>
        <v>1.0714631884137129</v>
      </c>
      <c r="AD315" s="115"/>
      <c r="AE315" s="142">
        <f t="shared" ref="AE315:AL315" si="619">V295</f>
        <v>5.9749394524131291E-2</v>
      </c>
      <c r="AF315" s="142">
        <f t="shared" si="619"/>
        <v>0</v>
      </c>
      <c r="AG315" s="142">
        <f t="shared" si="619"/>
        <v>7.7764117579468763</v>
      </c>
      <c r="AH315" s="142">
        <f t="shared" si="619"/>
        <v>4.9627394570272001</v>
      </c>
      <c r="AI315" s="142">
        <f t="shared" si="619"/>
        <v>2.5579585830672533</v>
      </c>
      <c r="AJ315" s="142">
        <f t="shared" si="619"/>
        <v>8.6423685482419277</v>
      </c>
      <c r="AK315" s="142">
        <f t="shared" si="619"/>
        <v>4.3168674067142483</v>
      </c>
      <c r="AL315" s="142">
        <f t="shared" si="619"/>
        <v>1.4580363923483344</v>
      </c>
      <c r="AM315" s="115"/>
      <c r="AN315" s="144">
        <f t="shared" ref="AN315:AU315" si="620">AE295</f>
        <v>0.11949878904826254</v>
      </c>
      <c r="AO315" s="144">
        <f t="shared" si="620"/>
        <v>0</v>
      </c>
      <c r="AP315" s="144">
        <f t="shared" si="620"/>
        <v>7.7764117579468763</v>
      </c>
      <c r="AQ315" s="144">
        <f t="shared" si="620"/>
        <v>4.9627394570272001</v>
      </c>
      <c r="AR315" s="144">
        <f t="shared" si="620"/>
        <v>3.4808444606981377</v>
      </c>
      <c r="AS315" s="144">
        <f t="shared" si="620"/>
        <v>8.0264960392362497</v>
      </c>
      <c r="AT315" s="144">
        <f t="shared" si="620"/>
        <v>4.0092387808372871</v>
      </c>
      <c r="AU315" s="144">
        <f t="shared" si="620"/>
        <v>1.9840813425979382</v>
      </c>
      <c r="AV315" s="115"/>
      <c r="AW315" s="144">
        <f t="shared" ref="AW315:BD315" si="621">AN295</f>
        <v>0.23899757809652497</v>
      </c>
      <c r="AX315" s="144">
        <f t="shared" si="621"/>
        <v>0</v>
      </c>
      <c r="AY315" s="144">
        <f t="shared" si="621"/>
        <v>7.7764117579468763</v>
      </c>
      <c r="AZ315" s="144">
        <f t="shared" si="621"/>
        <v>4.9627394570272001</v>
      </c>
      <c r="BA315" s="144">
        <f t="shared" si="621"/>
        <v>4.7366983342803968</v>
      </c>
      <c r="BB315" s="144">
        <f t="shared" si="621"/>
        <v>7.1884228875990228</v>
      </c>
      <c r="BC315" s="144">
        <f t="shared" si="621"/>
        <v>3.5906208229765353</v>
      </c>
      <c r="BD315" s="144">
        <f t="shared" si="621"/>
        <v>2.6999180505398259</v>
      </c>
      <c r="BE315" s="17"/>
      <c r="BF315" s="142">
        <f t="shared" ref="BF315:BM315" si="622">AW295</f>
        <v>0.47799515619304994</v>
      </c>
      <c r="BG315" s="142">
        <f t="shared" si="622"/>
        <v>0</v>
      </c>
      <c r="BH315" s="142">
        <f t="shared" si="622"/>
        <v>7.7764117579468763</v>
      </c>
      <c r="BI315" s="142">
        <f t="shared" si="622"/>
        <v>4.9627394570272001</v>
      </c>
      <c r="BJ315" s="142">
        <f t="shared" si="622"/>
        <v>6.4456517271313922</v>
      </c>
      <c r="BK315" s="142">
        <f t="shared" si="622"/>
        <v>6.0479813234364608</v>
      </c>
      <c r="BL315" s="142">
        <f t="shared" si="622"/>
        <v>3.020969692026203</v>
      </c>
      <c r="BM315" s="142">
        <f t="shared" si="622"/>
        <v>3.6740214844648933</v>
      </c>
      <c r="BN315" s="17"/>
      <c r="BO315" s="142">
        <f t="shared" ref="BO315:BV315" si="623">BF295</f>
        <v>0.95599031238609988</v>
      </c>
      <c r="BP315" s="142">
        <f t="shared" si="623"/>
        <v>0</v>
      </c>
      <c r="BQ315" s="142">
        <f t="shared" si="623"/>
        <v>7.7764117579468763</v>
      </c>
      <c r="BR315" s="142">
        <f t="shared" si="623"/>
        <v>4.9627394570272001</v>
      </c>
      <c r="BS315" s="142">
        <f t="shared" si="623"/>
        <v>8.7711784148871015</v>
      </c>
      <c r="BT315" s="142">
        <f t="shared" si="623"/>
        <v>4.4960798471408161</v>
      </c>
      <c r="BU315" s="142">
        <f t="shared" si="623"/>
        <v>2.2457941294409669</v>
      </c>
      <c r="BV315" s="142">
        <f t="shared" si="623"/>
        <v>4.9995716964856474</v>
      </c>
      <c r="BW315" s="17"/>
      <c r="BX315" s="142">
        <f t="shared" ref="BX315:CE315" si="624">BO295</f>
        <v>1.9119806247721998</v>
      </c>
      <c r="BY315" s="142">
        <f t="shared" si="624"/>
        <v>80.251438983145349</v>
      </c>
      <c r="BZ315" s="142">
        <f t="shared" si="624"/>
        <v>7.7764117579468763</v>
      </c>
      <c r="CA315" s="142">
        <f t="shared" si="624"/>
        <v>4.9627394570272001</v>
      </c>
      <c r="CB315" s="142">
        <f t="shared" si="624"/>
        <v>11.935731876723709</v>
      </c>
      <c r="CC315" s="142">
        <f t="shared" si="624"/>
        <v>2.3842678369418517</v>
      </c>
      <c r="CD315" s="142">
        <f t="shared" si="624"/>
        <v>1.1909429754954304</v>
      </c>
      <c r="CE315" s="142">
        <f t="shared" si="624"/>
        <v>6.803367169732514</v>
      </c>
      <c r="CF315" s="17"/>
      <c r="CG315" s="17"/>
      <c r="CH315">
        <f t="shared" si="307"/>
        <v>157</v>
      </c>
      <c r="CI315" s="113">
        <f t="shared" si="308"/>
        <v>163.66331801209776</v>
      </c>
      <c r="CJ315" s="124">
        <f t="shared" si="595"/>
        <v>3.8090239009133668</v>
      </c>
      <c r="CK315" s="124">
        <f t="shared" si="581"/>
        <v>80.251438983145349</v>
      </c>
      <c r="CL315" s="124">
        <f t="shared" si="582"/>
        <v>68.271917220831824</v>
      </c>
      <c r="CM315" s="124">
        <f t="shared" si="583"/>
        <v>40.456126538009563</v>
      </c>
      <c r="CN315" s="124">
        <f t="shared" si="584"/>
        <v>41.189197416123648</v>
      </c>
      <c r="CO315" s="124">
        <f t="shared" si="585"/>
        <v>55.308112199043954</v>
      </c>
      <c r="CP315" s="124">
        <f t="shared" si="586"/>
        <v>27.626429669852111</v>
      </c>
      <c r="CQ315" s="124">
        <f t="shared" si="587"/>
        <v>24.821280660382403</v>
      </c>
      <c r="CR315" s="144">
        <f t="shared" si="417"/>
        <v>341.7335265883022</v>
      </c>
    </row>
    <row r="316" spans="1:96" ht="14">
      <c r="A316">
        <f t="shared" si="521"/>
        <v>158</v>
      </c>
      <c r="B316" s="19">
        <f t="shared" si="521"/>
        <v>238</v>
      </c>
      <c r="C316" s="26">
        <f t="shared" si="403"/>
        <v>163.74904127347503</v>
      </c>
      <c r="D316" s="26"/>
      <c r="E316" s="26"/>
      <c r="F316" s="141">
        <f t="shared" ref="F316:G316" si="625">F315</f>
        <v>6.0606231572568161</v>
      </c>
      <c r="G316" s="141">
        <f t="shared" si="625"/>
        <v>0.7542108817919595</v>
      </c>
      <c r="H316" s="140">
        <f>(H$118)*('Product half-life and C flows'!L217/100)</f>
        <v>0</v>
      </c>
      <c r="I316" s="140">
        <f>(($C$39*$C$118*0.28)*H$41)*('Product half-life and C flows'!N217/100)</f>
        <v>0</v>
      </c>
      <c r="J316" s="140">
        <f>(($C$39*$C$118*0.28)*H$41)*(+'Product half-life and C flows'!P217/100)</f>
        <v>0</v>
      </c>
      <c r="K316" s="141">
        <f t="shared" si="597"/>
        <v>1.3434381331919276</v>
      </c>
      <c r="L316" s="26"/>
      <c r="M316" s="142">
        <f>(C$158-C$138)*(0.4*D$14)*('Product half-life and C flows'!B177/100)</f>
        <v>1.4428527700530403E-2</v>
      </c>
      <c r="N316" s="85"/>
      <c r="O316" s="143">
        <f t="shared" si="537"/>
        <v>7.7764117579468763</v>
      </c>
      <c r="P316" s="142">
        <f t="shared" si="538"/>
        <v>4.9627394570272001</v>
      </c>
      <c r="Q316" s="142">
        <f>(C$158-C$138)*(0.6*C$15)*('Product half-life and C flows'!L177/100)</f>
        <v>1.3602593961762719</v>
      </c>
      <c r="R316" s="142">
        <f>(C$158-C$138)*0.6*('Product half-life and C flows'!N177/100)</f>
        <v>9.4416331389605066</v>
      </c>
      <c r="S316" s="142">
        <f>(C$158-C$138)*0.6*('Product half-life and C flows'!P177/100)</f>
        <v>4.7161004690112387</v>
      </c>
      <c r="T316" s="142">
        <f t="shared" si="411"/>
        <v>0.77534785582047494</v>
      </c>
      <c r="U316" s="3"/>
      <c r="V316" s="142">
        <f t="shared" si="546"/>
        <v>2.8857055401060813E-2</v>
      </c>
      <c r="W316" s="142">
        <f t="shared" si="547"/>
        <v>0</v>
      </c>
      <c r="X316" s="142">
        <f t="shared" si="548"/>
        <v>7.7764117579468763</v>
      </c>
      <c r="Y316" s="142">
        <f t="shared" si="549"/>
        <v>4.9627394570272001</v>
      </c>
      <c r="Z316" s="142">
        <f t="shared" si="550"/>
        <v>1.8510273839599065</v>
      </c>
      <c r="AA316" s="142">
        <f t="shared" si="551"/>
        <v>9.1141273017795648</v>
      </c>
      <c r="AB316" s="142">
        <f t="shared" si="552"/>
        <v>4.5525111397500284</v>
      </c>
      <c r="AC316" s="142">
        <f t="shared" si="553"/>
        <v>1.0550856088571465</v>
      </c>
      <c r="AD316" s="115"/>
      <c r="AE316" s="142">
        <f t="shared" ref="AE316:AL316" si="626">V296</f>
        <v>5.7714110802121577E-2</v>
      </c>
      <c r="AF316" s="142">
        <f t="shared" si="626"/>
        <v>0</v>
      </c>
      <c r="AG316" s="142">
        <f t="shared" si="626"/>
        <v>7.7764117579468763</v>
      </c>
      <c r="AH316" s="142">
        <f t="shared" si="626"/>
        <v>4.9627394570272001</v>
      </c>
      <c r="AI316" s="142">
        <f t="shared" si="626"/>
        <v>2.5188595541415784</v>
      </c>
      <c r="AJ316" s="142">
        <f t="shared" si="626"/>
        <v>8.6684606335449956</v>
      </c>
      <c r="AK316" s="142">
        <f t="shared" si="626"/>
        <v>4.3299004163561392</v>
      </c>
      <c r="AL316" s="142">
        <f t="shared" si="626"/>
        <v>1.4357499458606995</v>
      </c>
      <c r="AM316" s="115"/>
      <c r="AN316" s="144">
        <f t="shared" ref="AN316:AU316" si="627">AE296</f>
        <v>0.11542822160424319</v>
      </c>
      <c r="AO316" s="144">
        <f t="shared" si="627"/>
        <v>0</v>
      </c>
      <c r="AP316" s="144">
        <f t="shared" si="627"/>
        <v>7.7764117579468763</v>
      </c>
      <c r="AQ316" s="144">
        <f t="shared" si="627"/>
        <v>4.9627394570272001</v>
      </c>
      <c r="AR316" s="144">
        <f t="shared" si="627"/>
        <v>3.4276388931195498</v>
      </c>
      <c r="AS316" s="144">
        <f t="shared" si="627"/>
        <v>8.0620018880003617</v>
      </c>
      <c r="AT316" s="144">
        <f t="shared" si="627"/>
        <v>4.0269739700301503</v>
      </c>
      <c r="AU316" s="144">
        <f t="shared" si="627"/>
        <v>1.9537541690781433</v>
      </c>
      <c r="AV316" s="115"/>
      <c r="AW316" s="144">
        <f t="shared" ref="AW316:BD316" si="628">AN296</f>
        <v>0.23085644320848644</v>
      </c>
      <c r="AX316" s="144">
        <f t="shared" si="628"/>
        <v>0</v>
      </c>
      <c r="AY316" s="144">
        <f t="shared" si="628"/>
        <v>7.7764117579468763</v>
      </c>
      <c r="AZ316" s="144">
        <f t="shared" si="628"/>
        <v>4.9627394570272001</v>
      </c>
      <c r="BA316" s="144">
        <f t="shared" si="628"/>
        <v>4.6642967299658524</v>
      </c>
      <c r="BB316" s="144">
        <f t="shared" si="628"/>
        <v>7.2367388915449284</v>
      </c>
      <c r="BC316" s="144">
        <f t="shared" si="628"/>
        <v>3.6147546910813833</v>
      </c>
      <c r="BD316" s="144">
        <f t="shared" si="628"/>
        <v>2.6586491360805358</v>
      </c>
      <c r="BE316" s="17"/>
      <c r="BF316" s="142">
        <f t="shared" ref="BF316:BM316" si="629">AW296</f>
        <v>0.46171288641697289</v>
      </c>
      <c r="BG316" s="142">
        <f t="shared" si="629"/>
        <v>0</v>
      </c>
      <c r="BH316" s="142">
        <f t="shared" si="629"/>
        <v>7.7764117579468763</v>
      </c>
      <c r="BI316" s="142">
        <f t="shared" si="629"/>
        <v>4.9627394570272001</v>
      </c>
      <c r="BJ316" s="142">
        <f t="shared" si="629"/>
        <v>6.3471283479835785</v>
      </c>
      <c r="BK316" s="142">
        <f t="shared" si="629"/>
        <v>6.1137292584544349</v>
      </c>
      <c r="BL316" s="142">
        <f t="shared" si="629"/>
        <v>3.0538108184088073</v>
      </c>
      <c r="BM316" s="142">
        <f t="shared" si="629"/>
        <v>3.6178631583506395</v>
      </c>
      <c r="BN316" s="17"/>
      <c r="BO316" s="142">
        <f t="shared" ref="BO316:BV316" si="630">BF296</f>
        <v>0.92342577283394556</v>
      </c>
      <c r="BP316" s="142">
        <f t="shared" si="630"/>
        <v>0</v>
      </c>
      <c r="BQ316" s="142">
        <f t="shared" si="630"/>
        <v>7.7764117579468763</v>
      </c>
      <c r="BR316" s="142">
        <f t="shared" si="630"/>
        <v>4.9627394570272001</v>
      </c>
      <c r="BS316" s="142">
        <f t="shared" si="630"/>
        <v>8.6371087857593665</v>
      </c>
      <c r="BT316" s="142">
        <f t="shared" si="630"/>
        <v>4.5855489796453908</v>
      </c>
      <c r="BU316" s="142">
        <f t="shared" si="630"/>
        <v>2.2904840058168778</v>
      </c>
      <c r="BV316" s="142">
        <f t="shared" si="630"/>
        <v>4.9231520078828384</v>
      </c>
      <c r="BW316" s="17"/>
      <c r="BX316" s="142">
        <f t="shared" ref="BX316:CE316" si="631">BO296</f>
        <v>1.8468515456678911</v>
      </c>
      <c r="BY316" s="142">
        <f t="shared" si="631"/>
        <v>81.974612405724244</v>
      </c>
      <c r="BZ316" s="142">
        <f t="shared" si="631"/>
        <v>7.7764117579468763</v>
      </c>
      <c r="CA316" s="142">
        <f t="shared" si="631"/>
        <v>4.9627394570272001</v>
      </c>
      <c r="CB316" s="142">
        <f t="shared" si="631"/>
        <v>11.753291266079604</v>
      </c>
      <c r="CC316" s="142">
        <f t="shared" si="631"/>
        <v>2.5060165377783514</v>
      </c>
      <c r="CD316" s="142">
        <f t="shared" si="631"/>
        <v>1.2517565123767991</v>
      </c>
      <c r="CE316" s="142">
        <f t="shared" si="631"/>
        <v>6.6993760216653735</v>
      </c>
      <c r="CF316" s="17"/>
      <c r="CG316" s="17"/>
      <c r="CH316">
        <f t="shared" si="307"/>
        <v>158</v>
      </c>
      <c r="CI316" s="113">
        <f t="shared" si="308"/>
        <v>163.74904127347503</v>
      </c>
      <c r="CJ316" s="124">
        <f t="shared" si="595"/>
        <v>3.6792745636352517</v>
      </c>
      <c r="CK316" s="124">
        <f t="shared" si="581"/>
        <v>81.974612405724244</v>
      </c>
      <c r="CL316" s="124">
        <f t="shared" si="582"/>
        <v>68.271917220831824</v>
      </c>
      <c r="CM316" s="124">
        <f t="shared" si="583"/>
        <v>40.456126538009563</v>
      </c>
      <c r="CN316" s="124">
        <f t="shared" si="584"/>
        <v>40.559610357185704</v>
      </c>
      <c r="CO316" s="124">
        <f t="shared" si="585"/>
        <v>55.728256629708532</v>
      </c>
      <c r="CP316" s="124">
        <f t="shared" si="586"/>
        <v>27.836292022831422</v>
      </c>
      <c r="CQ316" s="124">
        <f t="shared" si="587"/>
        <v>24.462416036787779</v>
      </c>
      <c r="CR316" s="144">
        <f t="shared" si="417"/>
        <v>342.96850577471429</v>
      </c>
    </row>
    <row r="317" spans="1:96" ht="14">
      <c r="A317">
        <f t="shared" si="521"/>
        <v>159</v>
      </c>
      <c r="B317" s="19">
        <f t="shared" si="521"/>
        <v>239</v>
      </c>
      <c r="C317" s="26">
        <f t="shared" si="403"/>
        <v>163.83309614554503</v>
      </c>
      <c r="D317" s="26"/>
      <c r="E317" s="26"/>
      <c r="F317" s="141">
        <f t="shared" ref="F317:G317" si="632">F316</f>
        <v>6.0606231572568161</v>
      </c>
      <c r="G317" s="141">
        <f t="shared" si="632"/>
        <v>0.7542108817919595</v>
      </c>
      <c r="H317" s="140">
        <f>(H$118)*('Product half-life and C flows'!L218/100)</f>
        <v>0</v>
      </c>
      <c r="I317" s="140">
        <f>(($C$39*$C$118*0.28)*H$41)*('Product half-life and C flows'!N218/100)</f>
        <v>0</v>
      </c>
      <c r="J317" s="140">
        <f>(($C$39*$C$118*0.28)*H$41)*(+'Product half-life and C flows'!P218/100)</f>
        <v>0</v>
      </c>
      <c r="K317" s="141">
        <f t="shared" si="597"/>
        <v>1.3434381331919276</v>
      </c>
      <c r="L317" s="26"/>
      <c r="M317" s="142">
        <f>(C$158-C$138)*(0.4*D$14)*('Product half-life and C flows'!B178/100)</f>
        <v>1.3937039078840774E-2</v>
      </c>
      <c r="N317" s="85"/>
      <c r="O317" s="143">
        <f t="shared" si="537"/>
        <v>7.7764117579468763</v>
      </c>
      <c r="P317" s="142">
        <f t="shared" si="538"/>
        <v>4.9627394570272001</v>
      </c>
      <c r="Q317" s="142">
        <f>(C$158-C$138)*(0.6*C$15)*('Product half-life and C flows'!L178/100)</f>
        <v>1.3394674952324559</v>
      </c>
      <c r="R317" s="142">
        <f>(C$158-C$138)*0.6*('Product half-life and C flows'!N178/100)</f>
        <v>9.4555082675236797</v>
      </c>
      <c r="S317" s="142">
        <f>(C$158-C$138)*0.6*('Product half-life and C flows'!P178/100)</f>
        <v>4.7230311026591778</v>
      </c>
      <c r="T317" s="142">
        <f t="shared" si="411"/>
        <v>0.76349647228249984</v>
      </c>
      <c r="U317" s="3"/>
      <c r="V317" s="142">
        <f t="shared" si="546"/>
        <v>2.7874078157681552E-2</v>
      </c>
      <c r="W317" s="142">
        <f t="shared" si="547"/>
        <v>0</v>
      </c>
      <c r="X317" s="142">
        <f t="shared" si="548"/>
        <v>7.7764117579468763</v>
      </c>
      <c r="Y317" s="142">
        <f t="shared" si="549"/>
        <v>4.9627394570272001</v>
      </c>
      <c r="Z317" s="142">
        <f t="shared" si="550"/>
        <v>1.8227339730709462</v>
      </c>
      <c r="AA317" s="142">
        <f t="shared" si="551"/>
        <v>9.1330084379794627</v>
      </c>
      <c r="AB317" s="142">
        <f t="shared" si="552"/>
        <v>4.5619422767130153</v>
      </c>
      <c r="AC317" s="142">
        <f t="shared" si="553"/>
        <v>1.0389583646504392</v>
      </c>
      <c r="AD317" s="115"/>
      <c r="AE317" s="142">
        <f t="shared" ref="AE317:AL317" si="633">V297</f>
        <v>5.5748156315363104E-2</v>
      </c>
      <c r="AF317" s="142">
        <f t="shared" si="633"/>
        <v>0</v>
      </c>
      <c r="AG317" s="142">
        <f t="shared" si="633"/>
        <v>7.7764117579468763</v>
      </c>
      <c r="AH317" s="142">
        <f t="shared" si="633"/>
        <v>4.9627394570272001</v>
      </c>
      <c r="AI317" s="142">
        <f t="shared" si="633"/>
        <v>2.4803581635330563</v>
      </c>
      <c r="AJ317" s="142">
        <f t="shared" si="633"/>
        <v>8.6941538948777488</v>
      </c>
      <c r="AK317" s="142">
        <f t="shared" si="633"/>
        <v>4.342734213225647</v>
      </c>
      <c r="AL317" s="142">
        <f t="shared" si="633"/>
        <v>1.4138041532138419</v>
      </c>
      <c r="AM317" s="115"/>
      <c r="AN317" s="144">
        <f t="shared" ref="AN317:AU317" si="634">AE297</f>
        <v>0.11149631263072624</v>
      </c>
      <c r="AO317" s="144">
        <f t="shared" si="634"/>
        <v>0</v>
      </c>
      <c r="AP317" s="144">
        <f t="shared" si="634"/>
        <v>7.7764117579468763</v>
      </c>
      <c r="AQ317" s="144">
        <f t="shared" si="634"/>
        <v>4.9627394570272001</v>
      </c>
      <c r="AR317" s="144">
        <f t="shared" si="634"/>
        <v>3.3752465857866643</v>
      </c>
      <c r="AS317" s="144">
        <f t="shared" si="634"/>
        <v>8.0969650210938404</v>
      </c>
      <c r="AT317" s="144">
        <f t="shared" si="634"/>
        <v>4.0444380724744446</v>
      </c>
      <c r="AU317" s="144">
        <f t="shared" si="634"/>
        <v>1.9238905538983984</v>
      </c>
      <c r="AV317" s="115"/>
      <c r="AW317" s="144">
        <f t="shared" ref="AW317:BD317" si="635">AN297</f>
        <v>0.22299262526145247</v>
      </c>
      <c r="AX317" s="144">
        <f t="shared" si="635"/>
        <v>0</v>
      </c>
      <c r="AY317" s="144">
        <f t="shared" si="635"/>
        <v>7.7764117579468763</v>
      </c>
      <c r="AZ317" s="144">
        <f t="shared" si="635"/>
        <v>4.9627394570272001</v>
      </c>
      <c r="BA317" s="144">
        <f t="shared" si="635"/>
        <v>4.5930018020612007</v>
      </c>
      <c r="BB317" s="144">
        <f t="shared" si="635"/>
        <v>7.284316373433299</v>
      </c>
      <c r="BC317" s="144">
        <f t="shared" si="635"/>
        <v>3.6385196670496005</v>
      </c>
      <c r="BD317" s="144">
        <f t="shared" si="635"/>
        <v>2.6180110271748842</v>
      </c>
      <c r="BE317" s="17"/>
      <c r="BF317" s="142">
        <f t="shared" ref="BF317:BM317" si="636">AW297</f>
        <v>0.44598525052290477</v>
      </c>
      <c r="BG317" s="142">
        <f t="shared" si="636"/>
        <v>0</v>
      </c>
      <c r="BH317" s="142">
        <f t="shared" si="636"/>
        <v>7.7764117579468763</v>
      </c>
      <c r="BI317" s="142">
        <f t="shared" si="636"/>
        <v>4.9627394570272001</v>
      </c>
      <c r="BJ317" s="142">
        <f t="shared" si="636"/>
        <v>6.2501109230277745</v>
      </c>
      <c r="BK317" s="142">
        <f t="shared" si="636"/>
        <v>6.1784722200416082</v>
      </c>
      <c r="BL317" s="142">
        <f t="shared" si="636"/>
        <v>3.0861499600607418</v>
      </c>
      <c r="BM317" s="142">
        <f t="shared" si="636"/>
        <v>3.5625632261258313</v>
      </c>
      <c r="BN317" s="17"/>
      <c r="BO317" s="142">
        <f t="shared" ref="BO317:BV317" si="637">BF297</f>
        <v>0.89197050104580988</v>
      </c>
      <c r="BP317" s="142">
        <f t="shared" si="637"/>
        <v>0</v>
      </c>
      <c r="BQ317" s="142">
        <f t="shared" si="637"/>
        <v>7.7764117579468763</v>
      </c>
      <c r="BR317" s="142">
        <f t="shared" si="637"/>
        <v>4.9627394570272001</v>
      </c>
      <c r="BS317" s="142">
        <f t="shared" si="637"/>
        <v>8.5050884440368399</v>
      </c>
      <c r="BT317" s="142">
        <f t="shared" si="637"/>
        <v>4.6736505543548903</v>
      </c>
      <c r="BU317" s="142">
        <f t="shared" si="637"/>
        <v>2.3344907863910538</v>
      </c>
      <c r="BV317" s="142">
        <f t="shared" si="637"/>
        <v>4.847900413100998</v>
      </c>
      <c r="BW317" s="17"/>
      <c r="BX317" s="142">
        <f t="shared" ref="BX317:CE317" si="638">BO297</f>
        <v>1.7839410020916198</v>
      </c>
      <c r="BY317" s="142">
        <f t="shared" si="638"/>
        <v>83.69778582830314</v>
      </c>
      <c r="BZ317" s="142">
        <f t="shared" si="638"/>
        <v>7.7764117579468763</v>
      </c>
      <c r="CA317" s="142">
        <f t="shared" si="638"/>
        <v>4.9627394570272001</v>
      </c>
      <c r="CB317" s="142">
        <f t="shared" si="638"/>
        <v>11.573639305243985</v>
      </c>
      <c r="CC317" s="142">
        <f t="shared" si="638"/>
        <v>2.6259042796426555</v>
      </c>
      <c r="CD317" s="142">
        <f t="shared" si="638"/>
        <v>1.3116404993220057</v>
      </c>
      <c r="CE317" s="142">
        <f t="shared" si="638"/>
        <v>6.596974403989071</v>
      </c>
      <c r="CF317" s="17"/>
      <c r="CG317" s="17"/>
      <c r="CH317">
        <f t="shared" si="307"/>
        <v>159</v>
      </c>
      <c r="CI317" s="113">
        <f t="shared" si="308"/>
        <v>163.83309614554503</v>
      </c>
      <c r="CJ317" s="124">
        <f t="shared" si="595"/>
        <v>3.5539449651043986</v>
      </c>
      <c r="CK317" s="124">
        <f t="shared" si="581"/>
        <v>83.69778582830314</v>
      </c>
      <c r="CL317" s="124">
        <f t="shared" si="582"/>
        <v>68.271917220831824</v>
      </c>
      <c r="CM317" s="124">
        <f t="shared" si="583"/>
        <v>40.456126538009563</v>
      </c>
      <c r="CN317" s="124">
        <f t="shared" si="584"/>
        <v>39.93964669199292</v>
      </c>
      <c r="CO317" s="124">
        <f t="shared" si="585"/>
        <v>56.141979048947185</v>
      </c>
      <c r="CP317" s="124">
        <f t="shared" si="586"/>
        <v>28.042946577895687</v>
      </c>
      <c r="CQ317" s="124">
        <f t="shared" si="587"/>
        <v>24.10903674762789</v>
      </c>
      <c r="CR317" s="144">
        <f t="shared" si="417"/>
        <v>344.21338361871261</v>
      </c>
    </row>
    <row r="318" spans="1:96" ht="14">
      <c r="A318">
        <f t="shared" si="521"/>
        <v>160</v>
      </c>
      <c r="B318" s="19">
        <f t="shared" si="521"/>
        <v>240</v>
      </c>
      <c r="C318" s="26">
        <f t="shared" si="403"/>
        <v>163.91551453053341</v>
      </c>
      <c r="D318" s="26"/>
      <c r="E318" s="26"/>
      <c r="F318" s="141">
        <f t="shared" ref="F318:G318" si="639">F317</f>
        <v>6.0606231572568161</v>
      </c>
      <c r="G318" s="141">
        <f t="shared" si="639"/>
        <v>0.7542108817919595</v>
      </c>
      <c r="H318" s="140">
        <f>(H$118)*('Product half-life and C flows'!L219/100)</f>
        <v>0</v>
      </c>
      <c r="I318" s="140">
        <f>(($C$39*$C$118*0.28)*H$41)*('Product half-life and C flows'!N219/100)</f>
        <v>0</v>
      </c>
      <c r="J318" s="140">
        <f>(($C$39*$C$118*0.28)*H$41)*(+'Product half-life and C flows'!P219/100)</f>
        <v>0</v>
      </c>
      <c r="K318" s="141">
        <f t="shared" si="597"/>
        <v>1.3434381331919276</v>
      </c>
      <c r="L318" s="26"/>
      <c r="M318" s="142">
        <f>(C$158-C$138)*(0.4*D$14)*('Product half-life and C flows'!B179/100)</f>
        <v>1.3462292363897573E-2</v>
      </c>
      <c r="N318" s="85"/>
      <c r="O318" s="143">
        <f t="shared" si="537"/>
        <v>7.7764117579468763</v>
      </c>
      <c r="P318" s="142">
        <f t="shared" si="538"/>
        <v>4.9627394570272001</v>
      </c>
      <c r="Q318" s="142">
        <f>(C$158-C$138)*(0.6*C$15)*('Product half-life and C flows'!L179/100)</f>
        <v>1.3189934036315294</v>
      </c>
      <c r="R318" s="142">
        <f>(C$158-C$138)*0.6*('Product half-life and C flows'!N179/100)</f>
        <v>9.4691713113186982</v>
      </c>
      <c r="S318" s="142">
        <f>(C$158-C$138)*0.6*('Product half-life and C flows'!P179/100)</f>
        <v>4.7298557998594868</v>
      </c>
      <c r="T318" s="142">
        <f t="shared" si="411"/>
        <v>0.75182624006997167</v>
      </c>
      <c r="U318" s="3"/>
      <c r="V318" s="142">
        <f t="shared" si="546"/>
        <v>2.6924584727795145E-2</v>
      </c>
      <c r="W318" s="142">
        <f t="shared" si="547"/>
        <v>0</v>
      </c>
      <c r="X318" s="142">
        <f t="shared" si="548"/>
        <v>7.7764117579468763</v>
      </c>
      <c r="Y318" s="142">
        <f t="shared" si="549"/>
        <v>4.9627394570272001</v>
      </c>
      <c r="Z318" s="142">
        <f t="shared" si="550"/>
        <v>1.7948730339577512</v>
      </c>
      <c r="AA318" s="142">
        <f t="shared" si="551"/>
        <v>9.1516009713476691</v>
      </c>
      <c r="AB318" s="142">
        <f t="shared" si="552"/>
        <v>4.5712292564174133</v>
      </c>
      <c r="AC318" s="142">
        <f t="shared" si="553"/>
        <v>1.0230776293559181</v>
      </c>
      <c r="AD318" s="115"/>
      <c r="AE318" s="142">
        <f t="shared" ref="AE318:AL318" si="640">V298</f>
        <v>5.384916945559029E-2</v>
      </c>
      <c r="AF318" s="142">
        <f t="shared" si="640"/>
        <v>0</v>
      </c>
      <c r="AG318" s="142">
        <f t="shared" si="640"/>
        <v>7.7764117579468763</v>
      </c>
      <c r="AH318" s="142">
        <f t="shared" si="640"/>
        <v>4.9627394570272001</v>
      </c>
      <c r="AI318" s="142">
        <f t="shared" si="640"/>
        <v>2.4424452761923532</v>
      </c>
      <c r="AJ318" s="142">
        <f t="shared" si="640"/>
        <v>8.719454428363111</v>
      </c>
      <c r="AK318" s="142">
        <f t="shared" si="640"/>
        <v>4.3553718423392143</v>
      </c>
      <c r="AL318" s="142">
        <f t="shared" si="640"/>
        <v>1.3921938074296412</v>
      </c>
      <c r="AM318" s="115"/>
      <c r="AN318" s="144">
        <f t="shared" ref="AN318:AU318" si="641">AE298</f>
        <v>0.10769833891118058</v>
      </c>
      <c r="AO318" s="144">
        <f t="shared" si="641"/>
        <v>0</v>
      </c>
      <c r="AP318" s="144">
        <f t="shared" si="641"/>
        <v>7.7764117579468763</v>
      </c>
      <c r="AQ318" s="144">
        <f t="shared" si="641"/>
        <v>4.9627394570272001</v>
      </c>
      <c r="AR318" s="144">
        <f t="shared" si="641"/>
        <v>3.3236551078156982</v>
      </c>
      <c r="AS318" s="144">
        <f t="shared" si="641"/>
        <v>8.131393734059797</v>
      </c>
      <c r="AT318" s="144">
        <f t="shared" si="641"/>
        <v>4.0616352317981006</v>
      </c>
      <c r="AU318" s="144">
        <f t="shared" si="641"/>
        <v>1.8944834114549478</v>
      </c>
      <c r="AV318" s="115"/>
      <c r="AW318" s="144">
        <f t="shared" ref="AW318:BD318" si="642">AN298</f>
        <v>0.21539667782236116</v>
      </c>
      <c r="AX318" s="144">
        <f t="shared" si="642"/>
        <v>0</v>
      </c>
      <c r="AY318" s="144">
        <f t="shared" si="642"/>
        <v>7.7764117579468763</v>
      </c>
      <c r="AZ318" s="144">
        <f t="shared" si="642"/>
        <v>4.9627394570272001</v>
      </c>
      <c r="BA318" s="144">
        <f t="shared" si="642"/>
        <v>4.5227966347440924</v>
      </c>
      <c r="BB318" s="144">
        <f t="shared" si="642"/>
        <v>7.3311666217562506</v>
      </c>
      <c r="BC318" s="144">
        <f t="shared" si="642"/>
        <v>3.6619213894886364</v>
      </c>
      <c r="BD318" s="144">
        <f t="shared" si="642"/>
        <v>2.5779940818041323</v>
      </c>
      <c r="BE318" s="17"/>
      <c r="BF318" s="142">
        <f t="shared" ref="BF318:BM318" si="643">AW298</f>
        <v>0.43079335564472232</v>
      </c>
      <c r="BG318" s="142">
        <f t="shared" si="643"/>
        <v>0</v>
      </c>
      <c r="BH318" s="142">
        <f t="shared" si="643"/>
        <v>7.7764117579468763</v>
      </c>
      <c r="BI318" s="142">
        <f t="shared" si="643"/>
        <v>4.9627394570272001</v>
      </c>
      <c r="BJ318" s="142">
        <f t="shared" si="643"/>
        <v>6.1545764333820854</v>
      </c>
      <c r="BK318" s="142">
        <f t="shared" si="643"/>
        <v>6.2422255694651652</v>
      </c>
      <c r="BL318" s="142">
        <f t="shared" si="643"/>
        <v>3.1179947899426383</v>
      </c>
      <c r="BM318" s="142">
        <f t="shared" si="643"/>
        <v>3.5081085670277883</v>
      </c>
      <c r="BN318" s="17"/>
      <c r="BO318" s="142">
        <f t="shared" ref="BO318:BV318" si="644">BF298</f>
        <v>0.86158671128944464</v>
      </c>
      <c r="BP318" s="142">
        <f t="shared" si="644"/>
        <v>0</v>
      </c>
      <c r="BQ318" s="142">
        <f t="shared" si="644"/>
        <v>7.7764117579468763</v>
      </c>
      <c r="BR318" s="142">
        <f t="shared" si="644"/>
        <v>4.9627394570272001</v>
      </c>
      <c r="BS318" s="142">
        <f t="shared" si="644"/>
        <v>8.3750860658552231</v>
      </c>
      <c r="BT318" s="142">
        <f t="shared" si="644"/>
        <v>4.7604054747280893</v>
      </c>
      <c r="BU318" s="142">
        <f t="shared" si="644"/>
        <v>2.3778249124515924</v>
      </c>
      <c r="BV318" s="142">
        <f t="shared" si="644"/>
        <v>4.7737990575374765</v>
      </c>
      <c r="BW318" s="17"/>
      <c r="BX318" s="142">
        <f t="shared" ref="BX318:CE318" si="645">BO298</f>
        <v>1.7231734225788893</v>
      </c>
      <c r="BY318" s="142">
        <v>85</v>
      </c>
      <c r="BZ318" s="142">
        <f t="shared" si="645"/>
        <v>7.7764117579468763</v>
      </c>
      <c r="CA318" s="142">
        <f t="shared" si="645"/>
        <v>4.9627394570272001</v>
      </c>
      <c r="CB318" s="142">
        <f t="shared" si="645"/>
        <v>11.396733369015552</v>
      </c>
      <c r="CC318" s="142">
        <f t="shared" si="645"/>
        <v>2.7439595077524288</v>
      </c>
      <c r="CD318" s="142">
        <f t="shared" si="645"/>
        <v>1.370609144731483</v>
      </c>
      <c r="CE318" s="142">
        <f t="shared" si="645"/>
        <v>6.4961380203388641</v>
      </c>
      <c r="CF318" s="17"/>
      <c r="CG318" s="17"/>
      <c r="CH318">
        <f t="shared" si="307"/>
        <v>160</v>
      </c>
      <c r="CI318" s="113">
        <f t="shared" si="308"/>
        <v>163.91551453053341</v>
      </c>
      <c r="CJ318" s="124">
        <f t="shared" si="595"/>
        <v>3.4328845527938809</v>
      </c>
      <c r="CK318" s="124">
        <f t="shared" si="581"/>
        <v>85</v>
      </c>
      <c r="CL318" s="124">
        <f t="shared" si="582"/>
        <v>68.271917220831824</v>
      </c>
      <c r="CM318" s="124">
        <f t="shared" si="583"/>
        <v>40.456126538009563</v>
      </c>
      <c r="CN318" s="124">
        <f t="shared" si="584"/>
        <v>39.329159324594286</v>
      </c>
      <c r="CO318" s="124">
        <f t="shared" si="585"/>
        <v>56.549377618791205</v>
      </c>
      <c r="CP318" s="124">
        <f t="shared" si="586"/>
        <v>28.246442367028564</v>
      </c>
      <c r="CQ318" s="124">
        <f t="shared" si="587"/>
        <v>23.761058948210668</v>
      </c>
      <c r="CR318" s="144">
        <f t="shared" si="417"/>
        <v>345.04696657026005</v>
      </c>
    </row>
    <row r="319" spans="1:96">
      <c r="M319" s="17"/>
      <c r="N319" s="17"/>
      <c r="O319" s="17"/>
      <c r="P319" s="17"/>
      <c r="Q319" s="17"/>
      <c r="R319" s="17"/>
      <c r="S319" s="17"/>
      <c r="T319" s="17"/>
    </row>
    <row r="320" spans="1:96">
      <c r="A320" t="s">
        <v>141</v>
      </c>
      <c r="M320" s="3">
        <f>AVERAGE(M158:M238)</f>
        <v>1.1736508469156992</v>
      </c>
      <c r="N320" s="3">
        <f t="shared" ref="N320:T320" si="646">AVERAGE(N158:N238)</f>
        <v>67.327638313803646</v>
      </c>
      <c r="O320" s="3">
        <f t="shared" si="646"/>
        <v>7.7764117579468914</v>
      </c>
      <c r="P320" s="3">
        <f t="shared" si="646"/>
        <v>4.9627394570272081</v>
      </c>
      <c r="Q320" s="3">
        <f t="shared" si="646"/>
        <v>8.9288841596885433</v>
      </c>
      <c r="R320" s="3">
        <f t="shared" si="646"/>
        <v>4.3908375467766527</v>
      </c>
      <c r="S320" s="3">
        <f t="shared" si="646"/>
        <v>2.1932255478404863</v>
      </c>
      <c r="T320" s="3">
        <f t="shared" si="646"/>
        <v>5.0894639710224689</v>
      </c>
      <c r="CO320" s="115"/>
    </row>
    <row r="321" spans="1:89">
      <c r="A321" t="s">
        <v>142</v>
      </c>
      <c r="M321" s="3">
        <f>M320+O320+P320+Q320+R320+S320+T320</f>
        <v>34.515213287217954</v>
      </c>
    </row>
    <row r="322" spans="1:89">
      <c r="A322" t="s">
        <v>143</v>
      </c>
      <c r="M322" s="3">
        <f>AVERAGE(M239:M318)</f>
        <v>7.1577634183604577E-2</v>
      </c>
      <c r="Q322" s="3">
        <f t="shared" ref="Q322:T322" si="647">AVERAGE(Q239:Q318)</f>
        <v>2.5799650912104433</v>
      </c>
      <c r="R322" s="3">
        <f t="shared" si="647"/>
        <v>8.6276828718077034</v>
      </c>
      <c r="S322" s="3">
        <f t="shared" si="647"/>
        <v>4.3095319039998525</v>
      </c>
      <c r="T322" s="3">
        <f t="shared" si="647"/>
        <v>1.470580101989952</v>
      </c>
    </row>
    <row r="323" spans="1:89">
      <c r="A323" t="s">
        <v>179</v>
      </c>
      <c r="CI323">
        <f>(SUM(CI78:CI318))/240</f>
        <v>104.05267469983879</v>
      </c>
      <c r="CK323">
        <f>(SUM(CI78:CI157)+(SUM(CK158:CK318)))/240</f>
        <v>55.050729537037505</v>
      </c>
    </row>
    <row r="324" spans="1:89">
      <c r="BX324" t="s">
        <v>159</v>
      </c>
    </row>
  </sheetData>
  <mergeCells count="1">
    <mergeCell ref="A17:B17"/>
  </mergeCells>
  <phoneticPr fontId="2" type="noConversion"/>
  <hyperlinks>
    <hyperlink ref="C4" r:id="rId1" display="COLE: Carbon On Line Estimator Version 2.0.&quot;   Retrieved February 26, 2014, from http://www.ncasi2.org/COLE/"/>
  </hyperlinks>
  <pageMargins left="0.75" right="0.75" top="1" bottom="1" header="0.5" footer="0.5"/>
  <pageSetup scale="60"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3:D19"/>
  <sheetViews>
    <sheetView workbookViewId="0">
      <selection activeCell="G13" sqref="G13"/>
    </sheetView>
  </sheetViews>
  <sheetFormatPr baseColWidth="10" defaultColWidth="11.5" defaultRowHeight="12" x14ac:dyDescent="0"/>
  <sheetData>
    <row r="3" spans="1:4">
      <c r="A3" s="7" t="s">
        <v>319</v>
      </c>
      <c r="B3" s="7"/>
      <c r="C3" s="7"/>
      <c r="D3" s="8"/>
    </row>
    <row r="4" spans="1:4">
      <c r="A4" s="9" t="s">
        <v>21</v>
      </c>
      <c r="B4" s="10"/>
      <c r="C4" s="10"/>
      <c r="D4" s="11"/>
    </row>
    <row r="5" spans="1:4">
      <c r="A5" s="9" t="s">
        <v>20</v>
      </c>
      <c r="B5" s="10"/>
      <c r="C5" s="10"/>
      <c r="D5" s="11"/>
    </row>
    <row r="6" spans="1:4">
      <c r="A6" s="9" t="s">
        <v>15</v>
      </c>
      <c r="B6" s="10"/>
      <c r="C6" s="10"/>
      <c r="D6" s="11"/>
    </row>
    <row r="7" spans="1:4">
      <c r="A7" s="12" t="s">
        <v>3</v>
      </c>
      <c r="B7" s="13"/>
      <c r="C7" s="13"/>
      <c r="D7" s="14"/>
    </row>
    <row r="9" spans="1:4">
      <c r="A9" s="10" t="s">
        <v>66</v>
      </c>
      <c r="B9" s="25"/>
    </row>
    <row r="13" spans="1:4">
      <c r="A13" s="34" t="s">
        <v>102</v>
      </c>
    </row>
    <row r="14" spans="1:4">
      <c r="A14" s="306" t="s">
        <v>72</v>
      </c>
      <c r="B14" s="307"/>
      <c r="C14" s="307"/>
      <c r="D14" s="308"/>
    </row>
    <row r="15" spans="1:4" ht="14">
      <c r="A15" s="61" t="s">
        <v>68</v>
      </c>
      <c r="B15" s="303" t="s">
        <v>100</v>
      </c>
      <c r="C15" s="304"/>
      <c r="D15" s="305"/>
    </row>
    <row r="16" spans="1:4" ht="14">
      <c r="A16" s="67" t="s">
        <v>69</v>
      </c>
      <c r="B16" s="303" t="s">
        <v>99</v>
      </c>
      <c r="C16" s="304"/>
      <c r="D16" s="305"/>
    </row>
    <row r="17" spans="1:4" ht="14">
      <c r="A17" s="68" t="s">
        <v>70</v>
      </c>
      <c r="B17" s="303" t="s">
        <v>98</v>
      </c>
      <c r="C17" s="304"/>
      <c r="D17" s="305"/>
    </row>
    <row r="18" spans="1:4" ht="14">
      <c r="A18" s="69" t="s">
        <v>71</v>
      </c>
      <c r="B18" s="303" t="s">
        <v>97</v>
      </c>
      <c r="C18" s="304"/>
      <c r="D18" s="305"/>
    </row>
    <row r="19" spans="1:4" ht="14">
      <c r="A19" s="70" t="s">
        <v>95</v>
      </c>
      <c r="B19" s="303" t="s">
        <v>96</v>
      </c>
      <c r="C19" s="304"/>
      <c r="D19" s="305"/>
    </row>
  </sheetData>
  <mergeCells count="6">
    <mergeCell ref="B19:D19"/>
    <mergeCell ref="A14:D14"/>
    <mergeCell ref="B15:D15"/>
    <mergeCell ref="B16:D16"/>
    <mergeCell ref="B17:D17"/>
    <mergeCell ref="B18:D1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 enableFormatConditionsCalculation="0"/>
  <dimension ref="A1:AA182"/>
  <sheetViews>
    <sheetView topLeftCell="E1" workbookViewId="0">
      <pane xSplit="26400" topLeftCell="R1"/>
      <selection activeCell="L7" sqref="L7"/>
      <selection pane="topRight" activeCell="W11" sqref="W11:AA17"/>
    </sheetView>
  </sheetViews>
  <sheetFormatPr baseColWidth="10" defaultColWidth="11.5" defaultRowHeight="12" x14ac:dyDescent="0"/>
  <cols>
    <col min="2" max="2" width="8.83203125" customWidth="1"/>
  </cols>
  <sheetData>
    <row r="1" spans="1:27">
      <c r="L1" t="s">
        <v>159</v>
      </c>
    </row>
    <row r="2" spans="1:27" ht="13">
      <c r="B2" t="s">
        <v>32</v>
      </c>
      <c r="D2" s="23" t="s">
        <v>63</v>
      </c>
      <c r="G2" s="15" t="s">
        <v>64</v>
      </c>
    </row>
    <row r="3" spans="1:27">
      <c r="B3" t="s">
        <v>22</v>
      </c>
    </row>
    <row r="4" spans="1:27" ht="13">
      <c r="B4" t="s">
        <v>9</v>
      </c>
      <c r="C4" s="15"/>
    </row>
    <row r="5" spans="1:27" s="1" customFormat="1" ht="39">
      <c r="C5" s="18" t="s">
        <v>33</v>
      </c>
      <c r="D5" s="1" t="s">
        <v>34</v>
      </c>
      <c r="E5" s="1" t="s">
        <v>41</v>
      </c>
      <c r="F5" s="1" t="s">
        <v>36</v>
      </c>
      <c r="G5" s="1" t="s">
        <v>40</v>
      </c>
      <c r="H5" s="1" t="s">
        <v>37</v>
      </c>
      <c r="I5" s="1" t="s">
        <v>39</v>
      </c>
      <c r="J5" s="1" t="s">
        <v>38</v>
      </c>
      <c r="K5" s="1" t="s">
        <v>208</v>
      </c>
    </row>
    <row r="6" spans="1:27" s="1" customFormat="1" ht="36">
      <c r="A6" s="1" t="s">
        <v>138</v>
      </c>
      <c r="C6" s="18">
        <v>121.4</v>
      </c>
      <c r="D6" s="1">
        <v>84.4</v>
      </c>
      <c r="E6" s="1">
        <v>163.1</v>
      </c>
      <c r="F6" s="1">
        <v>144.30000000000001</v>
      </c>
      <c r="G6" s="1">
        <v>62.9</v>
      </c>
      <c r="H6" s="1">
        <v>62.6</v>
      </c>
      <c r="I6" s="1">
        <v>268.39999999999998</v>
      </c>
      <c r="J6" s="1">
        <v>206.9</v>
      </c>
    </row>
    <row r="7" spans="1:27" s="1" customFormat="1" ht="36">
      <c r="A7" s="1" t="s">
        <v>139</v>
      </c>
      <c r="C7" s="18"/>
    </row>
    <row r="8" spans="1:27" ht="14">
      <c r="B8" t="s">
        <v>6</v>
      </c>
      <c r="C8" s="27">
        <v>168.03</v>
      </c>
      <c r="D8" s="27">
        <v>110.94</v>
      </c>
      <c r="E8" s="27">
        <v>255.77</v>
      </c>
      <c r="F8" s="27">
        <v>200.85</v>
      </c>
      <c r="G8" s="27">
        <v>87.84</v>
      </c>
      <c r="H8" s="27">
        <v>80.13</v>
      </c>
      <c r="I8" s="27">
        <v>464.55</v>
      </c>
      <c r="J8" s="27">
        <v>327.08</v>
      </c>
      <c r="K8" s="27">
        <v>39.64</v>
      </c>
    </row>
    <row r="9" spans="1:27" ht="14">
      <c r="B9" t="s">
        <v>7</v>
      </c>
      <c r="C9" s="27">
        <v>0.02</v>
      </c>
      <c r="D9" s="27">
        <v>0.04</v>
      </c>
      <c r="E9" s="27">
        <v>0.03</v>
      </c>
      <c r="F9" s="27">
        <v>0.05</v>
      </c>
      <c r="G9" s="27">
        <v>0.04</v>
      </c>
      <c r="H9" s="27">
        <v>0.05</v>
      </c>
      <c r="I9" s="27">
        <v>0.02</v>
      </c>
      <c r="J9" s="27">
        <v>0.03</v>
      </c>
      <c r="K9" s="27">
        <v>0.04</v>
      </c>
    </row>
    <row r="10" spans="1:27" ht="14">
      <c r="B10" t="s">
        <v>8</v>
      </c>
      <c r="C10" s="27">
        <v>120.14</v>
      </c>
      <c r="D10" s="27">
        <v>77.91</v>
      </c>
      <c r="E10" s="27">
        <v>155</v>
      </c>
      <c r="F10" s="27">
        <v>119.78</v>
      </c>
      <c r="G10" s="27">
        <v>76.400000000000006</v>
      </c>
      <c r="H10" s="27">
        <v>59.19</v>
      </c>
      <c r="I10" s="27">
        <v>395.08</v>
      </c>
      <c r="J10" s="27">
        <v>156.74</v>
      </c>
      <c r="K10" s="27">
        <v>27.97</v>
      </c>
    </row>
    <row r="11" spans="1:27" ht="14">
      <c r="B11" t="s">
        <v>35</v>
      </c>
      <c r="C11" s="27">
        <v>1374</v>
      </c>
      <c r="D11" s="27">
        <v>351</v>
      </c>
      <c r="E11" s="27">
        <v>187</v>
      </c>
      <c r="F11" s="27">
        <v>112</v>
      </c>
      <c r="G11" s="27">
        <v>263</v>
      </c>
      <c r="H11" s="27">
        <v>101</v>
      </c>
      <c r="I11" s="27">
        <v>118</v>
      </c>
      <c r="J11" s="27">
        <v>95</v>
      </c>
      <c r="K11" s="27">
        <v>241</v>
      </c>
      <c r="U11" t="s">
        <v>171</v>
      </c>
      <c r="X11" t="s">
        <v>253</v>
      </c>
    </row>
    <row r="12" spans="1:27" ht="72">
      <c r="A12" s="1" t="s">
        <v>42</v>
      </c>
      <c r="B12" s="1" t="s">
        <v>19</v>
      </c>
      <c r="C12" s="1" t="s">
        <v>144</v>
      </c>
      <c r="D12" s="1" t="s">
        <v>145</v>
      </c>
      <c r="E12" s="1" t="s">
        <v>146</v>
      </c>
      <c r="F12" s="1" t="s">
        <v>147</v>
      </c>
      <c r="G12" s="1" t="s">
        <v>148</v>
      </c>
      <c r="H12" s="1" t="s">
        <v>149</v>
      </c>
      <c r="I12" s="1" t="s">
        <v>150</v>
      </c>
      <c r="J12" s="1" t="s">
        <v>151</v>
      </c>
      <c r="K12" s="1" t="s">
        <v>209</v>
      </c>
      <c r="T12" t="s">
        <v>19</v>
      </c>
      <c r="U12" s="1" t="s">
        <v>144</v>
      </c>
      <c r="V12" s="1" t="s">
        <v>145</v>
      </c>
      <c r="X12" t="s">
        <v>245</v>
      </c>
      <c r="Y12" t="s">
        <v>246</v>
      </c>
      <c r="Z12" t="s">
        <v>247</v>
      </c>
      <c r="AA12" t="s">
        <v>248</v>
      </c>
    </row>
    <row r="13" spans="1:27">
      <c r="A13">
        <f t="shared" ref="A13:A76" si="0">A14-1</f>
        <v>-80</v>
      </c>
      <c r="B13" s="6">
        <v>0</v>
      </c>
      <c r="C13" s="3">
        <f>C$8*(1-EXP(-C$9*$B13))^3</f>
        <v>0</v>
      </c>
      <c r="D13" s="3"/>
      <c r="E13" s="3">
        <f>E$8*(1-EXP(-E$9*$B13))^3</f>
        <v>0</v>
      </c>
      <c r="F13" s="3"/>
      <c r="G13" s="3">
        <f>G$8*(1-EXP(-G$9*$B13))^3</f>
        <v>0</v>
      </c>
      <c r="H13" s="3"/>
      <c r="I13" s="3">
        <f>I$8*(1-EXP(-I$9*$B13))^3</f>
        <v>0</v>
      </c>
      <c r="J13" s="3"/>
      <c r="K13" s="3">
        <f>K$8*(1-EXP(-K$9*$B13))^3</f>
        <v>0</v>
      </c>
    </row>
    <row r="14" spans="1:27">
      <c r="A14">
        <f t="shared" si="0"/>
        <v>-79</v>
      </c>
      <c r="B14" s="6">
        <v>1</v>
      </c>
      <c r="C14" s="3">
        <f t="shared" ref="C14:I77" si="1">C$8*(1-EXP(-C$9*$B14))^3</f>
        <v>1.304576931015696E-3</v>
      </c>
      <c r="D14" s="3"/>
      <c r="E14" s="3">
        <f t="shared" si="1"/>
        <v>6.6026606020347647E-3</v>
      </c>
      <c r="F14" s="3"/>
      <c r="G14" s="3">
        <f t="shared" si="1"/>
        <v>5.2954331509332108E-3</v>
      </c>
      <c r="H14" s="3"/>
      <c r="I14" s="3">
        <f t="shared" si="1"/>
        <v>3.6067441129759067E-3</v>
      </c>
      <c r="J14" s="3"/>
      <c r="K14" s="3">
        <f t="shared" ref="K14:K76" si="2">K$8*(1-EXP(-K$9*$B14))^3</f>
        <v>2.3896968363273279E-3</v>
      </c>
      <c r="W14" t="s">
        <v>249</v>
      </c>
      <c r="X14" s="4">
        <f>D113/C33</f>
        <v>3.0768081261001901</v>
      </c>
      <c r="Y14" s="4">
        <f>F113/E33</f>
        <v>2.1594756261238484</v>
      </c>
      <c r="Z14" s="4">
        <f>H113/G33</f>
        <v>1.3798308779301394</v>
      </c>
      <c r="AA14" s="4">
        <f>J113/I33</f>
        <v>1.8047521763441892</v>
      </c>
    </row>
    <row r="15" spans="1:27">
      <c r="A15">
        <f t="shared" si="0"/>
        <v>-78</v>
      </c>
      <c r="B15" s="6">
        <v>2</v>
      </c>
      <c r="C15" s="3">
        <f t="shared" si="1"/>
        <v>1.0129686160647853E-2</v>
      </c>
      <c r="D15" s="3"/>
      <c r="E15" s="3">
        <f t="shared" si="1"/>
        <v>5.051406025121101E-2</v>
      </c>
      <c r="F15" s="3"/>
      <c r="G15" s="3">
        <f t="shared" si="1"/>
        <v>3.9920352483698976E-2</v>
      </c>
      <c r="H15" s="3"/>
      <c r="I15" s="3">
        <f t="shared" si="1"/>
        <v>2.8005390144194252E-2</v>
      </c>
      <c r="J15" s="3"/>
      <c r="K15" s="3">
        <f t="shared" si="2"/>
        <v>1.8015058884947945E-2</v>
      </c>
      <c r="T15">
        <f>B15</f>
        <v>2</v>
      </c>
      <c r="U15" s="147"/>
      <c r="V15" s="147"/>
      <c r="W15" t="s">
        <v>250</v>
      </c>
      <c r="X15" s="4">
        <f>D133/C53</f>
        <v>2.0100286537785061</v>
      </c>
      <c r="Y15" s="4">
        <f>F133/E53</f>
        <v>1.4876335525545492</v>
      </c>
      <c r="Z15" s="4">
        <f>H133/G53</f>
        <v>1.1600278392059566</v>
      </c>
      <c r="AA15" s="4">
        <f>J133/I53</f>
        <v>1.4388459637076925</v>
      </c>
    </row>
    <row r="16" spans="1:27">
      <c r="A16">
        <f t="shared" si="0"/>
        <v>-77</v>
      </c>
      <c r="B16" s="6">
        <v>3</v>
      </c>
      <c r="C16" s="3">
        <f t="shared" si="1"/>
        <v>3.3185586831962252E-2</v>
      </c>
      <c r="D16" s="3"/>
      <c r="E16" s="3">
        <f t="shared" si="1"/>
        <v>0.1630748809800954</v>
      </c>
      <c r="F16" s="3"/>
      <c r="G16" s="3">
        <f t="shared" si="1"/>
        <v>0.12701198247343795</v>
      </c>
      <c r="H16" s="3"/>
      <c r="I16" s="3">
        <f t="shared" si="1"/>
        <v>9.1747690071939919E-2</v>
      </c>
      <c r="J16" s="3"/>
      <c r="K16" s="3">
        <f t="shared" si="2"/>
        <v>5.731733817448862E-2</v>
      </c>
      <c r="T16">
        <f t="shared" ref="T16:T79" si="3">B16</f>
        <v>3</v>
      </c>
      <c r="U16" s="147">
        <f t="shared" ref="U16:U78" si="4">((C16-C15)/C15)</f>
        <v>2.2760725560168624</v>
      </c>
      <c r="V16" s="147">
        <f t="shared" ref="V16:V79" si="5">(D95-D94)/D94</f>
        <v>6.5386377933340238</v>
      </c>
      <c r="W16" t="s">
        <v>251</v>
      </c>
      <c r="X16" s="4">
        <f>D153/C73</f>
        <v>1.4545468106332449</v>
      </c>
      <c r="Y16" s="4">
        <f>F153/E73</f>
        <v>1.1584894049566978</v>
      </c>
      <c r="Z16" s="4">
        <f>H153/G73</f>
        <v>1.0410456562787358</v>
      </c>
      <c r="AA16" s="4">
        <f>J153/I73</f>
        <v>1.1998999079312536</v>
      </c>
    </row>
    <row r="17" spans="1:27">
      <c r="A17">
        <f t="shared" si="0"/>
        <v>-76</v>
      </c>
      <c r="B17" s="6">
        <v>4</v>
      </c>
      <c r="C17" s="3">
        <f t="shared" si="1"/>
        <v>7.6364034925272523E-2</v>
      </c>
      <c r="D17" s="3"/>
      <c r="E17" s="3">
        <f t="shared" si="1"/>
        <v>0.36982985834735005</v>
      </c>
      <c r="F17" s="3"/>
      <c r="G17" s="3">
        <f t="shared" si="1"/>
        <v>0.28392984503160806</v>
      </c>
      <c r="H17" s="3"/>
      <c r="I17" s="3">
        <f t="shared" si="1"/>
        <v>0.21112249255808696</v>
      </c>
      <c r="J17" s="3"/>
      <c r="K17" s="3">
        <f t="shared" si="2"/>
        <v>0.12813045374604898</v>
      </c>
      <c r="T17">
        <f t="shared" si="3"/>
        <v>4</v>
      </c>
      <c r="U17" s="147">
        <f t="shared" si="4"/>
        <v>1.3011205229531613</v>
      </c>
      <c r="V17" s="147">
        <f t="shared" si="5"/>
        <v>2.1816347945650492</v>
      </c>
      <c r="W17" t="s">
        <v>252</v>
      </c>
      <c r="X17" s="4">
        <f>D173/C93</f>
        <v>1.1463112776568429</v>
      </c>
      <c r="Y17" s="4">
        <f>F173/E93</f>
        <v>0.98819351873628192</v>
      </c>
      <c r="Z17" s="4">
        <f>H173/G93</f>
        <v>0.97777647778567078</v>
      </c>
      <c r="AA17" s="4">
        <f>J173/I93</f>
        <v>1.041213419305894</v>
      </c>
    </row>
    <row r="18" spans="1:27">
      <c r="A18">
        <f t="shared" si="0"/>
        <v>-75</v>
      </c>
      <c r="B18" s="6">
        <v>5</v>
      </c>
      <c r="C18" s="3">
        <f t="shared" si="1"/>
        <v>0.14480564018396114</v>
      </c>
      <c r="D18" s="3"/>
      <c r="E18" s="3">
        <f t="shared" si="1"/>
        <v>0.69123918027687448</v>
      </c>
      <c r="F18" s="3"/>
      <c r="G18" s="3">
        <f t="shared" si="1"/>
        <v>0.52319636570260764</v>
      </c>
      <c r="H18" s="3"/>
      <c r="I18" s="3">
        <f t="shared" si="1"/>
        <v>0.40034196362232427</v>
      </c>
      <c r="J18" s="3"/>
      <c r="K18" s="3">
        <f t="shared" si="2"/>
        <v>0.23610546375741537</v>
      </c>
      <c r="T18">
        <f t="shared" si="3"/>
        <v>5</v>
      </c>
      <c r="U18" s="147">
        <f t="shared" si="4"/>
        <v>0.89625443869831456</v>
      </c>
      <c r="V18" s="147">
        <f t="shared" si="5"/>
        <v>1.2354571553198643</v>
      </c>
    </row>
    <row r="19" spans="1:27">
      <c r="A19">
        <f t="shared" si="0"/>
        <v>-74</v>
      </c>
      <c r="B19" s="6">
        <v>6</v>
      </c>
      <c r="C19" s="3">
        <f t="shared" si="1"/>
        <v>0.24296247057162773</v>
      </c>
      <c r="D19" s="3"/>
      <c r="E19" s="3">
        <f t="shared" si="1"/>
        <v>1.1433153298843697</v>
      </c>
      <c r="F19" s="3"/>
      <c r="G19" s="3">
        <f t="shared" si="1"/>
        <v>0.85330729697217278</v>
      </c>
      <c r="H19" s="3"/>
      <c r="I19" s="3">
        <f t="shared" si="1"/>
        <v>0.67171466823811021</v>
      </c>
      <c r="J19" s="3"/>
      <c r="K19" s="3">
        <f t="shared" si="2"/>
        <v>0.38507628929846233</v>
      </c>
      <c r="T19">
        <f t="shared" si="3"/>
        <v>6</v>
      </c>
      <c r="U19" s="147">
        <f t="shared" si="4"/>
        <v>0.67785225950431294</v>
      </c>
      <c r="V19" s="147">
        <f t="shared" si="5"/>
        <v>0.84269591540953925</v>
      </c>
    </row>
    <row r="20" spans="1:27">
      <c r="A20">
        <f t="shared" si="0"/>
        <v>-73</v>
      </c>
      <c r="B20" s="6">
        <v>7</v>
      </c>
      <c r="C20" s="3">
        <f t="shared" si="1"/>
        <v>0.3746562147086363</v>
      </c>
      <c r="D20" s="3"/>
      <c r="E20" s="3">
        <f t="shared" si="1"/>
        <v>1.7381925933728621</v>
      </c>
      <c r="F20" s="3"/>
      <c r="G20" s="3">
        <f t="shared" si="1"/>
        <v>1.279428579016562</v>
      </c>
      <c r="H20" s="3"/>
      <c r="I20" s="3">
        <f t="shared" si="1"/>
        <v>1.0358063711414449</v>
      </c>
      <c r="J20" s="3"/>
      <c r="K20" s="3">
        <f t="shared" si="2"/>
        <v>0.57737419025747405</v>
      </c>
      <c r="T20">
        <f t="shared" si="3"/>
        <v>7</v>
      </c>
      <c r="U20" s="147">
        <f t="shared" si="4"/>
        <v>0.54203327710311522</v>
      </c>
      <c r="V20" s="147">
        <f t="shared" si="5"/>
        <v>0.63095035231419205</v>
      </c>
    </row>
    <row r="21" spans="1:27">
      <c r="A21">
        <f t="shared" si="0"/>
        <v>-72</v>
      </c>
      <c r="B21" s="6">
        <v>8</v>
      </c>
      <c r="C21" s="3">
        <f t="shared" si="1"/>
        <v>0.54313219331353713</v>
      </c>
      <c r="D21" s="3"/>
      <c r="E21" s="3">
        <f t="shared" si="1"/>
        <v>2.4846357849108904</v>
      </c>
      <c r="F21" s="3"/>
      <c r="G21" s="3">
        <f t="shared" si="1"/>
        <v>1.8039942301112828</v>
      </c>
      <c r="H21" s="3"/>
      <c r="I21" s="3">
        <f t="shared" si="1"/>
        <v>1.5015893614461922</v>
      </c>
      <c r="J21" s="3"/>
      <c r="K21" s="3">
        <f t="shared" si="2"/>
        <v>0.81409757834256891</v>
      </c>
      <c r="T21">
        <f t="shared" si="3"/>
        <v>8</v>
      </c>
      <c r="U21" s="147">
        <f t="shared" si="4"/>
        <v>0.44968152666551037</v>
      </c>
      <c r="V21" s="147">
        <f t="shared" si="5"/>
        <v>0.49937611404052673</v>
      </c>
    </row>
    <row r="22" spans="1:27">
      <c r="A22">
        <f t="shared" si="0"/>
        <v>-71</v>
      </c>
      <c r="B22" s="6">
        <v>9</v>
      </c>
      <c r="C22" s="3">
        <f t="shared" si="1"/>
        <v>0.7511094924364492</v>
      </c>
      <c r="D22" s="3"/>
      <c r="E22" s="3">
        <f t="shared" si="1"/>
        <v>3.3884941316335397</v>
      </c>
      <c r="F22" s="3"/>
      <c r="G22" s="3">
        <f t="shared" si="1"/>
        <v>2.4272180716821707</v>
      </c>
      <c r="H22" s="3"/>
      <c r="I22" s="3">
        <f t="shared" si="1"/>
        <v>2.0765810552362822</v>
      </c>
      <c r="J22" s="3"/>
      <c r="K22" s="3">
        <f t="shared" si="2"/>
        <v>1.0953429458274277</v>
      </c>
      <c r="T22">
        <f t="shared" si="3"/>
        <v>9</v>
      </c>
      <c r="U22" s="147">
        <f t="shared" si="4"/>
        <v>0.38292206148577862</v>
      </c>
      <c r="V22" s="147">
        <f t="shared" si="5"/>
        <v>0.4099999481783736</v>
      </c>
    </row>
    <row r="23" spans="1:27">
      <c r="A23">
        <f t="shared" si="0"/>
        <v>-70</v>
      </c>
      <c r="B23" s="6">
        <v>10</v>
      </c>
      <c r="C23" s="3">
        <f t="shared" si="1"/>
        <v>1.000827474146279</v>
      </c>
      <c r="D23" s="3"/>
      <c r="E23" s="3">
        <f t="shared" si="1"/>
        <v>4.4531057081654515</v>
      </c>
      <c r="F23" s="3"/>
      <c r="G23" s="3">
        <f t="shared" si="1"/>
        <v>3.1475305184907327</v>
      </c>
      <c r="H23" s="3"/>
      <c r="I23" s="3">
        <f t="shared" si="1"/>
        <v>2.7669725829593164</v>
      </c>
      <c r="J23" s="3"/>
      <c r="K23" s="3">
        <f t="shared" si="2"/>
        <v>1.4204019780620747</v>
      </c>
      <c r="T23">
        <f t="shared" si="3"/>
        <v>10</v>
      </c>
      <c r="U23" s="147">
        <f t="shared" si="4"/>
        <v>0.33246548502508544</v>
      </c>
      <c r="V23" s="147">
        <f t="shared" si="5"/>
        <v>0.34546886634578827</v>
      </c>
    </row>
    <row r="24" spans="1:27">
      <c r="A24">
        <f t="shared" si="0"/>
        <v>-69</v>
      </c>
      <c r="B24" s="6">
        <v>11</v>
      </c>
      <c r="C24" s="3">
        <f t="shared" si="1"/>
        <v>1.2940889042547259</v>
      </c>
      <c r="D24" s="3"/>
      <c r="E24" s="3">
        <f t="shared" si="1"/>
        <v>5.6796573064658462</v>
      </c>
      <c r="F24" s="3"/>
      <c r="G24" s="3">
        <f t="shared" si="1"/>
        <v>3.961950277820613</v>
      </c>
      <c r="H24" s="3"/>
      <c r="I24" s="3">
        <f t="shared" si="1"/>
        <v>3.5777480239929358</v>
      </c>
      <c r="J24" s="3"/>
      <c r="K24" s="3">
        <f t="shared" si="2"/>
        <v>1.7879292920401766</v>
      </c>
      <c r="T24">
        <f t="shared" si="3"/>
        <v>11</v>
      </c>
      <c r="U24" s="147">
        <f t="shared" si="4"/>
        <v>0.29301896449096115</v>
      </c>
      <c r="V24" s="147">
        <f t="shared" si="5"/>
        <v>0.29676461922078284</v>
      </c>
    </row>
    <row r="25" spans="1:27">
      <c r="A25">
        <f t="shared" si="0"/>
        <v>-68</v>
      </c>
      <c r="B25" s="6">
        <v>12</v>
      </c>
      <c r="C25" s="3">
        <f t="shared" si="1"/>
        <v>1.6322999215645968</v>
      </c>
      <c r="D25" s="3"/>
      <c r="E25" s="3">
        <f t="shared" si="1"/>
        <v>7.0675041688769218</v>
      </c>
      <c r="F25" s="3"/>
      <c r="G25" s="3">
        <f t="shared" si="1"/>
        <v>4.8663995807697082</v>
      </c>
      <c r="H25" s="3"/>
      <c r="I25" s="3">
        <f t="shared" si="1"/>
        <v>4.5127949090212072</v>
      </c>
      <c r="J25" s="3"/>
      <c r="K25" s="3">
        <f t="shared" si="2"/>
        <v>2.1960846924147455</v>
      </c>
      <c r="T25">
        <f t="shared" si="3"/>
        <v>12</v>
      </c>
      <c r="U25" s="147">
        <f t="shared" si="4"/>
        <v>0.26135068170192588</v>
      </c>
      <c r="V25" s="147">
        <f t="shared" si="5"/>
        <v>0.25874880467256001</v>
      </c>
    </row>
    <row r="26" spans="1:27">
      <c r="A26">
        <f t="shared" si="0"/>
        <v>-67</v>
      </c>
      <c r="B26" s="6">
        <v>13</v>
      </c>
      <c r="C26" s="3">
        <f t="shared" si="1"/>
        <v>2.0165070589588248</v>
      </c>
      <c r="D26" s="3"/>
      <c r="E26" s="3">
        <f t="shared" si="1"/>
        <v>8.6144535959512254</v>
      </c>
      <c r="F26" s="3"/>
      <c r="G26" s="3">
        <f t="shared" si="1"/>
        <v>5.8559704943969555</v>
      </c>
      <c r="H26" s="3"/>
      <c r="I26" s="3">
        <f t="shared" si="1"/>
        <v>5.5750065716795936</v>
      </c>
      <c r="J26" s="3"/>
      <c r="K26" s="3">
        <f t="shared" si="2"/>
        <v>2.6426533515243094</v>
      </c>
      <c r="T26">
        <f t="shared" si="3"/>
        <v>13</v>
      </c>
      <c r="U26" s="147">
        <f t="shared" si="4"/>
        <v>0.23537778340757171</v>
      </c>
      <c r="V26" s="147">
        <f t="shared" si="5"/>
        <v>0.22828386010099402</v>
      </c>
    </row>
    <row r="27" spans="1:27">
      <c r="A27">
        <f t="shared" si="0"/>
        <v>-66</v>
      </c>
      <c r="B27" s="6">
        <v>14</v>
      </c>
      <c r="C27" s="3">
        <f t="shared" si="1"/>
        <v>2.4474315133441817</v>
      </c>
      <c r="D27" s="3"/>
      <c r="E27" s="3">
        <f t="shared" si="1"/>
        <v>10.317016062229655</v>
      </c>
      <c r="F27" s="3"/>
      <c r="G27" s="3">
        <f t="shared" si="1"/>
        <v>6.9251489183218951</v>
      </c>
      <c r="H27" s="3"/>
      <c r="I27" s="3">
        <f t="shared" si="1"/>
        <v>6.7663768941500901</v>
      </c>
      <c r="J27" s="3"/>
      <c r="K27" s="3">
        <f t="shared" si="2"/>
        <v>3.1251468934685782</v>
      </c>
      <c r="T27">
        <f t="shared" si="3"/>
        <v>14</v>
      </c>
      <c r="U27" s="147">
        <f t="shared" si="4"/>
        <v>0.21369846064801507</v>
      </c>
      <c r="V27" s="147">
        <f t="shared" si="5"/>
        <v>0.20334764895543767</v>
      </c>
    </row>
    <row r="28" spans="1:27">
      <c r="A28">
        <f t="shared" si="0"/>
        <v>-65</v>
      </c>
      <c r="B28" s="6">
        <v>15</v>
      </c>
      <c r="C28" s="3">
        <f t="shared" si="1"/>
        <v>2.9255008489777561</v>
      </c>
      <c r="D28" s="3"/>
      <c r="E28" s="3">
        <f t="shared" si="1"/>
        <v>12.170627129256564</v>
      </c>
      <c r="F28" s="3"/>
      <c r="G28" s="3">
        <f t="shared" si="1"/>
        <v>8.0680020382214934</v>
      </c>
      <c r="H28" s="3"/>
      <c r="I28" s="3">
        <f t="shared" si="1"/>
        <v>8.0880879568685167</v>
      </c>
      <c r="J28" s="3"/>
      <c r="K28" s="3">
        <f t="shared" si="2"/>
        <v>3.6408879871937612</v>
      </c>
      <c r="T28">
        <f t="shared" si="3"/>
        <v>15</v>
      </c>
      <c r="U28" s="147">
        <f t="shared" si="4"/>
        <v>0.19533512297565303</v>
      </c>
      <c r="V28" s="147">
        <f t="shared" si="5"/>
        <v>0.18257920270396485</v>
      </c>
    </row>
    <row r="29" spans="1:27">
      <c r="A29">
        <f t="shared" si="0"/>
        <v>-64</v>
      </c>
      <c r="B29" s="6">
        <v>16</v>
      </c>
      <c r="C29" s="3">
        <f t="shared" si="1"/>
        <v>3.4508783069854148</v>
      </c>
      <c r="D29" s="3"/>
      <c r="E29" s="3">
        <f t="shared" si="1"/>
        <v>14.169843132666989</v>
      </c>
      <c r="F29" s="3"/>
      <c r="G29" s="3">
        <f t="shared" si="1"/>
        <v>9.2783342780716058</v>
      </c>
      <c r="H29" s="3"/>
      <c r="I29" s="3">
        <f t="shared" si="1"/>
        <v>9.5405910701069718</v>
      </c>
      <c r="J29" s="3"/>
      <c r="K29" s="3">
        <f t="shared" si="2"/>
        <v>4.1870807238474326</v>
      </c>
      <c r="T29">
        <f t="shared" si="3"/>
        <v>16</v>
      </c>
      <c r="U29" s="147">
        <f t="shared" si="4"/>
        <v>0.17958547446371065</v>
      </c>
      <c r="V29" s="147">
        <f t="shared" si="5"/>
        <v>0.16502939263529007</v>
      </c>
    </row>
    <row r="30" spans="1:27">
      <c r="A30">
        <f t="shared" si="0"/>
        <v>-63</v>
      </c>
      <c r="B30" s="6">
        <v>17</v>
      </c>
      <c r="C30" s="3">
        <f t="shared" si="1"/>
        <v>4.0234898828837915</v>
      </c>
      <c r="D30" s="3"/>
      <c r="E30" s="3">
        <f t="shared" si="1"/>
        <v>16.308513336349812</v>
      </c>
      <c r="F30" s="3"/>
      <c r="G30" s="3">
        <f t="shared" si="1"/>
        <v>10.549816151059943</v>
      </c>
      <c r="H30" s="3"/>
      <c r="I30" s="3">
        <f t="shared" si="1"/>
        <v>11.123681634789415</v>
      </c>
      <c r="J30" s="3"/>
      <c r="K30" s="3">
        <f t="shared" si="2"/>
        <v>4.760868763980147</v>
      </c>
      <c r="T30">
        <f t="shared" si="3"/>
        <v>17</v>
      </c>
      <c r="U30" s="147">
        <f t="shared" si="4"/>
        <v>0.16593212653696654</v>
      </c>
      <c r="V30" s="147">
        <f t="shared" si="5"/>
        <v>0.15001635276196804</v>
      </c>
    </row>
    <row r="31" spans="1:27">
      <c r="A31">
        <f t="shared" si="0"/>
        <v>-62</v>
      </c>
      <c r="B31" s="6">
        <v>18</v>
      </c>
      <c r="C31" s="3">
        <f t="shared" si="1"/>
        <v>4.643049323596939</v>
      </c>
      <c r="D31" s="3"/>
      <c r="E31" s="3">
        <f t="shared" si="1"/>
        <v>18.579930988916129</v>
      </c>
      <c r="F31" s="3"/>
      <c r="G31" s="3">
        <f t="shared" si="1"/>
        <v>11.876089845357578</v>
      </c>
      <c r="H31" s="3"/>
      <c r="I31" s="3">
        <f t="shared" si="1"/>
        <v>12.836568251365579</v>
      </c>
      <c r="J31" s="3"/>
      <c r="K31" s="3">
        <f t="shared" si="2"/>
        <v>5.3593829857692894</v>
      </c>
      <c r="T31">
        <f t="shared" si="3"/>
        <v>18</v>
      </c>
      <c r="U31" s="147">
        <f t="shared" si="4"/>
        <v>0.15398558434278581</v>
      </c>
      <c r="V31" s="147">
        <f t="shared" si="5"/>
        <v>0.13703773057555763</v>
      </c>
    </row>
    <row r="32" spans="1:27">
      <c r="A32">
        <f t="shared" si="0"/>
        <v>-61</v>
      </c>
      <c r="B32" s="6">
        <v>19</v>
      </c>
      <c r="C32" s="3">
        <f t="shared" si="1"/>
        <v>5.3090811857751401</v>
      </c>
      <c r="D32" s="3"/>
      <c r="E32" s="3">
        <f t="shared" si="1"/>
        <v>20.976965483645014</v>
      </c>
      <c r="F32" s="3"/>
      <c r="G32" s="3">
        <f t="shared" si="1"/>
        <v>13.250854886103543</v>
      </c>
      <c r="H32" s="3"/>
      <c r="I32" s="3">
        <f t="shared" si="1"/>
        <v>14.677936468796293</v>
      </c>
      <c r="J32" s="3"/>
      <c r="K32" s="3">
        <f t="shared" si="2"/>
        <v>5.9797801421350689</v>
      </c>
      <c r="T32">
        <f t="shared" si="3"/>
        <v>19</v>
      </c>
      <c r="U32" s="147">
        <f t="shared" si="4"/>
        <v>0.14344707879653337</v>
      </c>
      <c r="V32" s="147">
        <f t="shared" si="5"/>
        <v>0.1257153371496795</v>
      </c>
    </row>
    <row r="33" spans="1:22">
      <c r="A33">
        <f t="shared" si="0"/>
        <v>-60</v>
      </c>
      <c r="B33" s="6">
        <v>20</v>
      </c>
      <c r="C33" s="3">
        <f t="shared" si="1"/>
        <v>6.020942088137498</v>
      </c>
      <c r="D33" s="3"/>
      <c r="E33" s="3">
        <f t="shared" si="1"/>
        <v>23.49217761060919</v>
      </c>
      <c r="F33" s="3"/>
      <c r="G33" s="3">
        <f t="shared" si="1"/>
        <v>14.667936780839366</v>
      </c>
      <c r="H33" s="3"/>
      <c r="I33" s="3">
        <f t="shared" si="1"/>
        <v>16.646007540583675</v>
      </c>
      <c r="J33" s="3"/>
      <c r="K33" s="3">
        <f t="shared" si="2"/>
        <v>6.6192738387121182</v>
      </c>
      <c r="T33">
        <f t="shared" si="3"/>
        <v>20</v>
      </c>
      <c r="U33" s="147">
        <f t="shared" si="4"/>
        <v>0.1340836347105934</v>
      </c>
      <c r="V33" s="147">
        <f t="shared" si="5"/>
        <v>0.11575906368571019</v>
      </c>
    </row>
    <row r="34" spans="1:22">
      <c r="A34">
        <f t="shared" si="0"/>
        <v>-59</v>
      </c>
      <c r="B34" s="6">
        <v>21</v>
      </c>
      <c r="C34" s="3">
        <f t="shared" si="1"/>
        <v>6.7778402820363954</v>
      </c>
      <c r="D34" s="3"/>
      <c r="E34" s="3">
        <f t="shared" si="1"/>
        <v>26.117919696857953</v>
      </c>
      <c r="F34" s="3"/>
      <c r="G34" s="3">
        <f t="shared" si="1"/>
        <v>16.121341174995308</v>
      </c>
      <c r="H34" s="3"/>
      <c r="I34" s="3">
        <f t="shared" si="1"/>
        <v>18.73859253121471</v>
      </c>
      <c r="J34" s="3"/>
      <c r="K34" s="3">
        <f t="shared" si="2"/>
        <v>7.2751589728690114</v>
      </c>
      <c r="T34">
        <f t="shared" si="3"/>
        <v>21</v>
      </c>
      <c r="U34" s="147">
        <f t="shared" si="4"/>
        <v>0.12571092410773116</v>
      </c>
      <c r="V34" s="147">
        <f t="shared" si="5"/>
        <v>0.10694267705111976</v>
      </c>
    </row>
    <row r="35" spans="1:22">
      <c r="A35">
        <f t="shared" si="0"/>
        <v>-58</v>
      </c>
      <c r="B35" s="6">
        <v>22</v>
      </c>
      <c r="C35" s="3">
        <f t="shared" si="1"/>
        <v>7.5788536564457836</v>
      </c>
      <c r="D35" s="3"/>
      <c r="E35" s="3">
        <f t="shared" si="1"/>
        <v>28.846422255583846</v>
      </c>
      <c r="F35" s="3"/>
      <c r="G35" s="3">
        <f t="shared" si="1"/>
        <v>17.605295710487006</v>
      </c>
      <c r="H35" s="3"/>
      <c r="I35" s="3">
        <f t="shared" si="1"/>
        <v>20.953142094280121</v>
      </c>
      <c r="J35" s="3"/>
      <c r="K35" s="3">
        <f t="shared" si="2"/>
        <v>7.9448306234483717</v>
      </c>
      <c r="T35">
        <f t="shared" si="3"/>
        <v>22</v>
      </c>
      <c r="U35" s="147">
        <f t="shared" si="4"/>
        <v>0.11818121128235327</v>
      </c>
      <c r="V35" s="147">
        <f t="shared" si="5"/>
        <v>9.9087173327234004E-2</v>
      </c>
    </row>
    <row r="36" spans="1:22">
      <c r="A36">
        <f t="shared" si="0"/>
        <v>-57</v>
      </c>
      <c r="B36" s="6">
        <v>23</v>
      </c>
      <c r="C36" s="3">
        <f t="shared" si="1"/>
        <v>8.4229462860755522</v>
      </c>
      <c r="D36" s="3"/>
      <c r="E36" s="3">
        <f t="shared" si="1"/>
        <v>31.669868606508935</v>
      </c>
      <c r="F36" s="3"/>
      <c r="G36" s="3">
        <f t="shared" si="1"/>
        <v>19.114281488393736</v>
      </c>
      <c r="H36" s="3"/>
      <c r="I36" s="3">
        <f t="shared" si="1"/>
        <v>23.286792222795917</v>
      </c>
      <c r="J36" s="3"/>
      <c r="K36" s="3">
        <f t="shared" si="2"/>
        <v>8.6257982490884295</v>
      </c>
      <c r="T36">
        <f t="shared" si="3"/>
        <v>23</v>
      </c>
      <c r="U36" s="147">
        <f t="shared" si="4"/>
        <v>0.11137471019932828</v>
      </c>
      <c r="V36" s="147">
        <f t="shared" si="5"/>
        <v>9.2049074539366338E-2</v>
      </c>
    </row>
    <row r="37" spans="1:22">
      <c r="A37">
        <f t="shared" si="0"/>
        <v>-56</v>
      </c>
      <c r="B37" s="6">
        <v>24</v>
      </c>
      <c r="C37" s="3">
        <f t="shared" si="1"/>
        <v>9.3089836242797599</v>
      </c>
      <c r="D37" s="3"/>
      <c r="E37" s="3">
        <f t="shared" si="1"/>
        <v>34.58045878582773</v>
      </c>
      <c r="F37" s="3"/>
      <c r="G37" s="3">
        <f t="shared" si="1"/>
        <v>20.64305578107804</v>
      </c>
      <c r="H37" s="3"/>
      <c r="I37" s="3">
        <f t="shared" si="1"/>
        <v>25.736406252807015</v>
      </c>
      <c r="J37" s="3"/>
      <c r="K37" s="3">
        <f t="shared" si="2"/>
        <v>9.315695937635855</v>
      </c>
      <c r="T37">
        <f t="shared" si="3"/>
        <v>24</v>
      </c>
      <c r="U37" s="147">
        <f t="shared" si="4"/>
        <v>0.10519327894432451</v>
      </c>
      <c r="V37" s="147">
        <f t="shared" si="5"/>
        <v>8.5712038168598695E-2</v>
      </c>
    </row>
    <row r="38" spans="1:22">
      <c r="A38">
        <f t="shared" si="0"/>
        <v>-55</v>
      </c>
      <c r="B38" s="6">
        <v>25</v>
      </c>
      <c r="C38" s="3">
        <f t="shared" si="1"/>
        <v>10.235746435830315</v>
      </c>
      <c r="D38" s="3"/>
      <c r="E38" s="3">
        <f t="shared" si="1"/>
        <v>37.570463933595661</v>
      </c>
      <c r="F38" s="3"/>
      <c r="G38" s="3">
        <f t="shared" si="1"/>
        <v>22.186667415580526</v>
      </c>
      <c r="H38" s="3"/>
      <c r="I38" s="3">
        <f t="shared" si="1"/>
        <v>28.298613383115946</v>
      </c>
      <c r="J38" s="3"/>
      <c r="K38" s="3">
        <f t="shared" si="2"/>
        <v>10.012289348287933</v>
      </c>
      <c r="T38">
        <f t="shared" si="3"/>
        <v>25</v>
      </c>
      <c r="U38" s="147">
        <f t="shared" si="4"/>
        <v>9.9555746250682531E-2</v>
      </c>
      <c r="V38" s="147">
        <f t="shared" si="5"/>
        <v>7.9980735536022293E-2</v>
      </c>
    </row>
    <row r="39" spans="1:22">
      <c r="A39">
        <f t="shared" si="0"/>
        <v>-54</v>
      </c>
      <c r="B39" s="6">
        <v>26</v>
      </c>
      <c r="C39" s="3">
        <f t="shared" si="1"/>
        <v>11.201943558441718</v>
      </c>
      <c r="D39" s="3"/>
      <c r="E39" s="3">
        <f t="shared" si="1"/>
        <v>40.63227222823452</v>
      </c>
      <c r="F39" s="3"/>
      <c r="G39" s="3">
        <f t="shared" si="1"/>
        <v>23.740466054806873</v>
      </c>
      <c r="H39" s="3"/>
      <c r="I39" s="3">
        <f t="shared" si="1"/>
        <v>30.969843956877341</v>
      </c>
      <c r="J39" s="3"/>
      <c r="K39" s="3">
        <f t="shared" si="2"/>
        <v>10.713479899960662</v>
      </c>
      <c r="T39">
        <f t="shared" si="3"/>
        <v>26</v>
      </c>
      <c r="U39" s="147">
        <f t="shared" si="4"/>
        <v>9.4394397972699093E-2</v>
      </c>
      <c r="V39" s="147">
        <f t="shared" si="5"/>
        <v>7.4776314653831472E-2</v>
      </c>
    </row>
    <row r="40" spans="1:22">
      <c r="A40">
        <f t="shared" si="0"/>
        <v>-53</v>
      </c>
      <c r="B40" s="6">
        <v>27</v>
      </c>
      <c r="C40" s="3">
        <f t="shared" si="1"/>
        <v>12.206223576133153</v>
      </c>
      <c r="D40" s="3"/>
      <c r="E40" s="3">
        <f t="shared" si="1"/>
        <v>43.758427330730001</v>
      </c>
      <c r="F40" s="3"/>
      <c r="G40" s="3">
        <f t="shared" si="1"/>
        <v>25.300106432500851</v>
      </c>
      <c r="H40" s="3"/>
      <c r="I40" s="3">
        <f t="shared" si="1"/>
        <v>33.746361734765557</v>
      </c>
      <c r="J40" s="3"/>
      <c r="K40" s="3">
        <f t="shared" si="2"/>
        <v>11.417306682426386</v>
      </c>
      <c r="T40">
        <f t="shared" si="3"/>
        <v>27</v>
      </c>
      <c r="U40" s="147">
        <f t="shared" si="4"/>
        <v>8.9652301178987467E-2</v>
      </c>
      <c r="V40" s="147">
        <f t="shared" si="5"/>
        <v>7.0032989187695585E-2</v>
      </c>
    </row>
    <row r="41" spans="1:22">
      <c r="A41">
        <f t="shared" si="0"/>
        <v>-52</v>
      </c>
      <c r="B41" s="6">
        <v>28</v>
      </c>
      <c r="C41" s="3">
        <f t="shared" si="1"/>
        <v>13.247185482076821</v>
      </c>
      <c r="D41" s="3"/>
      <c r="E41" s="3">
        <f t="shared" si="1"/>
        <v>46.941660204104622</v>
      </c>
      <c r="F41" s="3"/>
      <c r="G41" s="3">
        <f t="shared" si="1"/>
        <v>26.861548449251504</v>
      </c>
      <c r="H41" s="3"/>
      <c r="I41" s="3">
        <f t="shared" si="1"/>
        <v>36.624293374390213</v>
      </c>
      <c r="J41" s="3"/>
      <c r="K41" s="3">
        <f t="shared" si="2"/>
        <v>12.121946499639455</v>
      </c>
      <c r="T41">
        <f t="shared" si="3"/>
        <v>28</v>
      </c>
      <c r="U41" s="147">
        <f t="shared" si="4"/>
        <v>8.5281241937847363E-2</v>
      </c>
      <c r="V41" s="147">
        <f t="shared" si="5"/>
        <v>6.5695440607333191E-2</v>
      </c>
    </row>
    <row r="42" spans="1:22">
      <c r="A42">
        <f t="shared" si="0"/>
        <v>-51</v>
      </c>
      <c r="B42" s="6">
        <v>29</v>
      </c>
      <c r="C42" s="3">
        <f t="shared" si="1"/>
        <v>14.323388403485012</v>
      </c>
      <c r="D42" s="3"/>
      <c r="E42" s="3">
        <f t="shared" si="1"/>
        <v>50.174915085944882</v>
      </c>
      <c r="F42" s="3"/>
      <c r="G42" s="3">
        <f t="shared" si="1"/>
        <v>28.421053907160353</v>
      </c>
      <c r="H42" s="3"/>
      <c r="I42" s="3">
        <f t="shared" si="1"/>
        <v>39.599655316544442</v>
      </c>
      <c r="J42" s="3"/>
      <c r="K42" s="3">
        <f t="shared" si="2"/>
        <v>12.825712396173001</v>
      </c>
      <c r="T42">
        <f t="shared" si="3"/>
        <v>29</v>
      </c>
      <c r="U42" s="147">
        <f t="shared" si="4"/>
        <v>8.124011873044823E-2</v>
      </c>
      <c r="V42" s="147">
        <f t="shared" si="5"/>
        <v>6.1716816129469124E-2</v>
      </c>
    </row>
    <row r="43" spans="1:22">
      <c r="A43">
        <f t="shared" si="0"/>
        <v>-50</v>
      </c>
      <c r="B43" s="6">
        <v>30</v>
      </c>
      <c r="C43" s="3">
        <f t="shared" si="1"/>
        <v>15.433360456310989</v>
      </c>
      <c r="D43" s="3"/>
      <c r="E43" s="3">
        <f t="shared" si="1"/>
        <v>53.451370312300639</v>
      </c>
      <c r="F43" s="3"/>
      <c r="G43" s="3">
        <f t="shared" si="1"/>
        <v>29.975180547952299</v>
      </c>
      <c r="H43" s="3"/>
      <c r="I43" s="3">
        <f t="shared" si="1"/>
        <v>42.668378265662504</v>
      </c>
      <c r="J43" s="3"/>
      <c r="K43" s="3">
        <f t="shared" si="2"/>
        <v>13.527050966767179</v>
      </c>
      <c r="T43">
        <f t="shared" si="3"/>
        <v>30</v>
      </c>
      <c r="U43" s="147">
        <f t="shared" si="4"/>
        <v>7.7493678280476624E-2</v>
      </c>
      <c r="V43" s="147">
        <f t="shared" si="5"/>
        <v>5.8057168999589202E-2</v>
      </c>
    </row>
    <row r="44" spans="1:22">
      <c r="A44">
        <f t="shared" si="0"/>
        <v>-49</v>
      </c>
      <c r="B44" s="6">
        <v>31</v>
      </c>
      <c r="C44" s="3">
        <f t="shared" si="1"/>
        <v>16.575606793061986</v>
      </c>
      <c r="D44" s="3"/>
      <c r="E44" s="3">
        <f t="shared" si="1"/>
        <v>56.764454619395174</v>
      </c>
      <c r="F44" s="3"/>
      <c r="G44" s="3">
        <f t="shared" si="1"/>
        <v>31.520773961191342</v>
      </c>
      <c r="H44" s="3"/>
      <c r="I44" s="3">
        <f t="shared" si="1"/>
        <v>45.82632943948667</v>
      </c>
      <c r="J44" s="3"/>
      <c r="K44" s="3">
        <f t="shared" si="2"/>
        <v>14.224538704708843</v>
      </c>
      <c r="T44">
        <f t="shared" si="3"/>
        <v>31</v>
      </c>
      <c r="U44" s="147">
        <f t="shared" si="4"/>
        <v>7.401151162020006E-2</v>
      </c>
      <c r="V44" s="147">
        <f t="shared" si="5"/>
        <v>5.4682231203270183E-2</v>
      </c>
    </row>
    <row r="45" spans="1:22">
      <c r="A45">
        <f t="shared" si="0"/>
        <v>-48</v>
      </c>
      <c r="B45" s="6">
        <v>32</v>
      </c>
      <c r="C45" s="3">
        <f t="shared" si="1"/>
        <v>17.74861690282755</v>
      </c>
      <c r="D45" s="3"/>
      <c r="E45" s="3">
        <f t="shared" si="1"/>
        <v>60.107859484589369</v>
      </c>
      <c r="F45" s="3"/>
      <c r="G45" s="3">
        <f t="shared" si="1"/>
        <v>33.054957844039926</v>
      </c>
      <c r="H45" s="3"/>
      <c r="I45" s="3">
        <f t="shared" si="1"/>
        <v>49.069332751345222</v>
      </c>
      <c r="J45" s="3"/>
      <c r="K45" s="3">
        <f t="shared" si="2"/>
        <v>14.916877606303993</v>
      </c>
      <c r="T45">
        <f t="shared" si="3"/>
        <v>32</v>
      </c>
      <c r="U45" s="147">
        <f t="shared" si="4"/>
        <v>7.0767249996334824E-2</v>
      </c>
      <c r="V45" s="147">
        <f t="shared" si="5"/>
        <v>5.1562438823896474E-2</v>
      </c>
    </row>
    <row r="46" spans="1:22">
      <c r="A46">
        <f t="shared" si="0"/>
        <v>-47</v>
      </c>
      <c r="B46" s="6">
        <v>33</v>
      </c>
      <c r="C46" s="3">
        <f t="shared" si="1"/>
        <v>18.950871218695532</v>
      </c>
      <c r="D46" s="3"/>
      <c r="E46" s="3">
        <f t="shared" si="1"/>
        <v>63.475548009300326</v>
      </c>
      <c r="F46" s="3"/>
      <c r="G46" s="3">
        <f t="shared" si="1"/>
        <v>34.575123020082806</v>
      </c>
      <c r="H46" s="3"/>
      <c r="I46" s="3">
        <f t="shared" si="1"/>
        <v>52.39318707757549</v>
      </c>
      <c r="J46" s="3"/>
      <c r="K46" s="3">
        <f t="shared" si="2"/>
        <v>15.602890215347021</v>
      </c>
      <c r="T46">
        <f t="shared" si="3"/>
        <v>33</v>
      </c>
      <c r="U46" s="147">
        <f t="shared" si="4"/>
        <v>6.7737915717615726E-2</v>
      </c>
      <c r="V46" s="147">
        <f t="shared" si="5"/>
        <v>4.8672151411557583E-2</v>
      </c>
    </row>
    <row r="47" spans="1:22">
      <c r="A47">
        <f t="shared" si="0"/>
        <v>-46</v>
      </c>
      <c r="B47" s="6">
        <v>34</v>
      </c>
      <c r="C47" s="3">
        <f t="shared" si="1"/>
        <v>20.180847084046018</v>
      </c>
      <c r="D47" s="3"/>
      <c r="E47" s="3">
        <f t="shared" si="1"/>
        <v>66.861760793503805</v>
      </c>
      <c r="F47" s="3"/>
      <c r="G47" s="3">
        <f t="shared" si="1"/>
        <v>36.078915560711039</v>
      </c>
      <c r="H47" s="3"/>
      <c r="I47" s="3">
        <f t="shared" si="1"/>
        <v>55.793682752446458</v>
      </c>
      <c r="J47" s="3"/>
      <c r="K47" s="3">
        <f t="shared" si="2"/>
        <v>16.281514262597739</v>
      </c>
      <c r="T47">
        <f t="shared" si="3"/>
        <v>34</v>
      </c>
      <c r="U47" s="147">
        <f t="shared" si="4"/>
        <v>6.4903394211084209E-2</v>
      </c>
      <c r="V47" s="147">
        <f t="shared" si="5"/>
        <v>4.5989021774443785E-2</v>
      </c>
    </row>
    <row r="48" spans="1:22">
      <c r="A48">
        <f t="shared" si="0"/>
        <v>-45</v>
      </c>
      <c r="B48" s="6">
        <v>35</v>
      </c>
      <c r="C48" s="3">
        <f t="shared" si="1"/>
        <v>21.43702412576425</v>
      </c>
      <c r="D48" s="3"/>
      <c r="E48" s="3">
        <f t="shared" si="1"/>
        <v>70.261019203532101</v>
      </c>
      <c r="F48" s="3"/>
      <c r="G48" s="3">
        <f t="shared" si="1"/>
        <v>37.564224297194542</v>
      </c>
      <c r="H48" s="3"/>
      <c r="I48" s="3">
        <f t="shared" si="1"/>
        <v>59.266616423399284</v>
      </c>
      <c r="J48" s="3"/>
      <c r="K48" s="3">
        <f t="shared" si="2"/>
        <v>16.951797030291342</v>
      </c>
      <c r="T48">
        <f t="shared" si="3"/>
        <v>35</v>
      </c>
      <c r="U48" s="147">
        <f t="shared" si="4"/>
        <v>6.2246001690945033E-2</v>
      </c>
      <c r="V48" s="147">
        <f t="shared" si="5"/>
        <v>4.3493483443421611E-2</v>
      </c>
    </row>
    <row r="49" spans="1:22">
      <c r="A49">
        <f t="shared" si="0"/>
        <v>-44</v>
      </c>
      <c r="B49" s="6">
        <v>36</v>
      </c>
      <c r="C49" s="3">
        <f t="shared" si="1"/>
        <v>22.717889079182989</v>
      </c>
      <c r="D49" s="3"/>
      <c r="E49" s="3">
        <f t="shared" si="1"/>
        <v>73.668126391629585</v>
      </c>
      <c r="F49" s="3"/>
      <c r="G49" s="3">
        <f t="shared" si="1"/>
        <v>39.029167963769929</v>
      </c>
      <c r="H49" s="3"/>
      <c r="I49" s="3">
        <f t="shared" si="1"/>
        <v>62.807804390492521</v>
      </c>
      <c r="J49" s="3"/>
      <c r="K49" s="3">
        <f t="shared" si="2"/>
        <v>17.612889550134792</v>
      </c>
      <c r="T49">
        <f t="shared" si="3"/>
        <v>36</v>
      </c>
      <c r="U49" s="147">
        <f t="shared" si="4"/>
        <v>5.9750128838047145E-2</v>
      </c>
      <c r="V49" s="147">
        <f t="shared" si="5"/>
        <v>4.1168330960062491E-2</v>
      </c>
    </row>
    <row r="50" spans="1:22">
      <c r="A50">
        <f t="shared" si="0"/>
        <v>-43</v>
      </c>
      <c r="B50" s="6">
        <v>37</v>
      </c>
      <c r="C50" s="3">
        <f t="shared" si="1"/>
        <v>24.021940106540239</v>
      </c>
      <c r="D50" s="3"/>
      <c r="E50" s="3">
        <f t="shared" si="1"/>
        <v>77.07816638672098</v>
      </c>
      <c r="F50" s="3"/>
      <c r="G50" s="3">
        <f t="shared" si="1"/>
        <v>40.472082170879403</v>
      </c>
      <c r="H50" s="3"/>
      <c r="I50" s="3">
        <f t="shared" si="1"/>
        <v>66.413094545576797</v>
      </c>
      <c r="J50" s="3"/>
      <c r="K50" s="3">
        <f t="shared" si="2"/>
        <v>18.264040724654595</v>
      </c>
      <c r="T50">
        <f t="shared" si="3"/>
        <v>37</v>
      </c>
      <c r="U50" s="147">
        <f t="shared" si="4"/>
        <v>5.740194534853095E-2</v>
      </c>
      <c r="V50" s="147">
        <f t="shared" si="5"/>
        <v>3.8998373957765939E-2</v>
      </c>
    </row>
    <row r="51" spans="1:22">
      <c r="A51">
        <f t="shared" si="0"/>
        <v>-42</v>
      </c>
      <c r="B51" s="6">
        <v>38</v>
      </c>
      <c r="C51" s="3">
        <f t="shared" si="1"/>
        <v>25.347690647905036</v>
      </c>
      <c r="D51" s="3"/>
      <c r="E51" s="3">
        <f t="shared" si="1"/>
        <v>80.486501540677807</v>
      </c>
      <c r="F51" s="3"/>
      <c r="G51" s="3">
        <f t="shared" si="1"/>
        <v>41.891506372272907</v>
      </c>
      <c r="H51" s="3"/>
      <c r="I51" s="3">
        <f t="shared" si="1"/>
        <v>70.078377018891175</v>
      </c>
      <c r="J51" s="3"/>
      <c r="K51" s="3">
        <f t="shared" si="2"/>
        <v>18.90459144577525</v>
      </c>
      <c r="T51">
        <f t="shared" si="3"/>
        <v>38</v>
      </c>
      <c r="U51" s="147">
        <f t="shared" si="4"/>
        <v>5.5189153560658802E-2</v>
      </c>
      <c r="V51" s="147">
        <f t="shared" si="5"/>
        <v>3.6970150335997598E-2</v>
      </c>
    </row>
    <row r="52" spans="1:22">
      <c r="A52">
        <f t="shared" si="0"/>
        <v>-41</v>
      </c>
      <c r="B52" s="6">
        <v>39</v>
      </c>
      <c r="C52" s="3">
        <f t="shared" si="1"/>
        <v>26.693672840873621</v>
      </c>
      <c r="D52" s="3"/>
      <c r="E52" s="3">
        <f t="shared" si="1"/>
        <v>83.888768582687646</v>
      </c>
      <c r="F52" s="3"/>
      <c r="G52" s="3">
        <f t="shared" si="1"/>
        <v>43.286170959292178</v>
      </c>
      <c r="H52" s="3"/>
      <c r="I52" s="3">
        <f t="shared" si="1"/>
        <v>73.799593633445454</v>
      </c>
      <c r="J52" s="3"/>
      <c r="K52" s="3">
        <f t="shared" si="2"/>
        <v>19.533968770791688</v>
      </c>
      <c r="T52">
        <f t="shared" si="3"/>
        <v>39</v>
      </c>
      <c r="U52" s="147">
        <f t="shared" si="4"/>
        <v>5.3100781908107617E-2</v>
      </c>
      <c r="V52" s="147">
        <f t="shared" si="5"/>
        <v>3.50716870805034E-2</v>
      </c>
    </row>
    <row r="53" spans="1:22">
      <c r="A53">
        <f t="shared" si="0"/>
        <v>-40</v>
      </c>
      <c r="B53" s="6">
        <v>40</v>
      </c>
      <c r="C53" s="3">
        <f t="shared" si="1"/>
        <v>28.058440542855632</v>
      </c>
      <c r="D53" s="3"/>
      <c r="E53" s="3">
        <f t="shared" si="1"/>
        <v>87.280873505803271</v>
      </c>
      <c r="F53" s="3"/>
      <c r="G53" s="3">
        <f t="shared" si="1"/>
        <v>44.654984589641565</v>
      </c>
      <c r="H53" s="3"/>
      <c r="I53" s="3">
        <f t="shared" si="1"/>
        <v>77.572746260689058</v>
      </c>
      <c r="J53" s="3"/>
      <c r="K53" s="3">
        <f t="shared" si="2"/>
        <v>20.151680204159739</v>
      </c>
      <c r="T53">
        <f t="shared" si="3"/>
        <v>40</v>
      </c>
      <c r="U53" s="147">
        <f t="shared" si="4"/>
        <v>5.11270108882231E-2</v>
      </c>
      <c r="V53" s="147">
        <f t="shared" si="5"/>
        <v>3.3292299747482171E-2</v>
      </c>
    </row>
    <row r="54" spans="1:22">
      <c r="A54">
        <f t="shared" si="0"/>
        <v>-39</v>
      </c>
      <c r="B54" s="6">
        <v>41</v>
      </c>
      <c r="C54" s="3">
        <f t="shared" si="1"/>
        <v>29.440571987447552</v>
      </c>
      <c r="D54" s="3"/>
      <c r="E54" s="3">
        <f t="shared" si="1"/>
        <v>90.658985484082081</v>
      </c>
      <c r="F54" s="3"/>
      <c r="G54" s="3">
        <f t="shared" si="1"/>
        <v>45.997021835749329</v>
      </c>
      <c r="H54" s="3"/>
      <c r="I54" s="3">
        <f t="shared" si="1"/>
        <v>81.393904164546569</v>
      </c>
      <c r="J54" s="3"/>
      <c r="K54" s="3">
        <f t="shared" si="2"/>
        <v>20.757308123509826</v>
      </c>
      <c r="T54">
        <f t="shared" si="3"/>
        <v>41</v>
      </c>
      <c r="U54" s="147">
        <f t="shared" si="4"/>
        <v>4.9259025728136716E-2</v>
      </c>
      <c r="V54" s="147">
        <f t="shared" si="5"/>
        <v>3.1622423513428012E-2</v>
      </c>
    </row>
    <row r="55" spans="1:22">
      <c r="A55">
        <f t="shared" si="0"/>
        <v>-38</v>
      </c>
      <c r="B55" s="6">
        <v>42</v>
      </c>
      <c r="C55" s="3">
        <f t="shared" si="1"/>
        <v>30.838672104217459</v>
      </c>
      <c r="D55" s="3"/>
      <c r="E55" s="3">
        <f t="shared" si="1"/>
        <v>94.019529995648853</v>
      </c>
      <c r="F55" s="3"/>
      <c r="G55" s="3">
        <f t="shared" si="1"/>
        <v>47.311511218933653</v>
      </c>
      <c r="H55" s="3"/>
      <c r="I55" s="3">
        <f t="shared" si="1"/>
        <v>85.259210414891513</v>
      </c>
      <c r="J55" s="3"/>
      <c r="K55" s="3">
        <f t="shared" si="2"/>
        <v>21.350504379764686</v>
      </c>
      <c r="T55">
        <f t="shared" si="3"/>
        <v>42</v>
      </c>
      <c r="U55" s="147">
        <f t="shared" si="4"/>
        <v>4.7488891091042963E-2</v>
      </c>
      <c r="V55" s="147">
        <f t="shared" si="5"/>
        <v>3.0053470143153252E-2</v>
      </c>
    </row>
    <row r="56" spans="1:22">
      <c r="A56">
        <f t="shared" si="0"/>
        <v>-37</v>
      </c>
      <c r="B56" s="6">
        <v>43</v>
      </c>
      <c r="C56" s="3">
        <f t="shared" si="1"/>
        <v>32.251374529191885</v>
      </c>
      <c r="D56" s="3"/>
      <c r="E56" s="3">
        <f t="shared" si="1"/>
        <v>97.359181306284555</v>
      </c>
      <c r="F56" s="3"/>
      <c r="G56" s="3">
        <f t="shared" si="1"/>
        <v>48.597823679573317</v>
      </c>
      <c r="H56" s="3"/>
      <c r="I56" s="3">
        <f t="shared" si="1"/>
        <v>89.164887445909002</v>
      </c>
      <c r="J56" s="3"/>
      <c r="K56" s="3">
        <f t="shared" si="2"/>
        <v>21.930985094015096</v>
      </c>
      <c r="T56">
        <f t="shared" si="3"/>
        <v>43</v>
      </c>
      <c r="U56" s="147">
        <f t="shared" si="4"/>
        <v>4.5809444070752554E-2</v>
      </c>
      <c r="V56" s="147">
        <f t="shared" si="5"/>
        <v>2.8577706354081758E-2</v>
      </c>
    </row>
    <row r="57" spans="1:22">
      <c r="A57">
        <f t="shared" si="0"/>
        <v>-36</v>
      </c>
      <c r="B57" s="6">
        <v>44</v>
      </c>
      <c r="C57" s="3">
        <f t="shared" si="1"/>
        <v>33.677343331433647</v>
      </c>
      <c r="D57" s="3"/>
      <c r="E57" s="3">
        <f t="shared" si="1"/>
        <v>100.67485444952841</v>
      </c>
      <c r="F57" s="3"/>
      <c r="G57" s="3">
        <f t="shared" si="1"/>
        <v>49.855461519961935</v>
      </c>
      <c r="H57" s="3"/>
      <c r="I57" s="3">
        <f t="shared" si="1"/>
        <v>93.107241829539376</v>
      </c>
      <c r="J57" s="3"/>
      <c r="K57" s="3">
        <f t="shared" si="2"/>
        <v>22.498525667705955</v>
      </c>
      <c r="T57">
        <f t="shared" si="3"/>
        <v>44</v>
      </c>
      <c r="U57" s="147">
        <f t="shared" si="4"/>
        <v>4.4214202435033149E-2</v>
      </c>
      <c r="V57" s="147">
        <f t="shared" si="5"/>
        <v>2.7188149934320591E-2</v>
      </c>
    </row>
    <row r="58" spans="1:22">
      <c r="A58">
        <f t="shared" si="0"/>
        <v>-35</v>
      </c>
      <c r="B58" s="6">
        <v>45</v>
      </c>
      <c r="C58" s="3">
        <f t="shared" si="1"/>
        <v>35.115274479320803</v>
      </c>
      <c r="D58" s="3"/>
      <c r="E58" s="3">
        <f t="shared" si="1"/>
        <v>103.96369682259511</v>
      </c>
      <c r="F58" s="3"/>
      <c r="G58" s="3">
        <f t="shared" si="1"/>
        <v>51.084047845158956</v>
      </c>
      <c r="H58" s="3"/>
      <c r="I58" s="3">
        <f t="shared" si="1"/>
        <v>97.082668329277382</v>
      </c>
      <c r="J58" s="3"/>
      <c r="K58" s="3">
        <f t="shared" si="2"/>
        <v>23.052956017555793</v>
      </c>
      <c r="T58">
        <f t="shared" si="3"/>
        <v>45</v>
      </c>
      <c r="U58" s="147">
        <f t="shared" si="4"/>
        <v>4.2697285642036502E-2</v>
      </c>
      <c r="V58" s="147">
        <f t="shared" si="5"/>
        <v>2.5878480663676918E-2</v>
      </c>
    </row>
    <row r="59" spans="1:22">
      <c r="A59">
        <f t="shared" si="0"/>
        <v>-34</v>
      </c>
      <c r="B59" s="6">
        <v>46</v>
      </c>
      <c r="C59" s="3">
        <f t="shared" si="1"/>
        <v>36.563897068474489</v>
      </c>
      <c r="D59" s="3"/>
      <c r="E59" s="3">
        <f t="shared" si="1"/>
        <v>107.2230795024452</v>
      </c>
      <c r="F59" s="3"/>
      <c r="G59" s="3">
        <f t="shared" si="1"/>
        <v>52.283316517650128</v>
      </c>
      <c r="H59" s="3"/>
      <c r="I59" s="3">
        <f t="shared" si="1"/>
        <v>101.08765329500581</v>
      </c>
      <c r="J59" s="3"/>
      <c r="K59" s="3">
        <f t="shared" si="2"/>
        <v>23.594156042345755</v>
      </c>
      <c r="T59">
        <f t="shared" si="3"/>
        <v>46</v>
      </c>
      <c r="U59" s="147">
        <f t="shared" si="4"/>
        <v>4.1253346602965389E-2</v>
      </c>
      <c r="V59" s="147">
        <f t="shared" si="5"/>
        <v>2.464296363408644E-2</v>
      </c>
    </row>
    <row r="60" spans="1:22">
      <c r="A60">
        <f t="shared" si="0"/>
        <v>-33</v>
      </c>
      <c r="B60" s="6">
        <v>47</v>
      </c>
      <c r="C60" s="3">
        <f t="shared" si="1"/>
        <v>38.021974331727613</v>
      </c>
      <c r="D60" s="3"/>
      <c r="E60" s="3">
        <f t="shared" si="1"/>
        <v>110.45058837296403</v>
      </c>
      <c r="F60" s="3"/>
      <c r="G60" s="3">
        <f t="shared" si="1"/>
        <v>53.453102633736322</v>
      </c>
      <c r="H60" s="3"/>
      <c r="I60" s="3">
        <f t="shared" si="1"/>
        <v>105.1187774552405</v>
      </c>
      <c r="J60" s="3"/>
      <c r="K60" s="3">
        <f t="shared" si="2"/>
        <v>24.122051325151499</v>
      </c>
      <c r="T60">
        <f t="shared" si="3"/>
        <v>47</v>
      </c>
      <c r="U60" s="147">
        <f t="shared" si="4"/>
        <v>3.9877512523419791E-2</v>
      </c>
      <c r="V60" s="147">
        <f t="shared" si="5"/>
        <v>2.3476383001720731E-2</v>
      </c>
    </row>
    <row r="61" spans="1:22">
      <c r="A61">
        <f t="shared" si="0"/>
        <v>-32</v>
      </c>
      <c r="B61" s="6">
        <v>48</v>
      </c>
      <c r="C61" s="3">
        <f t="shared" si="1"/>
        <v>39.488304450074487</v>
      </c>
      <c r="D61" s="3"/>
      <c r="E61" s="3">
        <f t="shared" si="1"/>
        <v>113.64401514222945</v>
      </c>
      <c r="F61" s="3"/>
      <c r="G61" s="3">
        <f t="shared" si="1"/>
        <v>54.593333523060863</v>
      </c>
      <c r="H61" s="3"/>
      <c r="I61" s="3">
        <f t="shared" si="1"/>
        <v>109.17271815915076</v>
      </c>
      <c r="J61" s="3"/>
      <c r="K61" s="3">
        <f t="shared" si="2"/>
        <v>24.636609071654515</v>
      </c>
      <c r="T61">
        <f t="shared" si="3"/>
        <v>48</v>
      </c>
      <c r="U61" s="147">
        <f t="shared" si="4"/>
        <v>3.8565333445172746E-2</v>
      </c>
      <c r="V61" s="147">
        <f t="shared" si="5"/>
        <v>2.2373984551865386E-2</v>
      </c>
    </row>
    <row r="62" spans="1:22">
      <c r="A62">
        <f t="shared" si="0"/>
        <v>-31</v>
      </c>
      <c r="B62" s="6">
        <v>49</v>
      </c>
      <c r="C62" s="3">
        <f t="shared" si="1"/>
        <v>40.961721182182558</v>
      </c>
      <c r="D62" s="3"/>
      <c r="E62" s="3">
        <f t="shared" si="1"/>
        <v>116.80134831815622</v>
      </c>
      <c r="F62" s="3"/>
      <c r="G62" s="3">
        <f t="shared" si="1"/>
        <v>55.704020267363433</v>
      </c>
      <c r="H62" s="3"/>
      <c r="I62" s="3">
        <f t="shared" si="1"/>
        <v>113.24625111696071</v>
      </c>
      <c r="J62" s="3"/>
      <c r="K62" s="3">
        <f t="shared" si="2"/>
        <v>25.137834282767379</v>
      </c>
      <c r="T62">
        <f t="shared" si="3"/>
        <v>49</v>
      </c>
      <c r="U62" s="147">
        <f t="shared" si="4"/>
        <v>3.7312737344064192E-2</v>
      </c>
      <c r="V62" s="147">
        <f t="shared" si="5"/>
        <v>2.1331425738510802E-2</v>
      </c>
    </row>
    <row r="63" spans="1:22">
      <c r="A63">
        <f t="shared" si="0"/>
        <v>-30</v>
      </c>
      <c r="B63" s="6">
        <v>50</v>
      </c>
      <c r="C63" s="3">
        <f t="shared" si="1"/>
        <v>42.441094328779549</v>
      </c>
      <c r="D63" s="3"/>
      <c r="E63" s="3">
        <f t="shared" si="1"/>
        <v>119.92076420126777</v>
      </c>
      <c r="F63" s="3"/>
      <c r="G63" s="3">
        <f t="shared" si="1"/>
        <v>56.78524973024868</v>
      </c>
      <c r="H63" s="3"/>
      <c r="I63" s="3">
        <f t="shared" si="1"/>
        <v>117.33625168383348</v>
      </c>
      <c r="J63" s="3"/>
      <c r="K63" s="3">
        <f t="shared" si="2"/>
        <v>25.625766157867233</v>
      </c>
      <c r="T63">
        <f t="shared" si="3"/>
        <v>50</v>
      </c>
      <c r="U63" s="147">
        <f t="shared" si="4"/>
        <v>3.6115990830006571E-2</v>
      </c>
      <c r="V63" s="147">
        <f t="shared" si="5"/>
        <v>2.0344732087726504E-2</v>
      </c>
    </row>
    <row r="64" spans="1:22">
      <c r="A64">
        <f t="shared" si="0"/>
        <v>-29</v>
      </c>
      <c r="B64" s="6">
        <v>51</v>
      </c>
      <c r="C64" s="3">
        <f t="shared" si="1"/>
        <v>43.925330047044007</v>
      </c>
      <c r="D64" s="3"/>
      <c r="E64" s="3">
        <f t="shared" si="1"/>
        <v>123.00061794484722</v>
      </c>
      <c r="F64" s="3"/>
      <c r="G64" s="3">
        <f t="shared" si="1"/>
        <v>57.837177086324438</v>
      </c>
      <c r="H64" s="3"/>
      <c r="I64" s="3">
        <f t="shared" si="1"/>
        <v>121.43969572906202</v>
      </c>
      <c r="J64" s="3"/>
      <c r="K64" s="3">
        <f t="shared" si="2"/>
        <v>26.100474723382295</v>
      </c>
      <c r="T64">
        <f t="shared" si="3"/>
        <v>51</v>
      </c>
      <c r="U64" s="147">
        <f t="shared" si="4"/>
        <v>3.4971664650456216E-2</v>
      </c>
      <c r="V64" s="147">
        <f t="shared" si="5"/>
        <v>1.9410259038677154E-2</v>
      </c>
    </row>
    <row r="65" spans="1:22">
      <c r="A65">
        <f t="shared" si="0"/>
        <v>-28</v>
      </c>
      <c r="B65" s="6">
        <v>52</v>
      </c>
      <c r="C65" s="3">
        <f t="shared" si="1"/>
        <v>45.413371029020936</v>
      </c>
      <c r="D65" s="3"/>
      <c r="E65" s="3">
        <f t="shared" si="1"/>
        <v>126.0394347251612</v>
      </c>
      <c r="F65" s="3"/>
      <c r="G65" s="3">
        <f t="shared" si="1"/>
        <v>58.860018835376714</v>
      </c>
      <c r="H65" s="3"/>
      <c r="I65" s="3">
        <f t="shared" si="1"/>
        <v>125.55366012933212</v>
      </c>
      <c r="J65" s="3"/>
      <c r="K65" s="3">
        <f t="shared" si="2"/>
        <v>26.562057680263354</v>
      </c>
      <c r="T65">
        <f t="shared" si="3"/>
        <v>52</v>
      </c>
      <c r="U65" s="147">
        <f t="shared" si="4"/>
        <v>3.3876603326218349E-2</v>
      </c>
      <c r="V65" s="147">
        <f t="shared" si="5"/>
        <v>1.852465844691718E-2</v>
      </c>
    </row>
    <row r="66" spans="1:22">
      <c r="A66">
        <f t="shared" si="0"/>
        <v>-27</v>
      </c>
      <c r="B66" s="6">
        <v>53</v>
      </c>
      <c r="C66" s="3">
        <f t="shared" si="1"/>
        <v>46.904196557050838</v>
      </c>
      <c r="D66" s="3"/>
      <c r="E66" s="3">
        <f t="shared" si="1"/>
        <v>129.03590105773682</v>
      </c>
      <c r="F66" s="3"/>
      <c r="G66" s="3">
        <f t="shared" si="1"/>
        <v>59.854046285188346</v>
      </c>
      <c r="H66" s="3"/>
      <c r="I66" s="3">
        <f t="shared" si="1"/>
        <v>129.67532292196611</v>
      </c>
      <c r="J66" s="3"/>
      <c r="K66" s="3">
        <f t="shared" si="2"/>
        <v>27.010637462942462</v>
      </c>
      <c r="T66">
        <f t="shared" si="3"/>
        <v>53</v>
      </c>
      <c r="U66" s="147">
        <f t="shared" si="4"/>
        <v>3.2827898353487241E-2</v>
      </c>
      <c r="V66" s="147">
        <f t="shared" si="5"/>
        <v>1.7684849098455125E-2</v>
      </c>
    </row>
    <row r="67" spans="1:22">
      <c r="A67">
        <f t="shared" si="0"/>
        <v>-26</v>
      </c>
      <c r="B67" s="6">
        <v>54</v>
      </c>
      <c r="C67" s="3">
        <f t="shared" si="1"/>
        <v>48.396822448236769</v>
      </c>
      <c r="D67" s="3"/>
      <c r="E67" s="3">
        <f t="shared" si="1"/>
        <v>131.98885628971937</v>
      </c>
      <c r="F67" s="3"/>
      <c r="G67" s="3">
        <f t="shared" si="1"/>
        <v>60.819579485082699</v>
      </c>
      <c r="H67" s="3"/>
      <c r="I67" s="3">
        <f t="shared" si="1"/>
        <v>133.80196315139196</v>
      </c>
      <c r="J67" s="3"/>
      <c r="K67" s="3">
        <f t="shared" si="2"/>
        <v>27.4463585016926</v>
      </c>
      <c r="T67">
        <f t="shared" si="3"/>
        <v>54</v>
      </c>
      <c r="U67" s="147">
        <f t="shared" si="4"/>
        <v>3.1822864492954475E-2</v>
      </c>
      <c r="V67" s="147">
        <f t="shared" si="5"/>
        <v>1.6887990685014731E-2</v>
      </c>
    </row>
    <row r="68" spans="1:22">
      <c r="A68">
        <f t="shared" si="0"/>
        <v>-25</v>
      </c>
      <c r="B68" s="6">
        <v>55</v>
      </c>
      <c r="C68" s="3">
        <f t="shared" si="1"/>
        <v>49.890300899073623</v>
      </c>
      <c r="D68" s="3"/>
      <c r="E68" s="3">
        <f t="shared" si="1"/>
        <v>134.89728429307098</v>
      </c>
      <c r="F68" s="3"/>
      <c r="G68" s="3">
        <f t="shared" si="1"/>
        <v>61.756981591196165</v>
      </c>
      <c r="H68" s="3"/>
      <c r="I68" s="3">
        <f t="shared" si="1"/>
        <v>137.93096043959204</v>
      </c>
      <c r="J68" s="3"/>
      <c r="K68" s="3">
        <f t="shared" si="2"/>
        <v>27.869384679815756</v>
      </c>
      <c r="T68">
        <f t="shared" si="3"/>
        <v>55</v>
      </c>
      <c r="U68" s="147">
        <f t="shared" si="4"/>
        <v>3.0859018738972298E-2</v>
      </c>
      <c r="V68" s="147">
        <f t="shared" si="5"/>
        <v>1.6131460775330918E-2</v>
      </c>
    </row>
    <row r="69" spans="1:22">
      <c r="A69">
        <f t="shared" si="0"/>
        <v>-24</v>
      </c>
      <c r="B69" s="6">
        <v>56</v>
      </c>
      <c r="C69" s="3">
        <f t="shared" si="1"/>
        <v>51.383720240525165</v>
      </c>
      <c r="D69" s="3"/>
      <c r="E69" s="3">
        <f t="shared" si="1"/>
        <v>137.76030537871881</v>
      </c>
      <c r="F69" s="3"/>
      <c r="G69" s="3">
        <f t="shared" si="1"/>
        <v>62.666653643783192</v>
      </c>
      <c r="H69" s="3"/>
      <c r="I69" s="3">
        <f t="shared" si="1"/>
        <v>142.05979430896843</v>
      </c>
      <c r="J69" s="3"/>
      <c r="K69" s="3">
        <f t="shared" si="2"/>
        <v>28.279896976771013</v>
      </c>
      <c r="T69">
        <f t="shared" si="3"/>
        <v>56</v>
      </c>
      <c r="U69" s="147">
        <f t="shared" si="4"/>
        <v>2.9934061621970938E-2</v>
      </c>
      <c r="V69" s="147">
        <f t="shared" si="5"/>
        <v>1.5412834387376602E-2</v>
      </c>
    </row>
    <row r="70" spans="1:22">
      <c r="A70">
        <f t="shared" si="0"/>
        <v>-23</v>
      </c>
      <c r="B70" s="6">
        <v>57</v>
      </c>
      <c r="C70" s="3">
        <f t="shared" si="1"/>
        <v>52.876204613051172</v>
      </c>
      <c r="D70" s="3"/>
      <c r="E70" s="3">
        <f t="shared" si="1"/>
        <v>140.57716844766176</v>
      </c>
      <c r="F70" s="3"/>
      <c r="G70" s="3">
        <f t="shared" si="1"/>
        <v>63.549029736469073</v>
      </c>
      <c r="H70" s="3"/>
      <c r="I70" s="3">
        <f t="shared" si="1"/>
        <v>146.18604328389526</v>
      </c>
      <c r="J70" s="3"/>
      <c r="K70" s="3">
        <f t="shared" si="2"/>
        <v>28.678091288178894</v>
      </c>
      <c r="T70">
        <f t="shared" si="3"/>
        <v>57</v>
      </c>
      <c r="U70" s="147">
        <f t="shared" si="4"/>
        <v>2.9045860547654921E-2</v>
      </c>
      <c r="V70" s="147">
        <f t="shared" si="5"/>
        <v>1.4729865824865816E-2</v>
      </c>
    </row>
    <row r="71" spans="1:22">
      <c r="A71">
        <f t="shared" si="0"/>
        <v>-22</v>
      </c>
      <c r="B71" s="6">
        <v>58</v>
      </c>
      <c r="C71" s="3">
        <f t="shared" si="1"/>
        <v>54.366913570356942</v>
      </c>
      <c r="D71" s="3"/>
      <c r="E71" s="3">
        <f t="shared" si="1"/>
        <v>143.34724339144259</v>
      </c>
      <c r="F71" s="3"/>
      <c r="G71" s="3">
        <f t="shared" si="1"/>
        <v>64.404572557239746</v>
      </c>
      <c r="H71" s="3"/>
      <c r="I71" s="3">
        <f t="shared" si="1"/>
        <v>150.30738379521108</v>
      </c>
      <c r="J71" s="3"/>
      <c r="K71" s="3">
        <f t="shared" si="2"/>
        <v>29.064176413581322</v>
      </c>
      <c r="T71">
        <f t="shared" si="3"/>
        <v>58</v>
      </c>
      <c r="U71" s="147">
        <f t="shared" si="4"/>
        <v>2.8192434918784356E-2</v>
      </c>
      <c r="V71" s="147">
        <f t="shared" si="5"/>
        <v>1.4080472490227142E-2</v>
      </c>
    </row>
    <row r="72" spans="1:22">
      <c r="A72">
        <f t="shared" si="0"/>
        <v>-21</v>
      </c>
      <c r="B72" s="6">
        <v>59</v>
      </c>
      <c r="C72" s="3">
        <f t="shared" si="1"/>
        <v>55.855041619958222</v>
      </c>
      <c r="D72" s="3"/>
      <c r="E72" s="3">
        <f t="shared" si="1"/>
        <v>146.07001375123471</v>
      </c>
      <c r="F72" s="3"/>
      <c r="G72" s="3">
        <f t="shared" si="1"/>
        <v>65.233769281041617</v>
      </c>
      <c r="H72" s="3"/>
      <c r="I72" s="3">
        <f t="shared" si="1"/>
        <v>154.42158891002555</v>
      </c>
      <c r="J72" s="3"/>
      <c r="K72" s="3">
        <f t="shared" si="2"/>
        <v>29.438372202874429</v>
      </c>
      <c r="T72">
        <f t="shared" si="3"/>
        <v>59</v>
      </c>
      <c r="U72" s="147">
        <f t="shared" si="4"/>
        <v>2.7371942820985654E-2</v>
      </c>
      <c r="V72" s="147">
        <f t="shared" si="5"/>
        <v>1.3462720427337803E-2</v>
      </c>
    </row>
    <row r="73" spans="1:22">
      <c r="A73">
        <f t="shared" si="0"/>
        <v>-20</v>
      </c>
      <c r="B73" s="6">
        <v>60</v>
      </c>
      <c r="C73" s="3">
        <f t="shared" si="1"/>
        <v>57.339817708019403</v>
      </c>
      <c r="D73" s="3"/>
      <c r="E73" s="3">
        <f t="shared" si="1"/>
        <v>148.74506964203445</v>
      </c>
      <c r="F73" s="3"/>
      <c r="G73" s="3">
        <f t="shared" si="1"/>
        <v>66.037127794123975</v>
      </c>
      <c r="H73" s="3"/>
      <c r="I73" s="3">
        <f t="shared" si="1"/>
        <v>158.52652690745947</v>
      </c>
      <c r="J73" s="3"/>
      <c r="K73" s="3">
        <f t="shared" si="2"/>
        <v>29.800907852448479</v>
      </c>
      <c r="T73">
        <f t="shared" si="3"/>
        <v>60</v>
      </c>
      <c r="U73" s="147">
        <f t="shared" si="4"/>
        <v>2.6582669084085665E-2</v>
      </c>
      <c r="V73" s="147">
        <f t="shared" si="5"/>
        <v>1.287481138183064E-2</v>
      </c>
    </row>
    <row r="74" spans="1:22">
      <c r="A74">
        <f t="shared" si="0"/>
        <v>-19</v>
      </c>
      <c r="B74" s="6">
        <v>61</v>
      </c>
      <c r="C74" s="3">
        <f t="shared" si="1"/>
        <v>58.820504655333551</v>
      </c>
      <c r="D74" s="3"/>
      <c r="E74" s="3">
        <f t="shared" si="1"/>
        <v>151.37210094604612</v>
      </c>
      <c r="F74" s="3"/>
      <c r="G74" s="3">
        <f t="shared" si="1"/>
        <v>66.815173230653045</v>
      </c>
      <c r="H74" s="3"/>
      <c r="I74" s="3">
        <f t="shared" si="1"/>
        <v>162.62015971930728</v>
      </c>
      <c r="J74" s="3"/>
      <c r="K74" s="3">
        <f t="shared" si="2"/>
        <v>30.152020342248253</v>
      </c>
      <c r="T74">
        <f t="shared" si="3"/>
        <v>61</v>
      </c>
      <c r="U74" s="147">
        <f t="shared" si="4"/>
        <v>2.5823014556027483E-2</v>
      </c>
      <c r="V74" s="147">
        <f t="shared" si="5"/>
        <v>1.2315071196044308E-2</v>
      </c>
    </row>
    <row r="75" spans="1:22">
      <c r="A75">
        <f t="shared" si="0"/>
        <v>-18</v>
      </c>
      <c r="B75" s="6">
        <v>62</v>
      </c>
      <c r="C75" s="3">
        <f t="shared" si="1"/>
        <v>60.296398550762532</v>
      </c>
      <c r="D75" s="3"/>
      <c r="E75" s="3">
        <f t="shared" si="1"/>
        <v>153.95089077726772</v>
      </c>
      <c r="F75" s="3"/>
      <c r="G75" s="3">
        <f t="shared" si="1"/>
        <v>67.568444802635</v>
      </c>
      <c r="H75" s="3"/>
      <c r="I75" s="3">
        <f t="shared" si="1"/>
        <v>166.70054125309014</v>
      </c>
      <c r="J75" s="3"/>
      <c r="K75" s="3">
        <f t="shared" si="2"/>
        <v>30.491953005196397</v>
      </c>
      <c r="T75">
        <f t="shared" si="3"/>
        <v>62</v>
      </c>
      <c r="U75" s="147">
        <f t="shared" si="4"/>
        <v>2.5091486448087709E-2</v>
      </c>
      <c r="V75" s="147">
        <f t="shared" si="5"/>
        <v>1.1781939380444974E-2</v>
      </c>
    </row>
    <row r="76" spans="1:22">
      <c r="A76">
        <f t="shared" si="0"/>
        <v>-17</v>
      </c>
      <c r="B76" s="6">
        <v>63</v>
      </c>
      <c r="C76" s="3">
        <f t="shared" si="1"/>
        <v>61.766828107944157</v>
      </c>
      <c r="D76" s="3"/>
      <c r="E76" s="3">
        <f t="shared" si="1"/>
        <v>156.4813092174835</v>
      </c>
      <c r="F76" s="3"/>
      <c r="G76" s="3">
        <f t="shared" si="1"/>
        <v>68.297492904775979</v>
      </c>
      <c r="H76" s="3"/>
      <c r="I76" s="3">
        <f t="shared" si="1"/>
        <v>170.76581561355388</v>
      </c>
      <c r="J76" s="3"/>
      <c r="K76" s="3">
        <f t="shared" si="2"/>
        <v>30.820954220688975</v>
      </c>
      <c r="T76">
        <f t="shared" si="3"/>
        <v>63</v>
      </c>
      <c r="U76" s="147">
        <f t="shared" si="4"/>
        <v>2.438668962863005E-2</v>
      </c>
      <c r="V76" s="147">
        <f t="shared" si="5"/>
        <v>1.1273959724411465E-2</v>
      </c>
    </row>
    <row r="77" spans="1:22">
      <c r="A77">
        <f t="shared" ref="A77:A91" si="6">A78-1</f>
        <v>-16</v>
      </c>
      <c r="B77" s="6">
        <v>64</v>
      </c>
      <c r="C77" s="3">
        <f t="shared" si="1"/>
        <v>63.231153990596866</v>
      </c>
      <c r="D77" s="3"/>
      <c r="E77" s="3">
        <f t="shared" si="1"/>
        <v>158.96330732232784</v>
      </c>
      <c r="F77" s="3"/>
      <c r="G77" s="3">
        <f t="shared" si="1"/>
        <v>69.002876476564651</v>
      </c>
      <c r="H77" s="3"/>
      <c r="I77" s="3">
        <f>I$8*(1-EXP(-I$9*$B77))^3</f>
        <v>174.81421523734915</v>
      </c>
      <c r="J77" s="3"/>
      <c r="K77" s="3">
        <f>K$8*(1-EXP(-K$9*$B77))^3</f>
        <v>31.139276224169201</v>
      </c>
      <c r="T77">
        <f t="shared" si="3"/>
        <v>64</v>
      </c>
      <c r="U77" s="147">
        <f t="shared" si="4"/>
        <v>2.3707318758438466E-2</v>
      </c>
      <c r="V77" s="147">
        <f t="shared" si="5"/>
        <v>1.0789771827226327E-2</v>
      </c>
    </row>
    <row r="78" spans="1:22">
      <c r="A78">
        <f t="shared" si="6"/>
        <v>-15</v>
      </c>
      <c r="B78" s="6">
        <v>65</v>
      </c>
      <c r="C78" s="3">
        <f t="shared" ref="C78:I141" si="7">C$8*(1-EXP(-C$9*$B78))^3</f>
        <v>64.688768111309656</v>
      </c>
      <c r="D78" s="3"/>
      <c r="E78" s="3">
        <f t="shared" si="7"/>
        <v>161.39691139476818</v>
      </c>
      <c r="F78" s="3"/>
      <c r="G78" s="3">
        <f t="shared" si="7"/>
        <v>69.685160604564032</v>
      </c>
      <c r="H78" s="3"/>
      <c r="I78" s="3">
        <f t="shared" si="7"/>
        <v>178.84405895440636</v>
      </c>
      <c r="J78" s="3"/>
      <c r="K78" s="3">
        <f t="shared" ref="K78:K140" si="8">K$8*(1-EXP(-K$9*$B78))^3</f>
        <v>31.447174025101525</v>
      </c>
      <c r="T78">
        <f t="shared" si="3"/>
        <v>65</v>
      </c>
      <c r="U78" s="147">
        <f t="shared" si="4"/>
        <v>2.305215117423846E-2</v>
      </c>
      <c r="V78" s="147">
        <f t="shared" si="5"/>
        <v>1.0328103445497734E-2</v>
      </c>
    </row>
    <row r="79" spans="1:22">
      <c r="A79">
        <f t="shared" si="6"/>
        <v>-14</v>
      </c>
      <c r="B79" s="6">
        <v>66</v>
      </c>
      <c r="C79" s="3">
        <f t="shared" si="7"/>
        <v>66.139092908293648</v>
      </c>
      <c r="D79" s="3"/>
      <c r="E79" s="3">
        <f t="shared" si="7"/>
        <v>163.78221752223573</v>
      </c>
      <c r="F79" s="3"/>
      <c r="G79" s="3">
        <f t="shared" si="7"/>
        <v>70.344914348633893</v>
      </c>
      <c r="H79" s="3"/>
      <c r="I79" s="3">
        <f t="shared" si="7"/>
        <v>182.85374998838191</v>
      </c>
      <c r="J79" s="3"/>
      <c r="K79" s="3">
        <f t="shared" si="8"/>
        <v>31.744904426000087</v>
      </c>
      <c r="T79">
        <f t="shared" si="3"/>
        <v>66</v>
      </c>
      <c r="U79" s="147">
        <f t="shared" ref="U79:U93" si="9">((C79-C78)/C78)</f>
        <v>2.2420040438680559E-2</v>
      </c>
      <c r="V79" s="147">
        <f t="shared" si="5"/>
        <v>9.8877635663652957E-3</v>
      </c>
    </row>
    <row r="80" spans="1:22">
      <c r="A80">
        <f t="shared" si="6"/>
        <v>-13</v>
      </c>
      <c r="B80" s="6">
        <v>67</v>
      </c>
      <c r="C80" s="3">
        <f t="shared" si="7"/>
        <v>67.581580604188758</v>
      </c>
      <c r="D80" s="3"/>
      <c r="E80" s="3">
        <f t="shared" si="7"/>
        <v>166.11938637269762</v>
      </c>
      <c r="F80" s="3"/>
      <c r="G80" s="3">
        <f t="shared" si="7"/>
        <v>70.982708776556564</v>
      </c>
      <c r="H80" s="3"/>
      <c r="I80" s="3">
        <f t="shared" si="7"/>
        <v>186.84177390749207</v>
      </c>
      <c r="J80" s="3"/>
      <c r="K80" s="3">
        <f t="shared" si="8"/>
        <v>32.03272513550435</v>
      </c>
      <c r="T80">
        <f t="shared" ref="T80:T93" si="10">B80</f>
        <v>67</v>
      </c>
      <c r="U80" s="147">
        <f t="shared" si="9"/>
        <v>2.1809910485092645E-2</v>
      </c>
      <c r="V80" s="147">
        <f t="shared" ref="V80:V93" si="11">(D159-D158)/D158</f>
        <v>9.4676361272052097E-3</v>
      </c>
    </row>
    <row r="81" spans="1:22">
      <c r="A81">
        <f t="shared" si="6"/>
        <v>-12</v>
      </c>
      <c r="B81" s="6">
        <v>68</v>
      </c>
      <c r="C81" s="3">
        <f t="shared" si="7"/>
        <v>69.015712450663429</v>
      </c>
      <c r="D81" s="3"/>
      <c r="E81" s="3">
        <f t="shared" si="7"/>
        <v>168.40863824418489</v>
      </c>
      <c r="F81" s="3"/>
      <c r="G81" s="3">
        <f t="shared" si="7"/>
        <v>71.599115192300417</v>
      </c>
      <c r="H81" s="3"/>
      <c r="I81" s="3">
        <f t="shared" si="7"/>
        <v>190.80669653606913</v>
      </c>
      <c r="J81" s="3"/>
      <c r="K81" s="3">
        <f t="shared" si="8"/>
        <v>32.31089396883867</v>
      </c>
      <c r="T81">
        <f t="shared" si="10"/>
        <v>68</v>
      </c>
      <c r="U81" s="147">
        <f t="shared" si="9"/>
        <v>2.1220750293990343E-2</v>
      </c>
      <c r="V81" s="147">
        <f t="shared" si="11"/>
        <v>9.0666743122569705E-3</v>
      </c>
    </row>
    <row r="82" spans="1:22">
      <c r="A82">
        <f t="shared" si="6"/>
        <v>-11</v>
      </c>
      <c r="B82" s="6">
        <v>69</v>
      </c>
      <c r="C82" s="3">
        <f t="shared" si="7"/>
        <v>70.440997962215533</v>
      </c>
      <c r="D82" s="3"/>
      <c r="E82" s="3">
        <f t="shared" si="7"/>
        <v>170.65024836164835</v>
      </c>
      <c r="F82" s="3"/>
      <c r="G82" s="3">
        <f t="shared" si="7"/>
        <v>72.194703543916106</v>
      </c>
      <c r="H82" s="3"/>
      <c r="I82" s="3">
        <f t="shared" si="7"/>
        <v>194.74716183626273</v>
      </c>
      <c r="J82" s="3"/>
      <c r="K82" s="3">
        <f t="shared" si="8"/>
        <v>32.579668129335545</v>
      </c>
      <c r="T82">
        <f t="shared" si="10"/>
        <v>69</v>
      </c>
      <c r="U82" s="147">
        <f t="shared" si="9"/>
        <v>2.0651609045852913E-2</v>
      </c>
      <c r="V82" s="147">
        <f t="shared" si="11"/>
        <v>8.6838953650557969E-3</v>
      </c>
    </row>
    <row r="83" spans="1:22">
      <c r="A83">
        <f t="shared" si="6"/>
        <v>-10</v>
      </c>
      <c r="B83" s="6">
        <v>70</v>
      </c>
      <c r="C83" s="3">
        <f t="shared" si="7"/>
        <v>71.856974142276854</v>
      </c>
      <c r="D83" s="3"/>
      <c r="E83" s="3">
        <f t="shared" si="7"/>
        <v>172.84454241450456</v>
      </c>
      <c r="F83" s="3"/>
      <c r="G83" s="3">
        <f t="shared" si="7"/>
        <v>72.770040997814291</v>
      </c>
      <c r="H83" s="3"/>
      <c r="I83" s="3">
        <f t="shared" si="7"/>
        <v>198.66188976846223</v>
      </c>
      <c r="J83" s="3"/>
      <c r="K83" s="3">
        <f t="shared" si="8"/>
        <v>32.839303565042783</v>
      </c>
      <c r="T83">
        <f t="shared" si="10"/>
        <v>70</v>
      </c>
      <c r="U83" s="147">
        <f t="shared" si="9"/>
        <v>2.0101591701197206E-2</v>
      </c>
      <c r="V83" s="147">
        <f t="shared" si="11"/>
        <v>8.3183758628310733E-3</v>
      </c>
    </row>
    <row r="84" spans="1:22">
      <c r="A84">
        <f t="shared" si="6"/>
        <v>-9</v>
      </c>
      <c r="B84" s="6">
        <v>71</v>
      </c>
      <c r="C84" s="3">
        <f t="shared" si="7"/>
        <v>73.26320470443828</v>
      </c>
      <c r="D84" s="3"/>
      <c r="E84" s="3">
        <f t="shared" si="7"/>
        <v>174.9918923278212</v>
      </c>
      <c r="F84" s="3"/>
      <c r="G84" s="3">
        <f t="shared" si="7"/>
        <v>73.325690666914326</v>
      </c>
      <c r="H84" s="3"/>
      <c r="I84" s="3">
        <f t="shared" si="7"/>
        <v>202.5496741382301</v>
      </c>
      <c r="J84" s="3"/>
      <c r="K84" s="3">
        <f t="shared" si="8"/>
        <v>33.090054394768714</v>
      </c>
      <c r="T84">
        <f t="shared" si="10"/>
        <v>71</v>
      </c>
      <c r="U84" s="147">
        <f t="shared" si="9"/>
        <v>1.95698549646286E-2</v>
      </c>
      <c r="V84" s="147">
        <f t="shared" si="11"/>
        <v>7.9692474053612398E-3</v>
      </c>
    </row>
    <row r="85" spans="1:22">
      <c r="A85">
        <f t="shared" si="6"/>
        <v>-8</v>
      </c>
      <c r="B85" s="6">
        <v>72</v>
      </c>
      <c r="C85" s="3">
        <f t="shared" si="7"/>
        <v>74.659279291350884</v>
      </c>
      <c r="D85" s="3"/>
      <c r="E85" s="3">
        <f t="shared" si="7"/>
        <v>177.092712259786</v>
      </c>
      <c r="F85" s="3"/>
      <c r="G85" s="3">
        <f t="shared" si="7"/>
        <v>73.862210480878161</v>
      </c>
      <c r="H85" s="3"/>
      <c r="I85" s="3">
        <f t="shared" si="7"/>
        <v>206.40938043680922</v>
      </c>
      <c r="J85" s="3"/>
      <c r="K85" s="3">
        <f t="shared" si="8"/>
        <v>33.332172398246932</v>
      </c>
      <c r="T85">
        <f t="shared" si="10"/>
        <v>72</v>
      </c>
      <c r="U85" s="147">
        <f t="shared" si="9"/>
        <v>1.9055603594528951E-2</v>
      </c>
      <c r="V85" s="147">
        <f t="shared" si="11"/>
        <v>7.6356926762859694E-3</v>
      </c>
    </row>
    <row r="86" spans="1:22">
      <c r="A86">
        <f t="shared" si="6"/>
        <v>-7</v>
      </c>
      <c r="B86" s="6">
        <v>73</v>
      </c>
      <c r="C86" s="3">
        <f t="shared" si="7"/>
        <v>76.044812693613196</v>
      </c>
      <c r="D86" s="3"/>
      <c r="E86" s="3">
        <f t="shared" si="7"/>
        <v>179.14745481787176</v>
      </c>
      <c r="F86" s="3"/>
      <c r="G86" s="3">
        <f t="shared" si="7"/>
        <v>74.380152187346084</v>
      </c>
      <c r="H86" s="3"/>
      <c r="I86" s="3">
        <f t="shared" si="7"/>
        <v>210.23994368159265</v>
      </c>
      <c r="J86" s="3"/>
      <c r="K86" s="3">
        <f t="shared" si="8"/>
        <v>33.565906565418935</v>
      </c>
      <c r="T86">
        <f t="shared" si="10"/>
        <v>73</v>
      </c>
      <c r="U86" s="147">
        <f t="shared" si="9"/>
        <v>1.8558087024325483E-2</v>
      </c>
      <c r="V86" s="147">
        <f t="shared" si="11"/>
        <v>7.3169418396753609E-3</v>
      </c>
    </row>
    <row r="87" spans="1:22">
      <c r="A87">
        <f t="shared" si="6"/>
        <v>-6</v>
      </c>
      <c r="B87" s="6">
        <v>74</v>
      </c>
      <c r="C87" s="3">
        <f t="shared" si="7"/>
        <v>77.419444070729355</v>
      </c>
      <c r="D87" s="3"/>
      <c r="E87" s="3">
        <f t="shared" si="7"/>
        <v>181.15660748595889</v>
      </c>
      <c r="F87" s="3"/>
      <c r="G87" s="3">
        <f t="shared" si="7"/>
        <v>74.880060473771223</v>
      </c>
      <c r="H87" s="3"/>
      <c r="I87" s="3">
        <f t="shared" si="7"/>
        <v>214.04036626231817</v>
      </c>
      <c r="J87" s="3"/>
      <c r="K87" s="3">
        <f t="shared" si="8"/>
        <v>33.79150270013993</v>
      </c>
      <c r="T87">
        <f t="shared" si="10"/>
        <v>74</v>
      </c>
      <c r="U87" s="147">
        <f t="shared" si="9"/>
        <v>1.8076596265081093E-2</v>
      </c>
      <c r="V87" s="147">
        <f t="shared" si="11"/>
        <v>7.0122692388419209E-3</v>
      </c>
    </row>
    <row r="88" spans="1:22">
      <c r="A88">
        <f t="shared" si="6"/>
        <v>-5</v>
      </c>
      <c r="B88" s="6">
        <v>75</v>
      </c>
      <c r="C88" s="3">
        <f t="shared" si="7"/>
        <v>78.782836176013703</v>
      </c>
      <c r="D88" s="3"/>
      <c r="E88" s="3">
        <f t="shared" si="7"/>
        <v>183.12068925458482</v>
      </c>
      <c r="F88" s="3"/>
      <c r="G88" s="3">
        <f t="shared" si="7"/>
        <v>75.362472200104634</v>
      </c>
      <c r="H88" s="3"/>
      <c r="I88" s="3">
        <f t="shared" si="7"/>
        <v>217.80971579817393</v>
      </c>
      <c r="J88" s="3"/>
      <c r="K88" s="3">
        <f t="shared" si="8"/>
        <v>34.009203073908786</v>
      </c>
      <c r="T88">
        <f t="shared" si="10"/>
        <v>75</v>
      </c>
      <c r="U88" s="147">
        <f t="shared" si="9"/>
        <v>1.7610461062453137E-2</v>
      </c>
      <c r="V88" s="147">
        <f t="shared" si="11"/>
        <v>6.7209903680484837E-3</v>
      </c>
    </row>
    <row r="89" spans="1:22">
      <c r="A89">
        <f t="shared" si="6"/>
        <v>-4</v>
      </c>
      <c r="B89" s="6">
        <v>76</v>
      </c>
      <c r="C89" s="3">
        <f t="shared" si="7"/>
        <v>80.134674587124508</v>
      </c>
      <c r="D89" s="3"/>
      <c r="E89" s="3">
        <f t="shared" si="7"/>
        <v>185.04024744645591</v>
      </c>
      <c r="F89" s="3"/>
      <c r="G89" s="3">
        <f t="shared" si="7"/>
        <v>75.827915733209736</v>
      </c>
      <c r="H89" s="3"/>
      <c r="I89" s="3">
        <f t="shared" si="7"/>
        <v>221.54712301046652</v>
      </c>
      <c r="J89" s="3"/>
      <c r="K89" s="3">
        <f t="shared" si="8"/>
        <v>34.219246125505848</v>
      </c>
      <c r="T89">
        <f t="shared" si="10"/>
        <v>76</v>
      </c>
      <c r="U89" s="147">
        <f t="shared" si="9"/>
        <v>1.71590472839868E-2</v>
      </c>
      <c r="V89" s="147">
        <f t="shared" si="11"/>
        <v>6.4424590909937015E-3</v>
      </c>
    </row>
    <row r="90" spans="1:22">
      <c r="A90">
        <f t="shared" si="6"/>
        <v>-3</v>
      </c>
      <c r="B90" s="6">
        <v>77</v>
      </c>
      <c r="C90" s="3">
        <f t="shared" si="7"/>
        <v>81.474666943730071</v>
      </c>
      <c r="D90" s="3"/>
      <c r="E90" s="3">
        <f t="shared" si="7"/>
        <v>186.91585472936842</v>
      </c>
      <c r="F90" s="3"/>
      <c r="G90" s="3">
        <f t="shared" si="7"/>
        <v>76.276910374485652</v>
      </c>
      <c r="H90" s="3"/>
      <c r="I90" s="3">
        <f t="shared" si="7"/>
        <v>225.25177961500808</v>
      </c>
      <c r="J90" s="3"/>
      <c r="K90" s="3">
        <f t="shared" si="8"/>
        <v>34.421866202693664</v>
      </c>
      <c r="T90">
        <f t="shared" si="10"/>
        <v>77</v>
      </c>
      <c r="U90" s="147">
        <f t="shared" si="9"/>
        <v>1.6721754515252804E-2</v>
      </c>
      <c r="V90" s="147">
        <f t="shared" si="11"/>
        <v>6.1760650827540889E-3</v>
      </c>
    </row>
    <row r="91" spans="1:22">
      <c r="A91">
        <f t="shared" si="6"/>
        <v>-2</v>
      </c>
      <c r="B91" s="6">
        <v>78</v>
      </c>
      <c r="C91" s="3">
        <f t="shared" si="7"/>
        <v>82.802542193645991</v>
      </c>
      <c r="D91" s="3"/>
      <c r="E91" s="3">
        <f t="shared" si="7"/>
        <v>188.74810630873807</v>
      </c>
      <c r="F91" s="3"/>
      <c r="G91" s="3">
        <f t="shared" si="7"/>
        <v>76.70996587275144</v>
      </c>
      <c r="H91" s="3"/>
      <c r="I91" s="3">
        <f t="shared" si="7"/>
        <v>228.92293623792327</v>
      </c>
      <c r="J91" s="3"/>
      <c r="K91" s="3">
        <f t="shared" si="8"/>
        <v>34.617293342393751</v>
      </c>
      <c r="T91">
        <f t="shared" si="10"/>
        <v>78</v>
      </c>
      <c r="U91" s="147">
        <f t="shared" si="9"/>
        <v>1.6298013845616671E-2</v>
      </c>
      <c r="V91" s="147">
        <f t="shared" si="11"/>
        <v>5.921231474377558E-3</v>
      </c>
    </row>
    <row r="92" spans="1:22">
      <c r="A92">
        <f>A93-1</f>
        <v>-1</v>
      </c>
      <c r="B92" s="6">
        <v>79</v>
      </c>
      <c r="C92" s="3">
        <f t="shared" si="7"/>
        <v>84.118049848630193</v>
      </c>
      <c r="D92" s="3"/>
      <c r="E92" s="3">
        <f t="shared" si="7"/>
        <v>190.53761729202773</v>
      </c>
      <c r="F92" s="3"/>
      <c r="G92" s="3">
        <f t="shared" si="7"/>
        <v>77.127582014985848</v>
      </c>
      <c r="H92" s="3"/>
      <c r="I92" s="3">
        <f t="shared" si="7"/>
        <v>232.55990035815722</v>
      </c>
      <c r="J92" s="3"/>
      <c r="K92" s="3">
        <f t="shared" si="8"/>
        <v>34.805753085997715</v>
      </c>
      <c r="T92">
        <f t="shared" si="10"/>
        <v>79</v>
      </c>
      <c r="U92" s="147">
        <f t="shared" si="9"/>
        <v>1.5887285826414521E-2</v>
      </c>
      <c r="V92" s="147">
        <f t="shared" si="11"/>
        <v>5.6774126815005059E-3</v>
      </c>
    </row>
    <row r="93" spans="1:22">
      <c r="A93">
        <v>0</v>
      </c>
      <c r="B93" s="6">
        <v>80</v>
      </c>
      <c r="C93" s="3">
        <f t="shared" si="7"/>
        <v>85.420959250881964</v>
      </c>
      <c r="D93" s="3">
        <f>D$8*(1-EXP(-D$9*$B13))^3</f>
        <v>0</v>
      </c>
      <c r="E93" s="3">
        <f t="shared" si="7"/>
        <v>192.28502021747596</v>
      </c>
      <c r="F93" s="3">
        <f>F$8*(1-EXP(-F$9*$B13))^3</f>
        <v>0</v>
      </c>
      <c r="G93" s="3">
        <f t="shared" si="7"/>
        <v>77.530248288034386</v>
      </c>
      <c r="H93" s="3">
        <f t="shared" ref="H93:H124" si="12">H$8*(1-EXP(-H$9*$B13))^3</f>
        <v>0</v>
      </c>
      <c r="I93" s="3">
        <f t="shared" si="7"/>
        <v>236.16203427957637</v>
      </c>
      <c r="J93" s="3">
        <f t="shared" ref="J93:J124" si="13">J$8*(1-EXP(-J$9*$B13))^3</f>
        <v>0</v>
      </c>
      <c r="K93" s="3">
        <f t="shared" si="8"/>
        <v>34.987466326704045</v>
      </c>
      <c r="T93">
        <f t="shared" si="10"/>
        <v>80</v>
      </c>
      <c r="U93" s="147">
        <f t="shared" si="9"/>
        <v>1.5489058586074533E-2</v>
      </c>
      <c r="V93" s="147">
        <f t="shared" si="11"/>
        <v>5.4440924002907599E-3</v>
      </c>
    </row>
    <row r="94" spans="1:22">
      <c r="A94">
        <f>A93+1</f>
        <v>1</v>
      </c>
      <c r="B94" s="6">
        <v>81</v>
      </c>
      <c r="C94" s="3">
        <f t="shared" si="7"/>
        <v>86.711058851161368</v>
      </c>
      <c r="D94" s="3">
        <f>D$8*(1-EXP(-D$9*$B14))^3</f>
        <v>6.6880163224559471E-3</v>
      </c>
      <c r="E94" s="3">
        <f t="shared" si="7"/>
        <v>193.9909627396743</v>
      </c>
      <c r="F94" s="3">
        <f>F$8*(1-EXP(-F$9*$B14))^3</f>
        <v>2.3299439689354041E-2</v>
      </c>
      <c r="G94" s="3">
        <f t="shared" si="7"/>
        <v>77.918443604882469</v>
      </c>
      <c r="H94" s="3">
        <f t="shared" si="12"/>
        <v>9.2954149977990501E-3</v>
      </c>
      <c r="I94" s="3">
        <f t="shared" si="7"/>
        <v>239.7287531351962</v>
      </c>
      <c r="J94" s="3">
        <f t="shared" si="13"/>
        <v>8.4435165567249108E-3</v>
      </c>
      <c r="K94" s="3">
        <f t="shared" si="8"/>
        <v>35.162649185992045</v>
      </c>
    </row>
    <row r="95" spans="1:22">
      <c r="A95">
        <f t="shared" ref="A95:B115" si="14">A94+1</f>
        <v>2</v>
      </c>
      <c r="B95" s="6">
        <v>82</v>
      </c>
      <c r="C95" s="3">
        <f t="shared" si="7"/>
        <v>87.98815549932786</v>
      </c>
      <c r="D95" s="3">
        <f t="shared" ref="D95:F158" si="15">D$8*(1-EXP(-D$9*$B15))^3</f>
        <v>5.0418532610901234E-2</v>
      </c>
      <c r="E95" s="3">
        <f t="shared" si="7"/>
        <v>195.65610546470202</v>
      </c>
      <c r="F95" s="3">
        <f t="shared" si="15"/>
        <v>0.17308940564749506</v>
      </c>
      <c r="G95" s="3">
        <f t="shared" si="7"/>
        <v>78.292636089554875</v>
      </c>
      <c r="H95" s="3">
        <f t="shared" si="12"/>
        <v>6.9054787525684724E-2</v>
      </c>
      <c r="I95" s="3">
        <f t="shared" si="7"/>
        <v>243.25952292574397</v>
      </c>
      <c r="J95" s="3">
        <f t="shared" si="13"/>
        <v>6.4597641736584027E-2</v>
      </c>
      <c r="K95" s="3">
        <f t="shared" si="8"/>
        <v>35.331512916552313</v>
      </c>
    </row>
    <row r="96" spans="1:22">
      <c r="A96">
        <f t="shared" si="14"/>
        <v>3</v>
      </c>
      <c r="B96" s="6">
        <v>83</v>
      </c>
      <c r="C96" s="3">
        <f t="shared" si="7"/>
        <v>89.25207374798569</v>
      </c>
      <c r="D96" s="3">
        <f t="shared" si="15"/>
        <v>0.16041335764575598</v>
      </c>
      <c r="E96" s="3">
        <f t="shared" si="7"/>
        <v>197.28111992770428</v>
      </c>
      <c r="F96" s="3">
        <f t="shared" si="15"/>
        <v>0.54281342361735241</v>
      </c>
      <c r="G96" s="3">
        <f t="shared" si="7"/>
        <v>78.653282915135321</v>
      </c>
      <c r="H96" s="3">
        <f t="shared" si="12"/>
        <v>0.2165578274058175</v>
      </c>
      <c r="I96" s="3">
        <f t="shared" si="7"/>
        <v>246.75385859445782</v>
      </c>
      <c r="J96" s="3">
        <f t="shared" si="13"/>
        <v>0.20854100195867226</v>
      </c>
      <c r="K96" s="3">
        <f t="shared" si="8"/>
        <v>35.49426382918903</v>
      </c>
    </row>
    <row r="97" spans="1:11">
      <c r="A97">
        <f t="shared" si="14"/>
        <v>4</v>
      </c>
      <c r="B97" s="6">
        <v>84</v>
      </c>
      <c r="C97" s="3">
        <f t="shared" si="7"/>
        <v>90.502655169824934</v>
      </c>
      <c r="D97" s="3">
        <f t="shared" si="15"/>
        <v>0.35859718815808966</v>
      </c>
      <c r="E97" s="3">
        <f t="shared" si="7"/>
        <v>198.86668670599443</v>
      </c>
      <c r="F97" s="3">
        <f t="shared" si="15"/>
        <v>1.1963113621512833</v>
      </c>
      <c r="G97" s="3">
        <f t="shared" si="7"/>
        <v>79.000830189810074</v>
      </c>
      <c r="H97" s="3">
        <f t="shared" si="12"/>
        <v>0.47727373387693472</v>
      </c>
      <c r="I97" s="3">
        <f t="shared" si="7"/>
        <v>250.21132213974988</v>
      </c>
      <c r="J97" s="3">
        <f t="shared" si="13"/>
        <v>0.47294033728838897</v>
      </c>
      <c r="K97" s="3">
        <f t="shared" si="8"/>
        <v>35.651103241394253</v>
      </c>
    </row>
    <row r="98" spans="1:11">
      <c r="A98">
        <f t="shared" si="14"/>
        <v>5</v>
      </c>
      <c r="B98" s="6">
        <v>85</v>
      </c>
      <c r="C98" s="3">
        <f t="shared" si="7"/>
        <v>91.73975768915416</v>
      </c>
      <c r="D98" s="3">
        <f t="shared" si="15"/>
        <v>0.66078557389625781</v>
      </c>
      <c r="E98" s="3">
        <f t="shared" si="7"/>
        <v>200.41349366096094</v>
      </c>
      <c r="F98" s="3">
        <f t="shared" si="15"/>
        <v>2.1738150521394615</v>
      </c>
      <c r="G98" s="3">
        <f t="shared" si="7"/>
        <v>79.335712886221728</v>
      </c>
      <c r="H98" s="3">
        <f t="shared" si="12"/>
        <v>0.86725317464742369</v>
      </c>
      <c r="I98" s="3">
        <f t="shared" si="7"/>
        <v>253.63152076710446</v>
      </c>
      <c r="J98" s="3">
        <f t="shared" si="13"/>
        <v>0.88396024195550715</v>
      </c>
      <c r="K98" s="3">
        <f t="shared" si="8"/>
        <v>35.802227445467089</v>
      </c>
    </row>
    <row r="99" spans="1:11">
      <c r="A99">
        <f t="shared" si="14"/>
        <v>6</v>
      </c>
      <c r="B99" s="6">
        <v>86</v>
      </c>
      <c r="C99" s="3">
        <f t="shared" si="7"/>
        <v>92.96325492803625</v>
      </c>
      <c r="D99" s="3">
        <f t="shared" si="15"/>
        <v>1.0777084645502373</v>
      </c>
      <c r="E99" s="3">
        <f t="shared" si="7"/>
        <v>201.92223430227185</v>
      </c>
      <c r="F99" s="3">
        <f t="shared" si="15"/>
        <v>3.4969162977871946</v>
      </c>
      <c r="G99" s="3">
        <f t="shared" si="7"/>
        <v>79.658354809780349</v>
      </c>
      <c r="H99" s="3">
        <f t="shared" si="12"/>
        <v>1.3951102959506492</v>
      </c>
      <c r="I99" s="3">
        <f t="shared" si="7"/>
        <v>257.01410508135001</v>
      </c>
      <c r="J99" s="3">
        <f t="shared" si="13"/>
        <v>1.4620775622574171</v>
      </c>
      <c r="K99" s="3">
        <f t="shared" si="8"/>
        <v>35.947827694213267</v>
      </c>
    </row>
    <row r="100" spans="1:11">
      <c r="A100">
        <f t="shared" si="14"/>
        <v>7</v>
      </c>
      <c r="B100" s="6">
        <v>87</v>
      </c>
      <c r="C100" s="3">
        <f t="shared" si="7"/>
        <v>94.17303556736168</v>
      </c>
      <c r="D100" s="3">
        <f t="shared" si="15"/>
        <v>1.6158903296459175</v>
      </c>
      <c r="E100" s="3">
        <f t="shared" si="7"/>
        <v>203.3936062680844</v>
      </c>
      <c r="F100" s="3">
        <f t="shared" si="15"/>
        <v>5.1726694305274696</v>
      </c>
      <c r="G100" s="3">
        <f t="shared" si="7"/>
        <v>79.969168601916991</v>
      </c>
      <c r="H100" s="3">
        <f t="shared" si="12"/>
        <v>2.0636594546585321</v>
      </c>
      <c r="I100" s="3">
        <f t="shared" si="7"/>
        <v>260.3587673202278</v>
      </c>
      <c r="J100" s="3">
        <f t="shared" si="13"/>
        <v>2.2228096862039943</v>
      </c>
      <c r="K100" s="3">
        <f t="shared" si="8"/>
        <v>36.088090202413362</v>
      </c>
    </row>
    <row r="101" spans="1:11">
      <c r="A101">
        <f t="shared" si="14"/>
        <v>8</v>
      </c>
      <c r="B101" s="6">
        <v>88</v>
      </c>
      <c r="C101" s="3">
        <f t="shared" si="7"/>
        <v>95.369002723123899</v>
      </c>
      <c r="D101" s="3">
        <f t="shared" si="15"/>
        <v>2.2784052810626787</v>
      </c>
      <c r="E101" s="3">
        <f t="shared" si="7"/>
        <v>204.82830991518776</v>
      </c>
      <c r="F101" s="3">
        <f t="shared" si="15"/>
        <v>7.196966127491617</v>
      </c>
      <c r="G101" s="3">
        <f t="shared" si="7"/>
        <v>80.268555774578317</v>
      </c>
      <c r="H101" s="3">
        <f t="shared" si="12"/>
        <v>2.8712616171068124</v>
      </c>
      <c r="I101" s="3">
        <f t="shared" si="7"/>
        <v>263.66523962998991</v>
      </c>
      <c r="J101" s="3">
        <f t="shared" si="13"/>
        <v>3.1773651035252533</v>
      </c>
      <c r="K101" s="3">
        <f t="shared" si="8"/>
        <v>36.223196162389392</v>
      </c>
    </row>
    <row r="102" spans="1:11">
      <c r="A102">
        <f t="shared" si="14"/>
        <v>9</v>
      </c>
      <c r="B102" s="6">
        <v>89</v>
      </c>
      <c r="C102" s="3">
        <f t="shared" si="7"/>
        <v>96.551073338095861</v>
      </c>
      <c r="D102" s="3">
        <f t="shared" si="15"/>
        <v>3.0655233705876594</v>
      </c>
      <c r="E102" s="3">
        <f t="shared" si="7"/>
        <v>206.2270470132288</v>
      </c>
      <c r="F102" s="3">
        <f t="shared" si="15"/>
        <v>9.5572993662711845</v>
      </c>
      <c r="G102" s="3">
        <f t="shared" si="7"/>
        <v>80.556906772557923</v>
      </c>
      <c r="H102" s="3">
        <f t="shared" si="12"/>
        <v>3.8129270511292503</v>
      </c>
      <c r="I102" s="3">
        <f t="shared" si="7"/>
        <v>266.93329238357694</v>
      </c>
      <c r="J102" s="3">
        <f t="shared" si="13"/>
        <v>4.3332238361602142</v>
      </c>
      <c r="K102" s="3">
        <f t="shared" si="8"/>
        <v>36.353321772133377</v>
      </c>
    </row>
    <row r="103" spans="1:11">
      <c r="A103">
        <f t="shared" si="14"/>
        <v>10</v>
      </c>
      <c r="B103" s="6">
        <v>90</v>
      </c>
      <c r="C103" s="3">
        <f t="shared" si="7"/>
        <v>97.71917758904894</v>
      </c>
      <c r="D103" s="3">
        <f t="shared" si="15"/>
        <v>3.9752622463725169</v>
      </c>
      <c r="E103" s="3">
        <f t="shared" si="7"/>
        <v>207.59051953739234</v>
      </c>
      <c r="F103" s="3">
        <f t="shared" si="15"/>
        <v>12.235015602193171</v>
      </c>
      <c r="G103" s="3">
        <f t="shared" si="7"/>
        <v>80.834601060533259</v>
      </c>
      <c r="H103" s="3">
        <f t="shared" si="12"/>
        <v>4.8812138421893891</v>
      </c>
      <c r="I103" s="3">
        <f t="shared" si="7"/>
        <v>270.16273254176446</v>
      </c>
      <c r="J103" s="3">
        <f t="shared" si="13"/>
        <v>5.6946546312184996</v>
      </c>
      <c r="K103" s="3">
        <f t="shared" si="8"/>
        <v>36.47863827458491</v>
      </c>
    </row>
    <row r="104" spans="1:11">
      <c r="A104">
        <f t="shared" si="14"/>
        <v>11</v>
      </c>
      <c r="B104" s="6">
        <v>91</v>
      </c>
      <c r="C104" s="3">
        <f t="shared" si="7"/>
        <v>98.87325830960242</v>
      </c>
      <c r="D104" s="3">
        <f t="shared" si="15"/>
        <v>5.0038566008813614</v>
      </c>
      <c r="E104" s="3">
        <f t="shared" si="7"/>
        <v>208.91942855413095</v>
      </c>
      <c r="F104" s="3">
        <f t="shared" si="15"/>
        <v>15.207139091037117</v>
      </c>
      <c r="G104" s="3">
        <f t="shared" si="7"/>
        <v>81.102007231934337</v>
      </c>
      <c r="H104" s="3">
        <f t="shared" si="12"/>
        <v>6.0669557150351219</v>
      </c>
      <c r="I104" s="3">
        <f t="shared" si="7"/>
        <v>273.35340205752431</v>
      </c>
      <c r="J104" s="3">
        <f t="shared" si="13"/>
        <v>7.2631751644010194</v>
      </c>
      <c r="K104" s="3">
        <f t="shared" si="8"/>
        <v>36.599312006760897</v>
      </c>
    </row>
    <row r="105" spans="1:11">
      <c r="A105">
        <f t="shared" si="14"/>
        <v>12</v>
      </c>
      <c r="B105" s="6">
        <v>92</v>
      </c>
      <c r="C105" s="3">
        <f t="shared" si="7"/>
        <v>100.0132704287426</v>
      </c>
      <c r="D105" s="3">
        <f t="shared" si="15"/>
        <v>6.1461563011223976</v>
      </c>
      <c r="E105" s="3">
        <f t="shared" si="7"/>
        <v>210.21447319475655</v>
      </c>
      <c r="F105" s="3">
        <f t="shared" si="15"/>
        <v>18.447839359936097</v>
      </c>
      <c r="G105" s="3">
        <f t="shared" si="7"/>
        <v>81.359483137008667</v>
      </c>
      <c r="H105" s="3">
        <f t="shared" si="12"/>
        <v>7.3598474877355207</v>
      </c>
      <c r="I105" s="3">
        <f t="shared" si="7"/>
        <v>276.50517632370634</v>
      </c>
      <c r="J105" s="3">
        <f t="shared" si="13"/>
        <v>9.0379609162773722</v>
      </c>
      <c r="K105" s="3">
        <f t="shared" si="8"/>
        <v>36.715504457548086</v>
      </c>
    </row>
    <row r="106" spans="1:11">
      <c r="A106">
        <f t="shared" si="14"/>
        <v>13</v>
      </c>
      <c r="B106" s="6">
        <v>93</v>
      </c>
      <c r="C106" s="3">
        <f t="shared" si="7"/>
        <v>101.13918042500804</v>
      </c>
      <c r="D106" s="3">
        <f t="shared" si="15"/>
        <v>7.3959627350682862</v>
      </c>
      <c r="E106" s="3">
        <f t="shared" si="7"/>
        <v>211.47634971192613</v>
      </c>
      <c r="F106" s="3">
        <f t="shared" si="15"/>
        <v>21.929601827142822</v>
      </c>
      <c r="G106" s="3">
        <f t="shared" si="7"/>
        <v>81.607376027668678</v>
      </c>
      <c r="H106" s="3">
        <f t="shared" si="12"/>
        <v>8.7489120956383086</v>
      </c>
      <c r="I106" s="3">
        <f t="shared" si="7"/>
        <v>279.61796266403309</v>
      </c>
      <c r="J106" s="3">
        <f t="shared" si="13"/>
        <v>11.016207851443589</v>
      </c>
      <c r="K106" s="3">
        <f t="shared" si="8"/>
        <v>36.827372333069057</v>
      </c>
    </row>
    <row r="107" spans="1:11">
      <c r="A107">
        <f t="shared" si="14"/>
        <v>14</v>
      </c>
      <c r="B107" s="6">
        <v>94</v>
      </c>
      <c r="C107" s="3">
        <f t="shared" si="7"/>
        <v>102.25096579629684</v>
      </c>
      <c r="D107" s="3">
        <f t="shared" si="15"/>
        <v>8.7463117144652891</v>
      </c>
      <c r="E107" s="3">
        <f t="shared" si="7"/>
        <v>212.70575061426524</v>
      </c>
      <c r="F107" s="3">
        <f t="shared" si="15"/>
        <v>25.624152208889779</v>
      </c>
      <c r="G107" s="3">
        <f t="shared" si="7"/>
        <v>81.846022716914362</v>
      </c>
      <c r="H107" s="3">
        <f t="shared" si="12"/>
        <v>10.222869387594413</v>
      </c>
      <c r="I107" s="3">
        <f t="shared" si="7"/>
        <v>282.69169886728378</v>
      </c>
      <c r="J107" s="3">
        <f t="shared" si="13"/>
        <v>13.193453546678951</v>
      </c>
      <c r="K107" s="3">
        <f t="shared" si="8"/>
        <v>36.935067628625738</v>
      </c>
    </row>
    <row r="108" spans="1:11">
      <c r="A108">
        <f t="shared" si="14"/>
        <v>15</v>
      </c>
      <c r="B108" s="6">
        <v>95</v>
      </c>
      <c r="C108" s="3">
        <f t="shared" si="7"/>
        <v>103.34861454521752</v>
      </c>
      <c r="D108" s="3">
        <f t="shared" si="15"/>
        <v>10.189710224502418</v>
      </c>
      <c r="E108" s="3">
        <f t="shared" si="7"/>
        <v>213.90336387458598</v>
      </c>
      <c r="F108" s="3">
        <f t="shared" si="15"/>
        <v>29.503177390087529</v>
      </c>
      <c r="G108" s="3">
        <f t="shared" si="7"/>
        <v>82.07574975081495</v>
      </c>
      <c r="H108" s="3">
        <f t="shared" si="12"/>
        <v>11.770423720526333</v>
      </c>
      <c r="I108" s="3">
        <f t="shared" si="7"/>
        <v>285.72635176445158</v>
      </c>
      <c r="J108" s="3">
        <f t="shared" si="13"/>
        <v>15.563860974458446</v>
      </c>
      <c r="K108" s="3">
        <f t="shared" si="8"/>
        <v>37.038737706310393</v>
      </c>
    </row>
    <row r="109" spans="1:11">
      <c r="A109">
        <f t="shared" si="14"/>
        <v>16</v>
      </c>
      <c r="B109" s="6">
        <v>96</v>
      </c>
      <c r="C109" s="3">
        <f t="shared" si="7"/>
        <v>104.43212467987155</v>
      </c>
      <c r="D109" s="3">
        <f t="shared" si="15"/>
        <v>11.718333388083606</v>
      </c>
      <c r="E109" s="3">
        <f t="shared" si="7"/>
        <v>215.06987220735667</v>
      </c>
      <c r="F109" s="3">
        <f t="shared" si="15"/>
        <v>33.538878670669241</v>
      </c>
      <c r="G109" s="3">
        <f t="shared" si="7"/>
        <v>82.296873591210627</v>
      </c>
      <c r="H109" s="3">
        <f t="shared" si="12"/>
        <v>13.380484679515691</v>
      </c>
      <c r="I109" s="3">
        <f t="shared" si="7"/>
        <v>288.72191584856472</v>
      </c>
      <c r="J109" s="3">
        <f t="shared" si="13"/>
        <v>18.12046874861289</v>
      </c>
      <c r="K109" s="3">
        <f t="shared" si="8"/>
        <v>37.138525377454336</v>
      </c>
    </row>
    <row r="110" spans="1:11">
      <c r="A110">
        <f t="shared" si="14"/>
        <v>17</v>
      </c>
      <c r="B110" s="6">
        <v>97</v>
      </c>
      <c r="C110" s="3">
        <f t="shared" si="7"/>
        <v>105.50150372992968</v>
      </c>
      <c r="D110" s="3">
        <f t="shared" si="15"/>
        <v>13.324187201714368</v>
      </c>
      <c r="E110" s="3">
        <f t="shared" si="7"/>
        <v>216.20595241128498</v>
      </c>
      <c r="F110" s="3">
        <f t="shared" si="15"/>
        <v>37.704387555938411</v>
      </c>
      <c r="G110" s="3">
        <f t="shared" si="7"/>
        <v>82.509700807460248</v>
      </c>
      <c r="H110" s="3">
        <f t="shared" si="12"/>
        <v>15.04233295921008</v>
      </c>
      <c r="I110" s="3">
        <f t="shared" si="7"/>
        <v>291.67841193679004</v>
      </c>
      <c r="J110" s="3">
        <f t="shared" si="13"/>
        <v>20.855411275963935</v>
      </c>
      <c r="K110" s="3">
        <f t="shared" si="8"/>
        <v>37.234568989158973</v>
      </c>
    </row>
    <row r="111" spans="1:11">
      <c r="A111">
        <f t="shared" si="14"/>
        <v>18</v>
      </c>
      <c r="B111" s="6">
        <v>98</v>
      </c>
      <c r="C111" s="3">
        <f t="shared" si="7"/>
        <v>106.55676827783559</v>
      </c>
      <c r="D111" s="3">
        <f t="shared" si="15"/>
        <v>14.999241888023334</v>
      </c>
      <c r="E111" s="3">
        <f t="shared" si="7"/>
        <v>217.31227477306837</v>
      </c>
      <c r="F111" s="3">
        <f t="shared" si="15"/>
        <v>41.974069387440238</v>
      </c>
      <c r="G111" s="3">
        <f t="shared" si="7"/>
        <v>82.714528275712382</v>
      </c>
      <c r="H111" s="3">
        <f t="shared" si="12"/>
        <v>16.745741498708419</v>
      </c>
      <c r="I111" s="3">
        <f t="shared" si="7"/>
        <v>294.59588587435888</v>
      </c>
      <c r="J111" s="3">
        <f t="shared" si="13"/>
        <v>23.760111928117787</v>
      </c>
      <c r="K111" s="3">
        <f t="shared" si="8"/>
        <v>37.327002514221753</v>
      </c>
    </row>
    <row r="112" spans="1:11">
      <c r="A112">
        <f t="shared" si="14"/>
        <v>19</v>
      </c>
      <c r="B112" s="6">
        <v>99</v>
      </c>
      <c r="C112" s="3">
        <f t="shared" si="7"/>
        <v>107.59794350495081</v>
      </c>
      <c r="D112" s="3">
        <f t="shared" si="15"/>
        <v>16.7355400849764</v>
      </c>
      <c r="E112" s="3">
        <f t="shared" si="7"/>
        <v>218.38950252855477</v>
      </c>
      <c r="F112" s="3">
        <f t="shared" si="15"/>
        <v>46.323735982377741</v>
      </c>
      <c r="G112" s="3">
        <f t="shared" si="7"/>
        <v>82.911643384317912</v>
      </c>
      <c r="H112" s="3">
        <f t="shared" si="12"/>
        <v>18.481060315000889</v>
      </c>
      <c r="I112" s="3">
        <f t="shared" si="7"/>
        <v>297.47440727980063</v>
      </c>
      <c r="J112" s="3">
        <f t="shared" si="13"/>
        <v>26.825452048287957</v>
      </c>
      <c r="K112" s="3">
        <f t="shared" si="8"/>
        <v>37.415955643833811</v>
      </c>
    </row>
    <row r="113" spans="1:11">
      <c r="A113">
        <f t="shared" si="14"/>
        <v>20</v>
      </c>
      <c r="B113" s="6">
        <v>100</v>
      </c>
      <c r="C113" s="3">
        <f t="shared" si="7"/>
        <v>108.62506275243267</v>
      </c>
      <c r="D113" s="3">
        <f t="shared" si="15"/>
        <v>18.5252835435601</v>
      </c>
      <c r="E113" s="3">
        <f t="shared" si="7"/>
        <v>219.43829137774094</v>
      </c>
      <c r="F113" s="3">
        <f t="shared" si="15"/>
        <v>50.730784954682932</v>
      </c>
      <c r="G113" s="3">
        <f t="shared" si="7"/>
        <v>83.101324244132513</v>
      </c>
      <c r="H113" s="3">
        <f t="shared" si="12"/>
        <v>20.239272085729365</v>
      </c>
      <c r="I113" s="3">
        <f t="shared" si="7"/>
        <v>300.31406833090875</v>
      </c>
      <c r="J113" s="3">
        <f t="shared" si="13"/>
        <v>30.041918336310172</v>
      </c>
      <c r="K113" s="3">
        <f t="shared" si="8"/>
        <v>37.50155388248421</v>
      </c>
    </row>
    <row r="114" spans="1:11">
      <c r="A114">
        <f t="shared" si="14"/>
        <v>21</v>
      </c>
      <c r="B114">
        <f>B113+1</f>
        <v>101</v>
      </c>
      <c r="C114" s="3">
        <f t="shared" si="7"/>
        <v>109.63816709662152</v>
      </c>
      <c r="D114" s="3">
        <f t="shared" si="15"/>
        <v>20.360901524976995</v>
      </c>
      <c r="E114" s="3">
        <f t="shared" si="7"/>
        <v>220.4592890502108</v>
      </c>
      <c r="F114" s="3">
        <f t="shared" si="15"/>
        <v>55.174280435662595</v>
      </c>
      <c r="G114" s="3">
        <f t="shared" si="7"/>
        <v>83.283839902576531</v>
      </c>
      <c r="H114" s="3">
        <f t="shared" si="12"/>
        <v>22.012024353047767</v>
      </c>
      <c r="I114" s="3">
        <f t="shared" si="7"/>
        <v>303.11498259082026</v>
      </c>
      <c r="J114" s="3">
        <f t="shared" si="13"/>
        <v>33.399730908426704</v>
      </c>
      <c r="K114" s="3">
        <f t="shared" si="8"/>
        <v>37.583918644559809</v>
      </c>
    </row>
    <row r="115" spans="1:11">
      <c r="A115">
        <f t="shared" si="14"/>
        <v>22</v>
      </c>
      <c r="B115">
        <f t="shared" si="14"/>
        <v>102</v>
      </c>
      <c r="C115" s="3">
        <f t="shared" si="7"/>
        <v>110.63730493869643</v>
      </c>
      <c r="D115" s="3">
        <f t="shared" si="15"/>
        <v>22.235103667138301</v>
      </c>
      <c r="E115" s="3">
        <f t="shared" si="7"/>
        <v>221.45313491778913</v>
      </c>
      <c r="F115" s="3">
        <f t="shared" si="15"/>
        <v>59.634987416407405</v>
      </c>
      <c r="G115" s="3">
        <f t="shared" si="7"/>
        <v>83.45945056043081</v>
      </c>
      <c r="H115" s="3">
        <f t="shared" si="12"/>
        <v>23.79164322467874</v>
      </c>
      <c r="I115" s="3">
        <f t="shared" si="7"/>
        <v>305.87728387354298</v>
      </c>
      <c r="J115" s="3">
        <f t="shared" si="13"/>
        <v>36.888954104689226</v>
      </c>
      <c r="K115" s="3">
        <f t="shared" si="8"/>
        <v>37.66316735217984</v>
      </c>
    </row>
    <row r="116" spans="1:11">
      <c r="A116">
        <f t="shared" ref="A116:B131" si="16">A115+1</f>
        <v>23</v>
      </c>
      <c r="B116">
        <f t="shared" si="16"/>
        <v>103</v>
      </c>
      <c r="C116" s="3">
        <f t="shared" si="7"/>
        <v>111.62253160834713</v>
      </c>
      <c r="D116" s="3">
        <f t="shared" si="15"/>
        <v>24.140919721338808</v>
      </c>
      <c r="E116" s="3">
        <f t="shared" si="7"/>
        <v>222.42045965134901</v>
      </c>
      <c r="F116" s="3">
        <f t="shared" si="15"/>
        <v>64.09536982929194</v>
      </c>
      <c r="G116" s="3">
        <f t="shared" si="7"/>
        <v>83.628407790449003</v>
      </c>
      <c r="H116" s="3">
        <f t="shared" si="12"/>
        <v>25.571132608519605</v>
      </c>
      <c r="I116" s="3">
        <f t="shared" si="7"/>
        <v>308.60112514823345</v>
      </c>
      <c r="J116" s="3">
        <f t="shared" si="13"/>
        <v>40.499591913895067</v>
      </c>
      <c r="K116" s="3">
        <f t="shared" si="8"/>
        <v>37.739413533850168</v>
      </c>
    </row>
    <row r="117" spans="1:11">
      <c r="A117">
        <f t="shared" si="16"/>
        <v>24</v>
      </c>
      <c r="B117">
        <f t="shared" si="16"/>
        <v>104</v>
      </c>
      <c r="C117" s="3">
        <f t="shared" si="7"/>
        <v>112.59390898119706</v>
      </c>
      <c r="D117" s="3">
        <f t="shared" si="15"/>
        <v>26.071728237167552</v>
      </c>
      <c r="E117" s="3">
        <f t="shared" si="7"/>
        <v>223.36188491887108</v>
      </c>
      <c r="F117" s="3">
        <f t="shared" si="15"/>
        <v>68.539560713299451</v>
      </c>
      <c r="G117" s="3">
        <f t="shared" si="7"/>
        <v>83.790954756959437</v>
      </c>
      <c r="H117" s="3">
        <f t="shared" si="12"/>
        <v>27.34416230996607</v>
      </c>
      <c r="I117" s="3">
        <f t="shared" si="7"/>
        <v>311.28667748149195</v>
      </c>
      <c r="J117" s="3">
        <f t="shared" si="13"/>
        <v>44.221669701953054</v>
      </c>
      <c r="K117" s="3">
        <f t="shared" si="8"/>
        <v>37.812766923564119</v>
      </c>
    </row>
    <row r="118" spans="1:11">
      <c r="A118">
        <f t="shared" si="16"/>
        <v>25</v>
      </c>
      <c r="B118">
        <f t="shared" si="16"/>
        <v>105</v>
      </c>
      <c r="C118" s="3">
        <f t="shared" si="7"/>
        <v>113.55150510970481</v>
      </c>
      <c r="D118" s="3">
        <f t="shared" si="15"/>
        <v>28.021275991399175</v>
      </c>
      <c r="E118" s="3">
        <f t="shared" si="7"/>
        <v>224.27802312200387</v>
      </c>
      <c r="F118" s="3">
        <f t="shared" si="15"/>
        <v>72.953311317543225</v>
      </c>
      <c r="G118" s="3">
        <f t="shared" si="7"/>
        <v>83.947326435717159</v>
      </c>
      <c r="H118" s="3">
        <f t="shared" si="12"/>
        <v>29.105047726535915</v>
      </c>
      <c r="I118" s="3">
        <f t="shared" si="7"/>
        <v>313.93412901692182</v>
      </c>
      <c r="J118" s="3">
        <f t="shared" si="13"/>
        <v>48.045303762757428</v>
      </c>
      <c r="K118" s="3">
        <f t="shared" si="8"/>
        <v>37.883333560016261</v>
      </c>
    </row>
    <row r="119" spans="1:11">
      <c r="A119">
        <f t="shared" si="16"/>
        <v>26</v>
      </c>
      <c r="B119">
        <f t="shared" si="16"/>
        <v>106</v>
      </c>
      <c r="C119" s="3">
        <f t="shared" si="7"/>
        <v>114.4953938672609</v>
      </c>
      <c r="D119" s="3">
        <f t="shared" si="15"/>
        <v>29.983689709930267</v>
      </c>
      <c r="E119" s="3">
        <f t="shared" si="7"/>
        <v>225.16947716852243</v>
      </c>
      <c r="F119" s="3">
        <f t="shared" si="15"/>
        <v>77.323924746512787</v>
      </c>
      <c r="G119" s="3">
        <f t="shared" si="7"/>
        <v>84.097749833344963</v>
      </c>
      <c r="H119" s="3">
        <f t="shared" si="12"/>
        <v>30.848723375345134</v>
      </c>
      <c r="I119" s="3">
        <f t="shared" si="7"/>
        <v>316.54368399116856</v>
      </c>
      <c r="J119" s="3">
        <f t="shared" si="13"/>
        <v>51.960760059471184</v>
      </c>
      <c r="K119" s="3">
        <f t="shared" si="8"/>
        <v>37.951215885630624</v>
      </c>
    </row>
    <row r="120" spans="1:11">
      <c r="A120">
        <f t="shared" si="16"/>
        <v>27</v>
      </c>
      <c r="B120">
        <f t="shared" si="16"/>
        <v>107</v>
      </c>
      <c r="C120" s="3">
        <f t="shared" si="7"/>
        <v>115.42565460519332</v>
      </c>
      <c r="D120" s="3">
        <f t="shared" si="15"/>
        <v>31.953481416457699</v>
      </c>
      <c r="E120" s="3">
        <f t="shared" si="7"/>
        <v>226.03684027822064</v>
      </c>
      <c r="F120" s="3">
        <f t="shared" si="15"/>
        <v>81.640178702812037</v>
      </c>
      <c r="G120" s="3">
        <f t="shared" si="7"/>
        <v>84.242444205774888</v>
      </c>
      <c r="H120" s="3">
        <f t="shared" si="12"/>
        <v>32.57071207097998</v>
      </c>
      <c r="I120" s="3">
        <f t="shared" si="7"/>
        <v>319.11556178564871</v>
      </c>
      <c r="J120" s="3">
        <f t="shared" si="13"/>
        <v>55.958503387164903</v>
      </c>
      <c r="K120" s="3">
        <f t="shared" si="8"/>
        <v>38.016512845137939</v>
      </c>
    </row>
    <row r="121" spans="1:11">
      <c r="A121">
        <f t="shared" si="16"/>
        <v>28</v>
      </c>
      <c r="B121">
        <f t="shared" si="16"/>
        <v>108</v>
      </c>
      <c r="C121" s="3">
        <f t="shared" si="7"/>
        <v>116.34237182238667</v>
      </c>
      <c r="D121" s="3">
        <f t="shared" si="15"/>
        <v>33.925548553733627</v>
      </c>
      <c r="E121" s="3">
        <f t="shared" si="7"/>
        <v>226.88069581990882</v>
      </c>
      <c r="F121" s="3">
        <f t="shared" si="15"/>
        <v>85.892241007417155</v>
      </c>
      <c r="G121" s="3">
        <f t="shared" si="7"/>
        <v>84.381621275168627</v>
      </c>
      <c r="H121" s="3">
        <f t="shared" si="12"/>
        <v>34.267091221928489</v>
      </c>
      <c r="I121" s="3">
        <f t="shared" si="7"/>
        <v>321.64999601315083</v>
      </c>
      <c r="J121" s="3">
        <f t="shared" si="13"/>
        <v>60.029238063723419</v>
      </c>
      <c r="K121" s="3">
        <f t="shared" si="8"/>
        <v>38.079319983466355</v>
      </c>
    </row>
    <row r="122" spans="1:11">
      <c r="A122">
        <f t="shared" si="16"/>
        <v>29</v>
      </c>
      <c r="B122">
        <f t="shared" si="16"/>
        <v>109</v>
      </c>
      <c r="C122" s="3">
        <f t="shared" si="7"/>
        <v>117.24563484721969</v>
      </c>
      <c r="D122" s="3">
        <f t="shared" si="15"/>
        <v>35.895169859521509</v>
      </c>
      <c r="E122" s="3">
        <f t="shared" si="7"/>
        <v>227.70161717731571</v>
      </c>
      <c r="F122" s="3">
        <f t="shared" si="15"/>
        <v>90.071580847281012</v>
      </c>
      <c r="G122" s="3">
        <f t="shared" si="7"/>
        <v>84.515485444855486</v>
      </c>
      <c r="H122" s="3">
        <f t="shared" si="12"/>
        <v>35.934457422417864</v>
      </c>
      <c r="I122" s="3">
        <f t="shared" si="7"/>
        <v>324.14723363849259</v>
      </c>
      <c r="J122" s="3">
        <f t="shared" si="13"/>
        <v>64.163941143648017</v>
      </c>
      <c r="K122" s="3">
        <f t="shared" si="8"/>
        <v>38.139729542737612</v>
      </c>
    </row>
    <row r="123" spans="1:11">
      <c r="A123">
        <f t="shared" si="16"/>
        <v>30</v>
      </c>
      <c r="B123">
        <f t="shared" si="16"/>
        <v>110</v>
      </c>
      <c r="C123" s="3">
        <f t="shared" si="7"/>
        <v>118.1355375315197</v>
      </c>
      <c r="D123" s="3">
        <f t="shared" si="15"/>
        <v>37.85799783686052</v>
      </c>
      <c r="E123" s="3">
        <f t="shared" si="7"/>
        <v>228.50016764181592</v>
      </c>
      <c r="F123" s="3">
        <f t="shared" si="15"/>
        <v>94.170878092914066</v>
      </c>
      <c r="G123" s="3">
        <f t="shared" si="7"/>
        <v>84.64423401188337</v>
      </c>
      <c r="H123" s="3">
        <f t="shared" si="12"/>
        <v>37.569890274260416</v>
      </c>
      <c r="I123" s="3">
        <f t="shared" si="7"/>
        <v>326.60753413240184</v>
      </c>
      <c r="J123" s="3">
        <f t="shared" si="13"/>
        <v>68.353889047766714</v>
      </c>
      <c r="K123" s="3">
        <f t="shared" si="8"/>
        <v>38.197830558185984</v>
      </c>
    </row>
    <row r="124" spans="1:11">
      <c r="A124">
        <f t="shared" si="16"/>
        <v>31</v>
      </c>
      <c r="B124">
        <f t="shared" si="16"/>
        <v>111</v>
      </c>
      <c r="C124" s="3">
        <f t="shared" si="7"/>
        <v>119.01217795623283</v>
      </c>
      <c r="D124" s="3">
        <f t="shared" si="15"/>
        <v>39.810048534318845</v>
      </c>
      <c r="E124" s="3">
        <f t="shared" si="7"/>
        <v>229.27690033002406</v>
      </c>
      <c r="F124" s="3">
        <f t="shared" si="15"/>
        <v>98.183932525184531</v>
      </c>
      <c r="G124" s="3">
        <f t="shared" si="7"/>
        <v>84.768057376827699</v>
      </c>
      <c r="H124" s="3">
        <f t="shared" si="12"/>
        <v>39.170916172482137</v>
      </c>
      <c r="I124" s="3">
        <f t="shared" si="7"/>
        <v>329.03116865778708</v>
      </c>
      <c r="J124" s="3">
        <f t="shared" si="13"/>
        <v>72.590678409945539</v>
      </c>
      <c r="K124" s="3">
        <f t="shared" si="8"/>
        <v>38.253708952839823</v>
      </c>
    </row>
    <row r="125" spans="1:11">
      <c r="A125">
        <f t="shared" si="16"/>
        <v>32</v>
      </c>
      <c r="B125">
        <f t="shared" si="16"/>
        <v>112</v>
      </c>
      <c r="C125" s="3">
        <f t="shared" si="7"/>
        <v>119.8756581485074</v>
      </c>
      <c r="D125" s="3">
        <f t="shared" si="15"/>
        <v>41.747689244282668</v>
      </c>
      <c r="E125" s="3">
        <f t="shared" si="7"/>
        <v>230.03235812440488</v>
      </c>
      <c r="F125" s="3">
        <f t="shared" si="15"/>
        <v>102.1055743946893</v>
      </c>
      <c r="G125" s="3">
        <f t="shared" si="7"/>
        <v>84.887139250551016</v>
      </c>
      <c r="H125" s="3">
        <f t="shared" ref="H125:H156" si="17">H$8*(1-EXP(-H$9*$B45))^3</f>
        <v>40.735472622586272</v>
      </c>
      <c r="I125" s="3">
        <f t="shared" si="7"/>
        <v>331.41841928756241</v>
      </c>
      <c r="J125" s="3">
        <f t="shared" ref="J125:J156" si="18">J$8*(1-EXP(-J$9*$B45))^3</f>
        <v>76.866241858777371</v>
      </c>
      <c r="K125" s="3">
        <f t="shared" si="8"/>
        <v>38.307447630826985</v>
      </c>
    </row>
    <row r="126" spans="1:11">
      <c r="A126">
        <f t="shared" si="16"/>
        <v>33</v>
      </c>
      <c r="B126">
        <f t="shared" si="16"/>
        <v>113</v>
      </c>
      <c r="C126" s="3">
        <f t="shared" si="7"/>
        <v>120.72608380988746</v>
      </c>
      <c r="D126" s="3">
        <f t="shared" si="15"/>
        <v>43.667624633970696</v>
      </c>
      <c r="E126" s="3">
        <f t="shared" si="7"/>
        <v>230.76707363515857</v>
      </c>
      <c r="F126" s="3">
        <f t="shared" si="15"/>
        <v>105.93157739478167</v>
      </c>
      <c r="G126" s="3">
        <f t="shared" si="7"/>
        <v>85.001656857647561</v>
      </c>
      <c r="H126" s="3">
        <f t="shared" si="17"/>
        <v>42.261873520756062</v>
      </c>
      <c r="I126" s="3">
        <f t="shared" si="7"/>
        <v>333.76957825318823</v>
      </c>
      <c r="J126" s="3">
        <f t="shared" si="18"/>
        <v>81.172859377104231</v>
      </c>
      <c r="K126" s="3">
        <f t="shared" si="8"/>
        <v>38.359126569184305</v>
      </c>
    </row>
    <row r="127" spans="1:11">
      <c r="A127">
        <f t="shared" si="16"/>
        <v>34</v>
      </c>
      <c r="B127">
        <f t="shared" si="16"/>
        <v>114</v>
      </c>
      <c r="C127" s="3">
        <f t="shared" si="7"/>
        <v>121.56356405531533</v>
      </c>
      <c r="D127" s="3">
        <f t="shared" si="15"/>
        <v>45.566881743001851</v>
      </c>
      <c r="E127" s="3">
        <f t="shared" si="7"/>
        <v>231.4815691817397</v>
      </c>
      <c r="F127" s="3">
        <f t="shared" si="15"/>
        <v>109.65857484893542</v>
      </c>
      <c r="G127" s="3">
        <f t="shared" si="7"/>
        <v>85.11178113634594</v>
      </c>
      <c r="H127" s="3">
        <f t="shared" si="17"/>
        <v>43.74877571643114</v>
      </c>
      <c r="I127" s="3">
        <f t="shared" si="7"/>
        <v>336.08494722309553</v>
      </c>
      <c r="J127" s="3">
        <f t="shared" si="18"/>
        <v>85.503165814361438</v>
      </c>
      <c r="K127" s="3">
        <f t="shared" si="8"/>
        <v>38.408822908068679</v>
      </c>
    </row>
    <row r="128" spans="1:11">
      <c r="A128">
        <f t="shared" si="16"/>
        <v>35</v>
      </c>
      <c r="B128">
        <f t="shared" si="16"/>
        <v>115</v>
      </c>
      <c r="C128" s="3">
        <f t="shared" si="7"/>
        <v>122.3882111626412</v>
      </c>
      <c r="D128" s="3">
        <f t="shared" si="15"/>
        <v>47.44279421141578</v>
      </c>
      <c r="E128" s="3">
        <f t="shared" si="7"/>
        <v>232.17635679246646</v>
      </c>
      <c r="F128" s="3">
        <f t="shared" si="15"/>
        <v>113.28397968457668</v>
      </c>
      <c r="G128" s="3">
        <f t="shared" si="7"/>
        <v>85.217676934677868</v>
      </c>
      <c r="H128" s="3">
        <f t="shared" si="17"/>
        <v>45.195147085512218</v>
      </c>
      <c r="I128" s="3">
        <f t="shared" si="7"/>
        <v>338.3648366101587</v>
      </c>
      <c r="J128" s="3">
        <f t="shared" si="18"/>
        <v>89.85015506545443</v>
      </c>
      <c r="K128" s="3">
        <f t="shared" si="8"/>
        <v>38.456611039283139</v>
      </c>
    </row>
    <row r="129" spans="1:11">
      <c r="A129">
        <f t="shared" si="16"/>
        <v>36</v>
      </c>
      <c r="B129">
        <f t="shared" si="16"/>
        <v>116</v>
      </c>
      <c r="C129" s="3">
        <f t="shared" si="7"/>
        <v>123.20014033234281</v>
      </c>
      <c r="D129" s="3">
        <f t="shared" si="15"/>
        <v>49.292986041673906</v>
      </c>
      <c r="E129" s="3">
        <f t="shared" si="7"/>
        <v>232.85193822076855</v>
      </c>
      <c r="F129" s="3">
        <f t="shared" si="15"/>
        <v>116.8059085803754</v>
      </c>
      <c r="G129" s="3">
        <f t="shared" si="7"/>
        <v>85.31950320275314</v>
      </c>
      <c r="H129" s="3">
        <f t="shared" si="17"/>
        <v>46.600236268585917</v>
      </c>
      <c r="I129" s="3">
        <f t="shared" si="7"/>
        <v>340.60956490739665</v>
      </c>
      <c r="J129" s="3">
        <f t="shared" si="18"/>
        <v>94.207181374571704</v>
      </c>
      <c r="K129" s="3">
        <f t="shared" si="8"/>
        <v>38.502562693045697</v>
      </c>
    </row>
    <row r="130" spans="1:11">
      <c r="A130">
        <f t="shared" si="16"/>
        <v>37</v>
      </c>
      <c r="B130">
        <f t="shared" si="16"/>
        <v>117</v>
      </c>
      <c r="C130" s="3">
        <f t="shared" si="7"/>
        <v>123.99946945715783</v>
      </c>
      <c r="D130" s="3">
        <f t="shared" si="15"/>
        <v>51.115355146144822</v>
      </c>
      <c r="E130" s="3">
        <f t="shared" si="7"/>
        <v>233.50880497670752</v>
      </c>
      <c r="F130" s="3">
        <f t="shared" si="15"/>
        <v>120.2231105250745</v>
      </c>
      <c r="G130" s="3">
        <f t="shared" si="7"/>
        <v>85.417413181009238</v>
      </c>
      <c r="H130" s="3">
        <f t="shared" si="17"/>
        <v>47.9635441691522</v>
      </c>
      <c r="I130" s="3">
        <f t="shared" si="7"/>
        <v>342.81945805107819</v>
      </c>
      <c r="J130" s="3">
        <f t="shared" si="18"/>
        <v>98.567958172454539</v>
      </c>
      <c r="K130" s="3">
        <f t="shared" si="8"/>
        <v>38.54674702294178</v>
      </c>
    </row>
    <row r="131" spans="1:11">
      <c r="A131">
        <f t="shared" si="16"/>
        <v>38</v>
      </c>
      <c r="B131">
        <f t="shared" si="16"/>
        <v>118</v>
      </c>
      <c r="C131" s="3">
        <f t="shared" si="7"/>
        <v>124.78631890133678</v>
      </c>
      <c r="D131" s="3">
        <f t="shared" si="15"/>
        <v>52.908056886839212</v>
      </c>
      <c r="E131" s="3">
        <f t="shared" si="7"/>
        <v>234.14743837249003</v>
      </c>
      <c r="F131" s="3">
        <f t="shared" si="15"/>
        <v>123.53489990720071</v>
      </c>
      <c r="G131" s="3">
        <f t="shared" si="7"/>
        <v>85.511554584330639</v>
      </c>
      <c r="H131" s="3">
        <f t="shared" si="17"/>
        <v>49.284797259467233</v>
      </c>
      <c r="I131" s="3">
        <f t="shared" si="7"/>
        <v>344.99484881042673</v>
      </c>
      <c r="J131" s="3">
        <f t="shared" si="18"/>
        <v>102.92655481066933</v>
      </c>
      <c r="K131" s="3">
        <f t="shared" si="8"/>
        <v>38.589230689012595</v>
      </c>
    </row>
    <row r="132" spans="1:11">
      <c r="A132">
        <f t="shared" ref="A132:B147" si="19">A131+1</f>
        <v>39</v>
      </c>
      <c r="B132">
        <f t="shared" si="19"/>
        <v>119</v>
      </c>
      <c r="C132" s="3">
        <f t="shared" si="7"/>
        <v>125.56081128922662</v>
      </c>
      <c r="D132" s="3">
        <f t="shared" si="15"/>
        <v>54.669487775772701</v>
      </c>
      <c r="E132" s="3">
        <f t="shared" si="7"/>
        <v>234.76830958076894</v>
      </c>
      <c r="F132" s="3">
        <f t="shared" si="15"/>
        <v>126.74109416131368</v>
      </c>
      <c r="G132" s="3">
        <f t="shared" si="7"/>
        <v>85.60206978195589</v>
      </c>
      <c r="H132" s="3">
        <f t="shared" si="17"/>
        <v>50.563922704237314</v>
      </c>
      <c r="I132" s="3">
        <f t="shared" si="7"/>
        <v>347.13607620311984</v>
      </c>
      <c r="J132" s="3">
        <f t="shared" si="18"/>
        <v>107.27739151591457</v>
      </c>
      <c r="K132" s="3">
        <f t="shared" si="8"/>
        <v>38.630077938942755</v>
      </c>
    </row>
    <row r="133" spans="1:11">
      <c r="A133">
        <f t="shared" si="19"/>
        <v>40</v>
      </c>
      <c r="B133">
        <f t="shared" si="19"/>
        <v>120</v>
      </c>
      <c r="C133" s="3">
        <f t="shared" si="7"/>
        <v>126.32307130289904</v>
      </c>
      <c r="D133" s="3">
        <f t="shared" si="15"/>
        <v>56.398269471480361</v>
      </c>
      <c r="E133" s="3">
        <f t="shared" si="7"/>
        <v>235.37187970460602</v>
      </c>
      <c r="F133" s="3">
        <f t="shared" si="15"/>
        <v>129.84195592350235</v>
      </c>
      <c r="G133" s="3">
        <f t="shared" si="7"/>
        <v>85.689095973112273</v>
      </c>
      <c r="H133" s="3">
        <f t="shared" si="17"/>
        <v>51.8010252832972</v>
      </c>
      <c r="I133" s="3">
        <f t="shared" si="7"/>
        <v>349.24348493579566</v>
      </c>
      <c r="J133" s="3">
        <f t="shared" si="18"/>
        <v>111.61523285091344</v>
      </c>
      <c r="K133" s="3">
        <f t="shared" si="8"/>
        <v>38.669350687319792</v>
      </c>
    </row>
    <row r="134" spans="1:11">
      <c r="A134">
        <f t="shared" si="19"/>
        <v>41</v>
      </c>
      <c r="B134">
        <f t="shared" si="19"/>
        <v>121</v>
      </c>
      <c r="C134" s="3">
        <f t="shared" si="7"/>
        <v>127.07322548854273</v>
      </c>
      <c r="D134" s="3">
        <f t="shared" si="15"/>
        <v>58.093233179167008</v>
      </c>
      <c r="E134" s="3">
        <f t="shared" si="7"/>
        <v>235.95859985803651</v>
      </c>
      <c r="F134" s="3">
        <f t="shared" si="15"/>
        <v>132.83813959298774</v>
      </c>
      <c r="G134" s="3">
        <f t="shared" si="7"/>
        <v>85.772765358336542</v>
      </c>
      <c r="H134" s="3">
        <f t="shared" si="17"/>
        <v>52.996366072124019</v>
      </c>
      <c r="I134" s="3">
        <f t="shared" si="7"/>
        <v>351.31742486878846</v>
      </c>
      <c r="J134" s="3">
        <f t="shared" si="18"/>
        <v>115.93517993562014</v>
      </c>
      <c r="K134" s="3">
        <f t="shared" si="8"/>
        <v>38.707108592946952</v>
      </c>
    </row>
    <row r="135" spans="1:11">
      <c r="A135">
        <f t="shared" si="19"/>
        <v>42</v>
      </c>
      <c r="B135">
        <f t="shared" si="19"/>
        <v>122</v>
      </c>
      <c r="C135" s="3">
        <f t="shared" si="7"/>
        <v>127.81140207134142</v>
      </c>
      <c r="D135" s="3">
        <f t="shared" si="15"/>
        <v>59.753404538120442</v>
      </c>
      <c r="E135" s="3">
        <f t="shared" si="7"/>
        <v>236.52891125624762</v>
      </c>
      <c r="F135" s="3">
        <f t="shared" si="15"/>
        <v>135.73064215487835</v>
      </c>
      <c r="G135" s="3">
        <f t="shared" si="7"/>
        <v>85.853205306457369</v>
      </c>
      <c r="H135" s="3">
        <f t="shared" si="17"/>
        <v>54.150342822356997</v>
      </c>
      <c r="I135" s="3">
        <f t="shared" si="7"/>
        <v>353.35825050432459</v>
      </c>
      <c r="J135" s="3">
        <f t="shared" si="18"/>
        <v>120.23266165295705</v>
      </c>
      <c r="K135" s="3">
        <f t="shared" si="8"/>
        <v>38.743409134198195</v>
      </c>
    </row>
    <row r="136" spans="1:11">
      <c r="A136">
        <f t="shared" si="19"/>
        <v>43</v>
      </c>
      <c r="B136">
        <f t="shared" si="19"/>
        <v>123</v>
      </c>
      <c r="C136" s="3">
        <f t="shared" si="7"/>
        <v>128.53773077856621</v>
      </c>
      <c r="D136" s="3">
        <f t="shared" si="15"/>
        <v>61.377989059788973</v>
      </c>
      <c r="E136" s="3">
        <f t="shared" si="7"/>
        <v>237.08324531444146</v>
      </c>
      <c r="F136" s="3">
        <f t="shared" si="15"/>
        <v>138.52075808879039</v>
      </c>
      <c r="G136" s="3">
        <f t="shared" si="7"/>
        <v>85.930538517231014</v>
      </c>
      <c r="H136" s="3">
        <f t="shared" si="17"/>
        <v>55.263471972391201</v>
      </c>
      <c r="I136" s="3">
        <f t="shared" si="7"/>
        <v>355.3663204974286</v>
      </c>
      <c r="J136" s="3">
        <f t="shared" si="18"/>
        <v>124.5034250367891</v>
      </c>
      <c r="K136" s="3">
        <f t="shared" si="8"/>
        <v>38.778307682411629</v>
      </c>
    </row>
    <row r="137" spans="1:11">
      <c r="A137">
        <f t="shared" si="19"/>
        <v>44</v>
      </c>
      <c r="B137">
        <f t="shared" si="19"/>
        <v>124</v>
      </c>
      <c r="C137" s="3">
        <f t="shared" si="7"/>
        <v>129.2523426706143</v>
      </c>
      <c r="D137" s="3">
        <f t="shared" si="15"/>
        <v>62.966358162848096</v>
      </c>
      <c r="E137" s="3">
        <f t="shared" si="7"/>
        <v>237.6220237545175</v>
      </c>
      <c r="F137" s="3">
        <f t="shared" si="15"/>
        <v>141.2100381670281</v>
      </c>
      <c r="G137" s="3">
        <f t="shared" si="7"/>
        <v>86.00488317963422</v>
      </c>
      <c r="H137" s="3">
        <f t="shared" si="17"/>
        <v>56.336372209728459</v>
      </c>
      <c r="I137" s="3">
        <f t="shared" si="7"/>
        <v>357.34199718879887</v>
      </c>
      <c r="J137" s="3">
        <f t="shared" si="18"/>
        <v>128.74352501603687</v>
      </c>
      <c r="K137" s="3">
        <f t="shared" si="8"/>
        <v>38.811857573323095</v>
      </c>
    </row>
    <row r="138" spans="1:11">
      <c r="A138">
        <f t="shared" si="19"/>
        <v>45</v>
      </c>
      <c r="B138">
        <f t="shared" si="19"/>
        <v>125</v>
      </c>
      <c r="C138" s="3">
        <f t="shared" si="7"/>
        <v>129.9553699797319</v>
      </c>
      <c r="D138" s="3">
        <f t="shared" si="15"/>
        <v>64.518035837226023</v>
      </c>
      <c r="E138" s="3">
        <f t="shared" si="7"/>
        <v>238.14565871876283</v>
      </c>
      <c r="F138" s="3">
        <f t="shared" si="15"/>
        <v>143.80025193253061</v>
      </c>
      <c r="G138" s="3">
        <f t="shared" si="7"/>
        <v>86.076353125832185</v>
      </c>
      <c r="H138" s="3">
        <f t="shared" si="17"/>
        <v>57.369749501387496</v>
      </c>
      <c r="I138" s="3">
        <f t="shared" si="7"/>
        <v>359.28564615892668</v>
      </c>
      <c r="J138" s="3">
        <f t="shared" si="18"/>
        <v>132.94931366749191</v>
      </c>
      <c r="K138" s="3">
        <f t="shared" si="8"/>
        <v>38.844110176548128</v>
      </c>
    </row>
    <row r="139" spans="1:11">
      <c r="A139">
        <f t="shared" si="19"/>
        <v>46</v>
      </c>
      <c r="B139">
        <f t="shared" si="19"/>
        <v>126</v>
      </c>
      <c r="C139" s="3">
        <f t="shared" si="7"/>
        <v>130.6469459561647</v>
      </c>
      <c r="D139" s="3">
        <f t="shared" si="15"/>
        <v>66.032685957059485</v>
      </c>
      <c r="E139" s="3">
        <f t="shared" si="7"/>
        <v>238.65455288979527</v>
      </c>
      <c r="F139" s="3">
        <f t="shared" si="15"/>
        <v>146.29335363932918</v>
      </c>
      <c r="G139" s="3">
        <f t="shared" si="7"/>
        <v>86.145057980848293</v>
      </c>
      <c r="H139" s="3">
        <f t="shared" si="17"/>
        <v>58.364383505698022</v>
      </c>
      <c r="I139" s="3">
        <f t="shared" si="7"/>
        <v>361.19763580275134</v>
      </c>
      <c r="J139" s="3">
        <f t="shared" si="18"/>
        <v>137.11742911076269</v>
      </c>
      <c r="K139" s="3">
        <f t="shared" si="8"/>
        <v>38.875114963124162</v>
      </c>
    </row>
    <row r="140" spans="1:11">
      <c r="A140">
        <f t="shared" si="19"/>
        <v>47</v>
      </c>
      <c r="B140">
        <f t="shared" si="19"/>
        <v>127</v>
      </c>
      <c r="C140" s="3">
        <f t="shared" si="7"/>
        <v>131.32720472148327</v>
      </c>
      <c r="D140" s="3">
        <f t="shared" si="15"/>
        <v>67.510100252580912</v>
      </c>
      <c r="E140" s="3">
        <f t="shared" si="7"/>
        <v>239.14909961605196</v>
      </c>
      <c r="F140" s="3">
        <f t="shared" si="15"/>
        <v>148.69145143557228</v>
      </c>
      <c r="G140" s="3">
        <f t="shared" si="7"/>
        <v>86.21110330797373</v>
      </c>
      <c r="H140" s="3">
        <f t="shared" si="17"/>
        <v>59.321115277731671</v>
      </c>
      <c r="I140" s="3">
        <f t="shared" si="7"/>
        <v>363.07833692415079</v>
      </c>
      <c r="J140" s="3">
        <f t="shared" si="18"/>
        <v>141.24478416166505</v>
      </c>
      <c r="K140" s="3">
        <f t="shared" si="8"/>
        <v>38.904919571130222</v>
      </c>
    </row>
    <row r="141" spans="1:11">
      <c r="A141">
        <f t="shared" si="19"/>
        <v>48</v>
      </c>
      <c r="B141">
        <f t="shared" si="19"/>
        <v>128</v>
      </c>
      <c r="C141" s="3">
        <f t="shared" si="7"/>
        <v>131.99628112883832</v>
      </c>
      <c r="D141" s="3">
        <f t="shared" si="15"/>
        <v>68.950186942718261</v>
      </c>
      <c r="E141" s="3">
        <f t="shared" si="7"/>
        <v>239.6296830421669</v>
      </c>
      <c r="F141" s="3">
        <f t="shared" si="15"/>
        <v>150.99677957023906</v>
      </c>
      <c r="G141" s="3">
        <f t="shared" si="7"/>
        <v>86.274590749961902</v>
      </c>
      <c r="H141" s="3">
        <f t="shared" si="17"/>
        <v>60.240836181046831</v>
      </c>
      <c r="I141" s="3">
        <f>I$8*(1-EXP(-I$9*$B141))^3</f>
        <v>364.92812234959138</v>
      </c>
      <c r="J141" s="3">
        <f t="shared" si="18"/>
        <v>145.32855484505771</v>
      </c>
      <c r="K141" s="3">
        <f>K$8*(1-EXP(-K$9*$B141))^3</f>
        <v>38.933569869404479</v>
      </c>
    </row>
    <row r="142" spans="1:11">
      <c r="A142">
        <f t="shared" si="19"/>
        <v>49</v>
      </c>
      <c r="B142">
        <f t="shared" si="19"/>
        <v>129</v>
      </c>
      <c r="C142" s="3">
        <f t="shared" ref="C142:K173" si="20">C$8*(1-EXP(-C$9*$B142))^3</f>
        <v>132.65431062990476</v>
      </c>
      <c r="D142" s="3">
        <f t="shared" si="15"/>
        <v>70.352960023466522</v>
      </c>
      <c r="E142" s="3">
        <f t="shared" si="20"/>
        <v>240.09667824362376</v>
      </c>
      <c r="F142" s="3">
        <f t="shared" si="15"/>
        <v>153.21167340861237</v>
      </c>
      <c r="G142" s="3">
        <f t="shared" si="20"/>
        <v>86.335618166060783</v>
      </c>
      <c r="H142" s="3">
        <f t="shared" si="17"/>
        <v>61.124477920000544</v>
      </c>
      <c r="I142" s="3">
        <f t="shared" si="20"/>
        <v>366.74736656027051</v>
      </c>
      <c r="J142" s="3">
        <f t="shared" si="18"/>
        <v>149.36616885444943</v>
      </c>
      <c r="K142" s="3">
        <f t="shared" si="20"/>
        <v>38.961110019383533</v>
      </c>
    </row>
    <row r="143" spans="1:11">
      <c r="A143">
        <f t="shared" si="19"/>
        <v>50</v>
      </c>
      <c r="B143">
        <f t="shared" si="19"/>
        <v>130</v>
      </c>
      <c r="C143" s="3">
        <f t="shared" si="20"/>
        <v>133.30142914827974</v>
      </c>
      <c r="D143" s="3">
        <f t="shared" si="15"/>
        <v>71.718529201659706</v>
      </c>
      <c r="E143" s="3">
        <f t="shared" si="20"/>
        <v>240.5504513651141</v>
      </c>
      <c r="F143" s="3">
        <f t="shared" si="15"/>
        <v>155.33854704772452</v>
      </c>
      <c r="G143" s="3">
        <f t="shared" si="20"/>
        <v>86.394279764942482</v>
      </c>
      <c r="H143" s="3">
        <f t="shared" si="17"/>
        <v>61.973003609331172</v>
      </c>
      <c r="I143" s="3">
        <f t="shared" si="20"/>
        <v>368.53644534210179</v>
      </c>
      <c r="J143" s="3">
        <f t="shared" si="18"/>
        <v>153.35529403350924</v>
      </c>
      <c r="K143" s="3">
        <f t="shared" si="20"/>
        <v>38.987582535090162</v>
      </c>
    </row>
    <row r="144" spans="1:11">
      <c r="A144">
        <f t="shared" si="19"/>
        <v>51</v>
      </c>
      <c r="B144">
        <f t="shared" si="19"/>
        <v>131</v>
      </c>
      <c r="C144" s="3">
        <f t="shared" si="20"/>
        <v>133.9377729591053</v>
      </c>
      <c r="D144" s="3">
        <f t="shared" si="15"/>
        <v>73.047090459435708</v>
      </c>
      <c r="E144" s="3">
        <f t="shared" si="20"/>
        <v>240.99135976207148</v>
      </c>
      <c r="F144" s="3">
        <f t="shared" si="15"/>
        <v>157.37987333074247</v>
      </c>
      <c r="G144" s="3">
        <f t="shared" si="20"/>
        <v>86.450666233594589</v>
      </c>
      <c r="H144" s="3">
        <f t="shared" si="17"/>
        <v>62.787399800808529</v>
      </c>
      <c r="I144" s="3">
        <f t="shared" si="20"/>
        <v>370.29573545290941</v>
      </c>
      <c r="J144" s="3">
        <f t="shared" si="18"/>
        <v>157.29382694374095</v>
      </c>
      <c r="K144" s="3">
        <f t="shared" si="20"/>
        <v>39.013028341298835</v>
      </c>
    </row>
    <row r="145" spans="1:11">
      <c r="A145">
        <f t="shared" si="19"/>
        <v>52</v>
      </c>
      <c r="B145">
        <f t="shared" si="19"/>
        <v>132</v>
      </c>
      <c r="C145" s="3">
        <f t="shared" si="20"/>
        <v>134.56347857469208</v>
      </c>
      <c r="D145" s="3">
        <f t="shared" si="15"/>
        <v>74.338917231292029</v>
      </c>
      <c r="E145" s="3">
        <f t="shared" si="20"/>
        <v>241.41975214488835</v>
      </c>
      <c r="F145" s="3">
        <f t="shared" si="15"/>
        <v>159.33816606815441</v>
      </c>
      <c r="G145" s="3">
        <f t="shared" si="20"/>
        <v>86.504864862242883</v>
      </c>
      <c r="H145" s="3">
        <f t="shared" si="17"/>
        <v>63.568669390297302</v>
      </c>
      <c r="I145" s="3">
        <f t="shared" si="20"/>
        <v>372.02561430621444</v>
      </c>
      <c r="J145" s="3">
        <f t="shared" si="18"/>
        <v>161.1798815729199</v>
      </c>
      <c r="K145" s="3">
        <f t="shared" si="20"/>
        <v>39.037486829910158</v>
      </c>
    </row>
    <row r="146" spans="1:11">
      <c r="A146">
        <f t="shared" si="19"/>
        <v>53</v>
      </c>
      <c r="B146">
        <f t="shared" si="19"/>
        <v>133</v>
      </c>
      <c r="C146" s="3">
        <f t="shared" si="20"/>
        <v>135.17868263592746</v>
      </c>
      <c r="D146" s="3">
        <f t="shared" si="15"/>
        <v>75.59435217302817</v>
      </c>
      <c r="E146" s="3">
        <f t="shared" si="20"/>
        <v>241.83596872535963</v>
      </c>
      <c r="F146" s="3">
        <f t="shared" si="15"/>
        <v>161.21596428328135</v>
      </c>
      <c r="G146" s="3">
        <f t="shared" si="20"/>
        <v>86.556959665378457</v>
      </c>
      <c r="H146" s="3">
        <f t="shared" si="17"/>
        <v>64.317825332433827</v>
      </c>
      <c r="I146" s="3">
        <f t="shared" si="20"/>
        <v>373.72645967101175</v>
      </c>
      <c r="J146" s="3">
        <f t="shared" si="18"/>
        <v>165.01177823030284</v>
      </c>
      <c r="K146" s="3">
        <f t="shared" si="20"/>
        <v>39.060995914567414</v>
      </c>
    </row>
    <row r="147" spans="1:11">
      <c r="A147">
        <f t="shared" si="19"/>
        <v>54</v>
      </c>
      <c r="B147">
        <f t="shared" si="19"/>
        <v>134</v>
      </c>
      <c r="C147" s="3">
        <f t="shared" si="20"/>
        <v>135.78352180925319</v>
      </c>
      <c r="D147" s="3">
        <f t="shared" si="15"/>
        <v>76.813799499943926</v>
      </c>
      <c r="E147" s="3">
        <f t="shared" si="20"/>
        <v>242.2403413649302</v>
      </c>
      <c r="F147" s="3">
        <f t="shared" si="15"/>
        <v>163.01581830975192</v>
      </c>
      <c r="G147" s="3">
        <f t="shared" si="20"/>
        <v>86.607031498966322</v>
      </c>
      <c r="H147" s="3">
        <f t="shared" si="17"/>
        <v>65.035885094151965</v>
      </c>
      <c r="I147" s="3">
        <f t="shared" si="20"/>
        <v>375.3986493869462</v>
      </c>
      <c r="J147" s="3">
        <f t="shared" si="18"/>
        <v>168.78803266701101</v>
      </c>
      <c r="K147" s="3">
        <f t="shared" si="20"/>
        <v>39.083592083549917</v>
      </c>
    </row>
    <row r="148" spans="1:11">
      <c r="A148">
        <f t="shared" ref="A148:B163" si="21">A147+1</f>
        <v>55</v>
      </c>
      <c r="B148">
        <f t="shared" si="21"/>
        <v>135</v>
      </c>
      <c r="C148" s="3">
        <f t="shared" si="20"/>
        <v>136.37813268900979</v>
      </c>
      <c r="D148" s="3">
        <f t="shared" si="15"/>
        <v>77.997717870301713</v>
      </c>
      <c r="E148" s="3">
        <f t="shared" si="20"/>
        <v>242.63319372435444</v>
      </c>
      <c r="F148" s="3">
        <f t="shared" si="15"/>
        <v>164.74027757891082</v>
      </c>
      <c r="G148" s="3">
        <f t="shared" si="20"/>
        <v>86.655158173914657</v>
      </c>
      <c r="H148" s="3">
        <f t="shared" si="17"/>
        <v>65.723865782415345</v>
      </c>
      <c r="I148" s="3">
        <f t="shared" si="20"/>
        <v>377.04256109432544</v>
      </c>
      <c r="J148" s="3">
        <f t="shared" si="18"/>
        <v>172.50734545324963</v>
      </c>
      <c r="K148" s="3">
        <f t="shared" si="20"/>
        <v>39.105310450978791</v>
      </c>
    </row>
    <row r="149" spans="1:11">
      <c r="A149">
        <f t="shared" si="21"/>
        <v>56</v>
      </c>
      <c r="B149">
        <f t="shared" si="21"/>
        <v>136</v>
      </c>
      <c r="C149" s="3">
        <f t="shared" si="20"/>
        <v>136.96265170494351</v>
      </c>
      <c r="D149" s="3">
        <f t="shared" si="15"/>
        <v>79.146613789176996</v>
      </c>
      <c r="E149" s="3">
        <f t="shared" si="20"/>
        <v>243.01484141440559</v>
      </c>
      <c r="F149" s="3">
        <f t="shared" si="15"/>
        <v>166.39187994548038</v>
      </c>
      <c r="G149" s="3">
        <f t="shared" si="20"/>
        <v>86.701414565886338</v>
      </c>
      <c r="H149" s="3">
        <f t="shared" si="17"/>
        <v>66.382779885642734</v>
      </c>
      <c r="I149" s="3">
        <f t="shared" si="20"/>
        <v>378.65857197840575</v>
      </c>
      <c r="J149" s="3">
        <f t="shared" si="18"/>
        <v>176.16859163807854</v>
      </c>
      <c r="K149" s="3">
        <f t="shared" si="20"/>
        <v>39.126184806372201</v>
      </c>
    </row>
    <row r="150" spans="1:11">
      <c r="A150">
        <f t="shared" si="21"/>
        <v>57</v>
      </c>
      <c r="B150">
        <f t="shared" si="21"/>
        <v>137</v>
      </c>
      <c r="C150" s="3">
        <f t="shared" si="20"/>
        <v>137.5372150346831</v>
      </c>
      <c r="D150" s="3">
        <f t="shared" si="15"/>
        <v>80.261035507330135</v>
      </c>
      <c r="E150" s="3">
        <f t="shared" si="20"/>
        <v>243.38559214730228</v>
      </c>
      <c r="F150" s="3">
        <f t="shared" si="15"/>
        <v>167.97314241001914</v>
      </c>
      <c r="G150" s="3">
        <f t="shared" si="20"/>
        <v>86.745872721535903</v>
      </c>
      <c r="H150" s="3">
        <f t="shared" si="17"/>
        <v>67.013631572391503</v>
      </c>
      <c r="I150" s="3">
        <f t="shared" si="20"/>
        <v>380.24705852741795</v>
      </c>
      <c r="J150" s="3">
        <f t="shared" si="18"/>
        <v>179.77081071220707</v>
      </c>
      <c r="K150" s="3">
        <f t="shared" si="20"/>
        <v>39.14624766258747</v>
      </c>
    </row>
    <row r="151" spans="1:11">
      <c r="A151">
        <f t="shared" si="21"/>
        <v>58</v>
      </c>
      <c r="B151">
        <f t="shared" si="21"/>
        <v>138</v>
      </c>
      <c r="C151" s="3">
        <f t="shared" si="20"/>
        <v>138.10195852099525</v>
      </c>
      <c r="D151" s="3">
        <f t="shared" si="15"/>
        <v>81.341567389573953</v>
      </c>
      <c r="E151" s="3">
        <f t="shared" si="20"/>
        <v>243.74574588854202</v>
      </c>
      <c r="F151" s="3">
        <f t="shared" si="15"/>
        <v>169.48655310670114</v>
      </c>
      <c r="G151" s="3">
        <f t="shared" si="20"/>
        <v>86.788601961257029</v>
      </c>
      <c r="H151" s="3">
        <f t="shared" si="17"/>
        <v>67.617413494846716</v>
      </c>
      <c r="I151" s="3">
        <f t="shared" si="20"/>
        <v>381.80839630380495</v>
      </c>
      <c r="J151" s="3">
        <f t="shared" si="18"/>
        <v>183.31319688967838</v>
      </c>
      <c r="K151" s="3">
        <f t="shared" si="20"/>
        <v>39.165530302188394</v>
      </c>
    </row>
    <row r="152" spans="1:11">
      <c r="A152">
        <f t="shared" si="21"/>
        <v>59</v>
      </c>
      <c r="B152">
        <f t="shared" si="21"/>
        <v>139</v>
      </c>
      <c r="C152" s="3">
        <f t="shared" si="20"/>
        <v>138.65701759363526</v>
      </c>
      <c r="D152" s="3">
        <f t="shared" si="15"/>
        <v>82.388824727217184</v>
      </c>
      <c r="E152" s="3">
        <f t="shared" si="20"/>
        <v>244.09559500886112</v>
      </c>
      <c r="F152" s="3">
        <f t="shared" si="15"/>
        <v>170.93456443458984</v>
      </c>
      <c r="G152" s="3">
        <f t="shared" si="20"/>
        <v>86.829668978525291</v>
      </c>
      <c r="H152" s="3">
        <f t="shared" si="17"/>
        <v>68.195104048512249</v>
      </c>
      <c r="I152" s="3">
        <f t="shared" si="20"/>
        <v>383.34295972816318</v>
      </c>
      <c r="J152" s="3">
        <f t="shared" si="18"/>
        <v>186.79508972027153</v>
      </c>
      <c r="K152" s="3">
        <f t="shared" si="20"/>
        <v>39.184062822276211</v>
      </c>
    </row>
    <row r="153" spans="1:11">
      <c r="A153">
        <f t="shared" si="21"/>
        <v>60</v>
      </c>
      <c r="B153">
        <f t="shared" si="21"/>
        <v>140</v>
      </c>
      <c r="C153" s="3">
        <f t="shared" si="20"/>
        <v>139.20252719561401</v>
      </c>
      <c r="D153" s="3">
        <f t="shared" si="15"/>
        <v>83.403448969491279</v>
      </c>
      <c r="E153" s="3">
        <f t="shared" si="20"/>
        <v>244.4354244360585</v>
      </c>
      <c r="F153" s="3">
        <f t="shared" si="15"/>
        <v>172.31958721984307</v>
      </c>
      <c r="G153" s="3">
        <f t="shared" si="20"/>
        <v>86.86913793592251</v>
      </c>
      <c r="H153" s="3">
        <f t="shared" si="17"/>
        <v>68.747665043196534</v>
      </c>
      <c r="I153" s="3">
        <f t="shared" si="20"/>
        <v>384.8511218753942</v>
      </c>
      <c r="J153" s="3">
        <f t="shared" si="18"/>
        <v>190.21596504092201</v>
      </c>
      <c r="K153" s="3">
        <f t="shared" si="20"/>
        <v>39.201874177822951</v>
      </c>
    </row>
    <row r="154" spans="1:11">
      <c r="A154">
        <f t="shared" si="21"/>
        <v>61</v>
      </c>
      <c r="B154">
        <f t="shared" si="21"/>
        <v>141</v>
      </c>
      <c r="C154" s="3">
        <f t="shared" si="20"/>
        <v>139.73862171370757</v>
      </c>
      <c r="D154" s="3">
        <f t="shared" si="15"/>
        <v>84.386103349369861</v>
      </c>
      <c r="E154" s="3">
        <f t="shared" si="20"/>
        <v>244.76551180644583</v>
      </c>
      <c r="F154" s="3">
        <f t="shared" si="15"/>
        <v>173.64398580511261</v>
      </c>
      <c r="G154" s="3">
        <f t="shared" si="20"/>
        <v>86.90707055792933</v>
      </c>
      <c r="H154" s="3">
        <f t="shared" si="17"/>
        <v>69.276039743906765</v>
      </c>
      <c r="I154" s="3">
        <f t="shared" si="20"/>
        <v>386.33325428258559</v>
      </c>
      <c r="J154" s="3">
        <f t="shared" si="18"/>
        <v>193.57542627138741</v>
      </c>
      <c r="K154" s="3">
        <f t="shared" si="20"/>
        <v>39.218992223546429</v>
      </c>
    </row>
    <row r="155" spans="1:11">
      <c r="A155">
        <f t="shared" si="21"/>
        <v>62</v>
      </c>
      <c r="B155">
        <f t="shared" si="21"/>
        <v>142</v>
      </c>
      <c r="C155" s="3">
        <f t="shared" si="20"/>
        <v>140.26543491304204</v>
      </c>
      <c r="D155" s="3">
        <f t="shared" si="15"/>
        <v>85.337468879830681</v>
      </c>
      <c r="E155" s="3">
        <f t="shared" si="20"/>
        <v>245.08612761570569</v>
      </c>
      <c r="F155" s="3">
        <f t="shared" si="15"/>
        <v>174.91007397076933</v>
      </c>
      <c r="G155" s="3">
        <f t="shared" si="20"/>
        <v>86.943526220571258</v>
      </c>
      <c r="H155" s="3">
        <f t="shared" si="17"/>
        <v>69.781151243603418</v>
      </c>
      <c r="I155" s="3">
        <f t="shared" si="20"/>
        <v>387.78972676815857</v>
      </c>
      <c r="J155" s="3">
        <f t="shared" si="18"/>
        <v>196.87319605672565</v>
      </c>
      <c r="K155" s="3">
        <f t="shared" si="20"/>
        <v>39.235443754365264</v>
      </c>
    </row>
    <row r="156" spans="1:11">
      <c r="A156">
        <f t="shared" si="21"/>
        <v>63</v>
      </c>
      <c r="B156">
        <f t="shared" si="21"/>
        <v>143</v>
      </c>
      <c r="C156" s="3">
        <f t="shared" si="20"/>
        <v>140.78309987558936</v>
      </c>
      <c r="D156" s="3">
        <f t="shared" si="15"/>
        <v>86.258240697357081</v>
      </c>
      <c r="E156" s="3">
        <f t="shared" si="20"/>
        <v>245.39753536895708</v>
      </c>
      <c r="F156" s="3">
        <f t="shared" si="15"/>
        <v>176.12011160047885</v>
      </c>
      <c r="G156" s="3">
        <f t="shared" si="20"/>
        <v>86.978562038004839</v>
      </c>
      <c r="H156" s="3">
        <f t="shared" si="17"/>
        <v>70.263901132916942</v>
      </c>
      <c r="I156" s="3">
        <f t="shared" si="20"/>
        <v>389.22090726182847</v>
      </c>
      <c r="J156" s="3">
        <f t="shared" si="18"/>
        <v>200.10910825684991</v>
      </c>
      <c r="K156" s="3">
        <f t="shared" si="20"/>
        <v>39.251254544473035</v>
      </c>
    </row>
    <row r="157" spans="1:11">
      <c r="A157">
        <f t="shared" si="21"/>
        <v>64</v>
      </c>
      <c r="B157">
        <f t="shared" si="21"/>
        <v>144</v>
      </c>
      <c r="C157" s="3">
        <f t="shared" si="20"/>
        <v>141.29174894241757</v>
      </c>
      <c r="D157" s="3">
        <f t="shared" si="15"/>
        <v>87.149124730306028</v>
      </c>
      <c r="E157" s="3">
        <f t="shared" si="20"/>
        <v>245.69999172984836</v>
      </c>
      <c r="F157" s="3">
        <f t="shared" si="15"/>
        <v>177.27630201106223</v>
      </c>
      <c r="G157" s="3">
        <f t="shared" si="20"/>
        <v>87.012232946128947</v>
      </c>
      <c r="H157" s="3">
        <f t="shared" ref="H157:H173" si="22">H$8*(1-EXP(-H$9*$B77))^3</f>
        <v>70.725168434883827</v>
      </c>
      <c r="I157" s="3">
        <f t="shared" si="20"/>
        <v>390.62716164494481</v>
      </c>
      <c r="J157" s="3">
        <f t="shared" ref="J157:J173" si="23">J$8*(1-EXP(-J$9*$B77))^3</f>
        <v>203.28310028145202</v>
      </c>
      <c r="K157" s="3">
        <f t="shared" si="20"/>
        <v>39.266449385070032</v>
      </c>
    </row>
    <row r="158" spans="1:11">
      <c r="A158">
        <f t="shared" si="21"/>
        <v>65</v>
      </c>
      <c r="B158">
        <f t="shared" si="21"/>
        <v>145</v>
      </c>
      <c r="C158" s="3">
        <f t="shared" si="20"/>
        <v>141.79151365954192</v>
      </c>
      <c r="D158" s="3">
        <f t="shared" si="15"/>
        <v>88.010834670654972</v>
      </c>
      <c r="E158" s="3">
        <f t="shared" si="20"/>
        <v>245.99374666851074</v>
      </c>
      <c r="F158" s="3">
        <f t="shared" si="15"/>
        <v>178.38078987351417</v>
      </c>
      <c r="G158" s="3">
        <f t="shared" si="20"/>
        <v>87.044591783305705</v>
      </c>
      <c r="H158" s="3">
        <f t="shared" si="22"/>
        <v>71.165808775527466</v>
      </c>
      <c r="I158" s="3">
        <f t="shared" si="20"/>
        <v>392.00885360078678</v>
      </c>
      <c r="J158" s="3">
        <f t="shared" si="23"/>
        <v>206.39520576690296</v>
      </c>
      <c r="K158" s="3">
        <f t="shared" si="20"/>
        <v>39.281052120790505</v>
      </c>
    </row>
    <row r="159" spans="1:11">
      <c r="A159">
        <f t="shared" si="21"/>
        <v>66</v>
      </c>
      <c r="B159">
        <f t="shared" si="21"/>
        <v>146</v>
      </c>
      <c r="C159" s="3">
        <f t="shared" si="20"/>
        <v>142.28252472722863</v>
      </c>
      <c r="D159" s="3">
        <f t="shared" ref="D159:F173" si="24">D$8*(1-EXP(-D$9*$B79))^3</f>
        <v>88.84408922856835</v>
      </c>
      <c r="E159" s="3">
        <f t="shared" si="20"/>
        <v>246.27904360822413</v>
      </c>
      <c r="F159" s="3">
        <f t="shared" si="24"/>
        <v>179.43565965851633</v>
      </c>
      <c r="G159" s="3">
        <f t="shared" si="20"/>
        <v>87.075689368275178</v>
      </c>
      <c r="H159" s="3">
        <f t="shared" si="22"/>
        <v>71.586653763688886</v>
      </c>
      <c r="I159" s="3">
        <f t="shared" si="20"/>
        <v>393.36634447440377</v>
      </c>
      <c r="J159" s="3">
        <f t="shared" si="23"/>
        <v>209.44554759030714</v>
      </c>
      <c r="K159" s="3">
        <f t="shared" si="20"/>
        <v>39.295085684863707</v>
      </c>
    </row>
    <row r="160" spans="1:11">
      <c r="A160">
        <f t="shared" si="21"/>
        <v>67</v>
      </c>
      <c r="B160">
        <f t="shared" si="21"/>
        <v>147</v>
      </c>
      <c r="C160" s="3">
        <f t="shared" si="20"/>
        <v>142.76491195260849</v>
      </c>
      <c r="D160" s="3">
        <f t="shared" si="24"/>
        <v>89.649609650172877</v>
      </c>
      <c r="E160" s="3">
        <f t="shared" si="20"/>
        <v>246.55611957065869</v>
      </c>
      <c r="F160" s="3">
        <f t="shared" si="24"/>
        <v>180.44293454579298</v>
      </c>
      <c r="G160" s="3">
        <f t="shared" si="20"/>
        <v>87.105574575345955</v>
      </c>
      <c r="H160" s="3">
        <f t="shared" si="22"/>
        <v>71.988510555909343</v>
      </c>
      <c r="I160" s="3">
        <f t="shared" si="20"/>
        <v>394.69999314160731</v>
      </c>
      <c r="J160" s="3">
        <f t="shared" si="23"/>
        <v>212.43433121469263</v>
      </c>
      <c r="K160" s="3">
        <f t="shared" si="20"/>
        <v>39.308572133045466</v>
      </c>
    </row>
    <row r="161" spans="1:11">
      <c r="A161">
        <f t="shared" si="21"/>
        <v>68</v>
      </c>
      <c r="B161">
        <f t="shared" si="21"/>
        <v>148</v>
      </c>
      <c r="C161" s="3">
        <f t="shared" si="20"/>
        <v>143.23880420546197</v>
      </c>
      <c r="D161" s="3">
        <f t="shared" si="24"/>
        <v>90.428117479893075</v>
      </c>
      <c r="E161" s="3">
        <f t="shared" si="20"/>
        <v>246.82520531957218</v>
      </c>
      <c r="F161" s="3">
        <f t="shared" si="24"/>
        <v>181.40457574223169</v>
      </c>
      <c r="G161" s="3">
        <f t="shared" si="20"/>
        <v>87.134294406943653</v>
      </c>
      <c r="H161" s="3">
        <f t="shared" si="22"/>
        <v>72.372161584391463</v>
      </c>
      <c r="I161" s="3">
        <f t="shared" si="20"/>
        <v>396.01015588673067</v>
      </c>
      <c r="J161" s="3">
        <f t="shared" si="23"/>
        <v>215.3618383583219</v>
      </c>
      <c r="K161" s="3">
        <f t="shared" si="20"/>
        <v>39.321532676357542</v>
      </c>
    </row>
    <row r="162" spans="1:11">
      <c r="A162">
        <f t="shared" si="21"/>
        <v>69</v>
      </c>
      <c r="B162">
        <f t="shared" si="21"/>
        <v>149</v>
      </c>
      <c r="C162" s="3">
        <f t="shared" si="20"/>
        <v>143.70432937704084</v>
      </c>
      <c r="D162" s="3">
        <f t="shared" si="24"/>
        <v>91.18033254965907</v>
      </c>
      <c r="E162" s="3">
        <f t="shared" si="20"/>
        <v>247.08652550285245</v>
      </c>
      <c r="F162" s="3">
        <f t="shared" si="24"/>
        <v>182.3224821588415</v>
      </c>
      <c r="G162" s="3">
        <f t="shared" si="20"/>
        <v>87.161894063597344</v>
      </c>
      <c r="H162" s="3">
        <f t="shared" si="22"/>
        <v>72.738364428120335</v>
      </c>
      <c r="I162" s="3">
        <f t="shared" si="20"/>
        <v>397.29718628878368</v>
      </c>
      <c r="J162" s="3">
        <f t="shared" si="23"/>
        <v>218.22842098028673</v>
      </c>
      <c r="K162" s="3">
        <f t="shared" si="20"/>
        <v>39.333987712670748</v>
      </c>
    </row>
    <row r="163" spans="1:11">
      <c r="A163">
        <f t="shared" si="21"/>
        <v>70</v>
      </c>
      <c r="B163">
        <f t="shared" si="21"/>
        <v>150</v>
      </c>
      <c r="C163" s="3">
        <f t="shared" si="20"/>
        <v>144.16161434179853</v>
      </c>
      <c r="D163" s="3">
        <f t="shared" si="24"/>
        <v>91.906971178250416</v>
      </c>
      <c r="E163" s="3">
        <f t="shared" si="20"/>
        <v>247.34029879280953</v>
      </c>
      <c r="F163" s="3">
        <f t="shared" si="24"/>
        <v>183.19849040137498</v>
      </c>
      <c r="G163" s="3">
        <f t="shared" si="20"/>
        <v>87.188417011442809</v>
      </c>
      <c r="H163" s="3">
        <f t="shared" si="22"/>
        <v>73.087851809122114</v>
      </c>
      <c r="I163" s="3">
        <f t="shared" si="20"/>
        <v>398.56143511564903</v>
      </c>
      <c r="J163" s="3">
        <f t="shared" si="23"/>
        <v>221.03449557389899</v>
      </c>
      <c r="K163" s="3">
        <f t="shared" si="20"/>
        <v>39.345956857167501</v>
      </c>
    </row>
    <row r="164" spans="1:11">
      <c r="A164">
        <f t="shared" ref="A164:B173" si="25">A163+1</f>
        <v>71</v>
      </c>
      <c r="B164">
        <f t="shared" si="25"/>
        <v>151</v>
      </c>
      <c r="C164" s="3">
        <f t="shared" si="20"/>
        <v>144.61078492190234</v>
      </c>
      <c r="D164" s="3">
        <f t="shared" si="24"/>
        <v>92.608744564975808</v>
      </c>
      <c r="E164" s="3">
        <f t="shared" si="20"/>
        <v>247.58673802462928</v>
      </c>
      <c r="F164" s="3">
        <f t="shared" si="24"/>
        <v>184.03437503381699</v>
      </c>
      <c r="G164" s="3">
        <f t="shared" si="20"/>
        <v>87.213905047320068</v>
      </c>
      <c r="H164" s="3">
        <f t="shared" si="22"/>
        <v>73.421331697584051</v>
      </c>
      <c r="I164" s="3">
        <f t="shared" si="20"/>
        <v>399.80325022596998</v>
      </c>
      <c r="J164" s="3">
        <f t="shared" si="23"/>
        <v>223.7805377588605</v>
      </c>
      <c r="K164" s="3">
        <f t="shared" si="20"/>
        <v>39.357458971718664</v>
      </c>
    </row>
    <row r="165" spans="1:11">
      <c r="A165">
        <f t="shared" si="25"/>
        <v>72</v>
      </c>
      <c r="B165">
        <f t="shared" si="25"/>
        <v>152</v>
      </c>
      <c r="C165" s="3">
        <f t="shared" si="20"/>
        <v>145.05196585440837</v>
      </c>
      <c r="D165" s="3">
        <f t="shared" si="24"/>
        <v>93.286357362803088</v>
      </c>
      <c r="E165" s="3">
        <f t="shared" si="20"/>
        <v>247.82605033291441</v>
      </c>
      <c r="F165" s="3">
        <f t="shared" si="24"/>
        <v>184.83184907796112</v>
      </c>
      <c r="G165" s="3">
        <f t="shared" si="20"/>
        <v>87.238398361541215</v>
      </c>
      <c r="H165" s="3">
        <f t="shared" si="22"/>
        <v>73.739487511162679</v>
      </c>
      <c r="I165" s="3">
        <f t="shared" si="20"/>
        <v>401.02297647839913</v>
      </c>
      <c r="J165" s="3">
        <f t="shared" si="23"/>
        <v>226.46707716280562</v>
      </c>
      <c r="K165" s="3">
        <f t="shared" si="20"/>
        <v>39.36851219320917</v>
      </c>
    </row>
    <row r="166" spans="1:11">
      <c r="A166">
        <f t="shared" si="25"/>
        <v>73</v>
      </c>
      <c r="B166">
        <f t="shared" si="25"/>
        <v>153</v>
      </c>
      <c r="C166" s="3">
        <f t="shared" si="20"/>
        <v>145.485280760981</v>
      </c>
      <c r="D166" s="3">
        <f t="shared" si="24"/>
        <v>93.940506416941886</v>
      </c>
      <c r="E166" s="3">
        <f t="shared" si="20"/>
        <v>248.05843728624416</v>
      </c>
      <c r="F166" s="3">
        <f t="shared" si="24"/>
        <v>185.59256471598081</v>
      </c>
      <c r="G166" s="3">
        <f t="shared" si="20"/>
        <v>87.261935598402559</v>
      </c>
      <c r="H166" s="3">
        <f t="shared" si="22"/>
        <v>74.042978395277771</v>
      </c>
      <c r="I166" s="3">
        <f t="shared" si="20"/>
        <v>402.22095564788265</v>
      </c>
      <c r="J166" s="3">
        <f t="shared" si="23"/>
        <v>229.09469258251355</v>
      </c>
      <c r="K166" s="3">
        <f t="shared" si="20"/>
        <v>39.3791339608456</v>
      </c>
    </row>
    <row r="167" spans="1:11">
      <c r="A167">
        <f t="shared" si="25"/>
        <v>74</v>
      </c>
      <c r="B167">
        <f t="shared" si="25"/>
        <v>154</v>
      </c>
      <c r="C167" s="3">
        <f t="shared" si="20"/>
        <v>145.9108521200458</v>
      </c>
      <c r="D167" s="3">
        <f t="shared" si="24"/>
        <v>94.57187965573975</v>
      </c>
      <c r="E167" s="3">
        <f t="shared" si="20"/>
        <v>248.28409501969756</v>
      </c>
      <c r="F167" s="3">
        <f t="shared" si="24"/>
        <v>186.31811416627642</v>
      </c>
      <c r="G167" s="3">
        <f t="shared" si="20"/>
        <v>87.28455391451439</v>
      </c>
      <c r="H167" s="3">
        <f t="shared" si="22"/>
        <v>74.332439572535378</v>
      </c>
      <c r="I167" s="3">
        <f t="shared" si="20"/>
        <v>403.39752634867153</v>
      </c>
      <c r="J167" s="3">
        <f t="shared" si="23"/>
        <v>231.66400741489397</v>
      </c>
      <c r="K167" s="3">
        <f t="shared" si="20"/>
        <v>39.389341042478947</v>
      </c>
    </row>
    <row r="168" spans="1:11">
      <c r="A168">
        <f t="shared" si="25"/>
        <v>75</v>
      </c>
      <c r="B168">
        <f t="shared" si="25"/>
        <v>155</v>
      </c>
      <c r="C168" s="3">
        <f t="shared" si="20"/>
        <v>146.32880124126649</v>
      </c>
      <c r="D168" s="3">
        <f t="shared" si="24"/>
        <v>95.181155121580233</v>
      </c>
      <c r="E168" s="3">
        <f t="shared" si="20"/>
        <v>248.5032143652877</v>
      </c>
      <c r="F168" s="3">
        <f t="shared" si="24"/>
        <v>187.01003070596047</v>
      </c>
      <c r="G168" s="3">
        <f t="shared" si="20"/>
        <v>87.30628903501858</v>
      </c>
      <c r="H168" s="3">
        <f t="shared" si="22"/>
        <v>74.608482750652783</v>
      </c>
      <c r="I168" s="3">
        <f t="shared" si="20"/>
        <v>404.55302396375856</v>
      </c>
      <c r="J168" s="3">
        <f t="shared" si="23"/>
        <v>234.1756853477327</v>
      </c>
      <c r="K168" s="3">
        <f t="shared" si="20"/>
        <v>39.399149559974234</v>
      </c>
    </row>
    <row r="169" spans="1:11">
      <c r="A169">
        <f t="shared" si="25"/>
        <v>76</v>
      </c>
      <c r="B169">
        <f t="shared" si="25"/>
        <v>156</v>
      </c>
      <c r="C169" s="3">
        <f t="shared" si="20"/>
        <v>146.73924824224071</v>
      </c>
      <c r="D169" s="3">
        <f t="shared" si="24"/>
        <v>95.769000130262825</v>
      </c>
      <c r="E169" s="3">
        <f t="shared" si="20"/>
        <v>248.71598098026791</v>
      </c>
      <c r="F169" s="3">
        <f t="shared" si="24"/>
        <v>187.66978981615645</v>
      </c>
      <c r="G169" s="3">
        <f t="shared" si="20"/>
        <v>87.327175307764293</v>
      </c>
      <c r="H169" s="3">
        <f t="shared" si="22"/>
        <v>74.871696579380711</v>
      </c>
      <c r="I169" s="3">
        <f t="shared" si="20"/>
        <v>405.68778058044944</v>
      </c>
      <c r="J169" s="3">
        <f t="shared" si="23"/>
        <v>236.63042630013996</v>
      </c>
      <c r="K169" s="3">
        <f t="shared" si="20"/>
        <v>39.408575013658655</v>
      </c>
    </row>
    <row r="170" spans="1:11">
      <c r="A170">
        <f t="shared" si="25"/>
        <v>77</v>
      </c>
      <c r="B170">
        <f t="shared" si="25"/>
        <v>157</v>
      </c>
      <c r="C170" s="3">
        <f t="shared" si="20"/>
        <v>147.14231202731511</v>
      </c>
      <c r="D170" s="3">
        <f t="shared" si="24"/>
        <v>96.336070548103805</v>
      </c>
      <c r="E170" s="3">
        <f t="shared" si="20"/>
        <v>248.92257547327222</v>
      </c>
      <c r="F170" s="3">
        <f t="shared" si="24"/>
        <v>188.29881042884679</v>
      </c>
      <c r="G170" s="3">
        <f t="shared" si="20"/>
        <v>87.347245755508865</v>
      </c>
      <c r="H170" s="3">
        <f t="shared" si="22"/>
        <v>75.122647147938721</v>
      </c>
      <c r="I170" s="3">
        <f t="shared" si="20"/>
        <v>406.80212493179334</v>
      </c>
      <c r="J170" s="3">
        <f t="shared" si="23"/>
        <v>239.02896260265794</v>
      </c>
      <c r="K170" s="3">
        <f t="shared" si="20"/>
        <v>39.417632305878548</v>
      </c>
    </row>
    <row r="171" spans="1:11">
      <c r="A171">
        <f t="shared" si="25"/>
        <v>78</v>
      </c>
      <c r="B171">
        <f t="shared" si="25"/>
        <v>158</v>
      </c>
      <c r="C171" s="3">
        <f t="shared" si="20"/>
        <v>147.53811026842067</v>
      </c>
      <c r="D171" s="3">
        <f t="shared" si="24"/>
        <v>96.883010176719537</v>
      </c>
      <c r="E171" s="3">
        <f t="shared" si="20"/>
        <v>249.12317352826426</v>
      </c>
      <c r="F171" s="3">
        <f t="shared" si="24"/>
        <v>188.8984562563364</v>
      </c>
      <c r="G171" s="3">
        <f t="shared" si="20"/>
        <v>87.366532126210259</v>
      </c>
      <c r="H171" s="3">
        <f t="shared" si="22"/>
        <v>75.36187851541068</v>
      </c>
      <c r="I171" s="3">
        <f t="shared" si="20"/>
        <v>407.8963823435983</v>
      </c>
      <c r="J171" s="3">
        <f t="shared" si="23"/>
        <v>241.37205540705338</v>
      </c>
      <c r="K171" s="3">
        <f t="shared" si="20"/>
        <v>39.426335763695064</v>
      </c>
    </row>
    <row r="172" spans="1:11">
      <c r="A172">
        <f t="shared" si="25"/>
        <v>79</v>
      </c>
      <c r="B172">
        <f t="shared" si="25"/>
        <v>159</v>
      </c>
      <c r="C172" s="3">
        <f t="shared" si="20"/>
        <v>147.92675938783603</v>
      </c>
      <c r="D172" s="3">
        <f t="shared" si="24"/>
        <v>97.410450236139908</v>
      </c>
      <c r="E172" s="3">
        <f t="shared" si="20"/>
        <v>249.31794602626988</v>
      </c>
      <c r="F172" s="3">
        <f t="shared" si="24"/>
        <v>189.47003718651004</v>
      </c>
      <c r="G172" s="3">
        <f t="shared" si="20"/>
        <v>87.385064941474752</v>
      </c>
      <c r="H172" s="3">
        <f t="shared" si="22"/>
        <v>75.589913267388837</v>
      </c>
      <c r="I172" s="3">
        <f t="shared" si="20"/>
        <v>408.97087468677756</v>
      </c>
      <c r="J172" s="3">
        <f t="shared" si="23"/>
        <v>243.66049131593397</v>
      </c>
      <c r="K172" s="3">
        <f t="shared" si="20"/>
        <v>39.434699160747485</v>
      </c>
    </row>
    <row r="173" spans="1:11">
      <c r="A173">
        <f t="shared" si="25"/>
        <v>80</v>
      </c>
      <c r="B173">
        <f t="shared" si="25"/>
        <v>160</v>
      </c>
      <c r="C173" s="3">
        <f t="shared" si="20"/>
        <v>148.30837454278708</v>
      </c>
      <c r="D173" s="3">
        <f t="shared" si="24"/>
        <v>97.919008937551624</v>
      </c>
      <c r="E173" s="3">
        <f t="shared" si="20"/>
        <v>249.50705916487851</v>
      </c>
      <c r="F173" s="3">
        <f t="shared" si="24"/>
        <v>190.01481072898468</v>
      </c>
      <c r="G173" s="3">
        <f t="shared" si="20"/>
        <v>87.402873543223336</v>
      </c>
      <c r="H173" s="3">
        <f t="shared" si="22"/>
        <v>75.807253092922792</v>
      </c>
      <c r="I173" s="3">
        <f t="shared" si="20"/>
        <v>410.02592033477202</v>
      </c>
      <c r="J173" s="3">
        <f t="shared" si="23"/>
        <v>245.89507922247347</v>
      </c>
      <c r="K173" s="3">
        <f t="shared" si="20"/>
        <v>39.442735738312535</v>
      </c>
    </row>
    <row r="176" spans="1:11">
      <c r="A176" t="s">
        <v>25</v>
      </c>
      <c r="C176" s="3">
        <f>AVERAGE(C93:C173)</f>
        <v>123.05897170363639</v>
      </c>
      <c r="D176" s="3">
        <f>AVERAGE(D93:D173)</f>
        <v>51.5032495381109</v>
      </c>
    </row>
    <row r="177" spans="1:4">
      <c r="A177" t="s">
        <v>26</v>
      </c>
      <c r="D177" s="3">
        <f>G176+H176+I176+L176</f>
        <v>0</v>
      </c>
    </row>
    <row r="178" spans="1:4">
      <c r="A178" t="s">
        <v>27</v>
      </c>
      <c r="C178" s="3">
        <f>SUM(C176:C177)</f>
        <v>123.05897170363639</v>
      </c>
      <c r="D178" s="3">
        <f>SUM(D176:D177)</f>
        <v>51.5032495381109</v>
      </c>
    </row>
    <row r="179" spans="1:4">
      <c r="C179" t="s">
        <v>29</v>
      </c>
      <c r="D179" s="2">
        <f>D178/C178</f>
        <v>0.41852494641468696</v>
      </c>
    </row>
    <row r="180" spans="1:4">
      <c r="A180" t="s">
        <v>28</v>
      </c>
      <c r="C180">
        <v>0</v>
      </c>
      <c r="D180" s="2">
        <f>((D176+G176+H176+I176+(C180*L176))/C178)</f>
        <v>0.41852494641468696</v>
      </c>
    </row>
    <row r="181" spans="1:4">
      <c r="C181">
        <v>0.25</v>
      </c>
      <c r="D181" s="2">
        <f>((D$176+G$176+H$176+I$176+(C181*L$176))/C$178)</f>
        <v>0.41852494641468696</v>
      </c>
    </row>
    <row r="182" spans="1:4">
      <c r="C182">
        <v>0.5</v>
      </c>
      <c r="D182" s="2">
        <f>((D$176+G$176+H$176+I$176+(C182*L$176))/C$178)</f>
        <v>0.41852494641468696</v>
      </c>
    </row>
  </sheetData>
  <hyperlinks>
    <hyperlink ref="D2" r:id="rId1"/>
    <hyperlink ref="G2" r:id="rId2"/>
  </hyperlinks>
  <pageMargins left="0.75" right="0.75" top="1" bottom="1" header="0.5" footer="0.5"/>
  <pageSetup orientation="portrait" horizontalDpi="4294967292" verticalDpi="4294967292"/>
  <drawing r:id="rId3"/>
  <legacyDrawing r:id="rId4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K53"/>
  <sheetViews>
    <sheetView workbookViewId="0">
      <selection activeCell="K11" sqref="K11"/>
    </sheetView>
  </sheetViews>
  <sheetFormatPr baseColWidth="10" defaultColWidth="11.5" defaultRowHeight="12" x14ac:dyDescent="0"/>
  <cols>
    <col min="2" max="2" width="8" customWidth="1"/>
    <col min="3" max="3" width="7" customWidth="1"/>
    <col min="4" max="4" width="7.5" customWidth="1"/>
    <col min="5" max="5" width="7" customWidth="1"/>
  </cols>
  <sheetData>
    <row r="1" spans="1:11">
      <c r="A1" t="s">
        <v>187</v>
      </c>
      <c r="B1" t="s">
        <v>188</v>
      </c>
      <c r="C1" t="s">
        <v>189</v>
      </c>
      <c r="D1" t="s">
        <v>190</v>
      </c>
      <c r="E1" t="s">
        <v>191</v>
      </c>
      <c r="F1" t="s">
        <v>192</v>
      </c>
      <c r="G1" t="s">
        <v>193</v>
      </c>
      <c r="H1" t="s">
        <v>194</v>
      </c>
      <c r="I1" t="s">
        <v>398</v>
      </c>
      <c r="J1" t="s">
        <v>195</v>
      </c>
      <c r="K1" t="s">
        <v>404</v>
      </c>
    </row>
    <row r="2" spans="1:11">
      <c r="A2">
        <v>0</v>
      </c>
      <c r="B2">
        <v>0</v>
      </c>
      <c r="C2">
        <v>0</v>
      </c>
      <c r="D2">
        <v>0</v>
      </c>
      <c r="E2">
        <v>14.56</v>
      </c>
      <c r="F2">
        <v>36.869999999999997</v>
      </c>
      <c r="G2">
        <v>37.35</v>
      </c>
      <c r="I2">
        <f>C2+D2+E2+F2</f>
        <v>51.43</v>
      </c>
      <c r="J2">
        <f t="shared" ref="J2:J12" si="0">G2</f>
        <v>37.35</v>
      </c>
    </row>
    <row r="3" spans="1:11">
      <c r="A3">
        <v>10</v>
      </c>
      <c r="B3">
        <v>3.01</v>
      </c>
      <c r="C3">
        <v>0.05</v>
      </c>
      <c r="D3">
        <v>10.27</v>
      </c>
      <c r="E3">
        <v>12.64</v>
      </c>
      <c r="F3">
        <v>34.299999999999997</v>
      </c>
      <c r="G3">
        <v>37.840000000000003</v>
      </c>
      <c r="H3" s="22">
        <f>B3/((SUM(B3:D3))+(SUM(E3:G3)- SUM(E$3:G$3)))</f>
        <v>0.22580645161290325</v>
      </c>
      <c r="I3">
        <f t="shared" ref="I3:I12" si="1">C3+D3+E3+F3</f>
        <v>57.26</v>
      </c>
      <c r="J3">
        <f t="shared" si="0"/>
        <v>37.840000000000003</v>
      </c>
    </row>
    <row r="4" spans="1:11">
      <c r="A4">
        <v>20</v>
      </c>
      <c r="B4">
        <v>14.76</v>
      </c>
      <c r="C4">
        <v>0.28000000000000003</v>
      </c>
      <c r="D4">
        <v>5.34</v>
      </c>
      <c r="E4">
        <v>12.04</v>
      </c>
      <c r="F4">
        <v>32.81</v>
      </c>
      <c r="G4">
        <v>39.19</v>
      </c>
      <c r="H4" s="22">
        <f t="shared" ref="H4:H12" si="2">B4/((SUM(B4:D4))+(SUM(E4:G4)- SUM(E$3:G$3)))</f>
        <v>0.75152749490835069</v>
      </c>
      <c r="I4">
        <f t="shared" si="1"/>
        <v>50.47</v>
      </c>
      <c r="J4">
        <f t="shared" si="0"/>
        <v>39.19</v>
      </c>
    </row>
    <row r="5" spans="1:11">
      <c r="A5">
        <v>30</v>
      </c>
      <c r="B5">
        <v>31.5</v>
      </c>
      <c r="C5">
        <v>0.73</v>
      </c>
      <c r="D5">
        <v>3.46</v>
      </c>
      <c r="E5">
        <v>12.31</v>
      </c>
      <c r="F5">
        <v>32.17</v>
      </c>
      <c r="G5">
        <v>41.12</v>
      </c>
      <c r="H5" s="22">
        <f t="shared" si="2"/>
        <v>0.86277732128184081</v>
      </c>
      <c r="I5">
        <f t="shared" si="1"/>
        <v>48.67</v>
      </c>
      <c r="J5">
        <f t="shared" si="0"/>
        <v>41.12</v>
      </c>
    </row>
    <row r="6" spans="1:11">
      <c r="A6">
        <v>40</v>
      </c>
      <c r="B6">
        <v>48.68</v>
      </c>
      <c r="C6">
        <v>1.36</v>
      </c>
      <c r="D6">
        <v>2.65</v>
      </c>
      <c r="E6">
        <v>12.87</v>
      </c>
      <c r="F6">
        <v>32.14</v>
      </c>
      <c r="G6">
        <v>43.24</v>
      </c>
      <c r="H6" s="22">
        <f t="shared" si="2"/>
        <v>0.86680911680911688</v>
      </c>
      <c r="I6">
        <f t="shared" si="1"/>
        <v>49.019999999999996</v>
      </c>
      <c r="J6">
        <f t="shared" si="0"/>
        <v>43.24</v>
      </c>
      <c r="K6">
        <f>E6+F6</f>
        <v>45.01</v>
      </c>
    </row>
    <row r="7" spans="1:11">
      <c r="A7">
        <v>50</v>
      </c>
      <c r="B7">
        <v>63.82</v>
      </c>
      <c r="C7">
        <v>2.09</v>
      </c>
      <c r="D7">
        <v>2.2400000000000002</v>
      </c>
      <c r="E7">
        <v>13.42</v>
      </c>
      <c r="F7">
        <v>32.54</v>
      </c>
      <c r="G7">
        <v>45.22</v>
      </c>
      <c r="H7" s="22">
        <f t="shared" si="2"/>
        <v>0.85606975184439982</v>
      </c>
      <c r="I7">
        <f t="shared" si="1"/>
        <v>50.29</v>
      </c>
      <c r="J7">
        <f t="shared" si="0"/>
        <v>45.22</v>
      </c>
    </row>
    <row r="8" spans="1:11">
      <c r="A8">
        <v>60</v>
      </c>
      <c r="B8">
        <v>76.069999999999993</v>
      </c>
      <c r="C8">
        <v>2.86</v>
      </c>
      <c r="D8">
        <v>2</v>
      </c>
      <c r="E8">
        <v>13.82</v>
      </c>
      <c r="F8">
        <v>33.21</v>
      </c>
      <c r="G8">
        <v>46.85</v>
      </c>
      <c r="H8" s="22">
        <f t="shared" si="2"/>
        <v>0.84494057536376765</v>
      </c>
      <c r="I8">
        <f t="shared" si="1"/>
        <v>51.89</v>
      </c>
      <c r="J8">
        <f t="shared" si="0"/>
        <v>46.85</v>
      </c>
    </row>
    <row r="9" spans="1:11">
      <c r="A9">
        <v>70</v>
      </c>
      <c r="B9">
        <v>85.51</v>
      </c>
      <c r="C9">
        <v>3.63</v>
      </c>
      <c r="D9">
        <v>1.86</v>
      </c>
      <c r="E9">
        <v>14.05</v>
      </c>
      <c r="F9">
        <v>34.04</v>
      </c>
      <c r="G9">
        <v>48.05</v>
      </c>
      <c r="H9" s="22">
        <f t="shared" si="2"/>
        <v>0.83538491598280584</v>
      </c>
      <c r="I9">
        <f t="shared" si="1"/>
        <v>53.58</v>
      </c>
      <c r="J9">
        <f t="shared" si="0"/>
        <v>48.05</v>
      </c>
    </row>
    <row r="10" spans="1:11">
      <c r="A10">
        <v>80</v>
      </c>
      <c r="B10">
        <v>92.55</v>
      </c>
      <c r="C10">
        <v>4.38</v>
      </c>
      <c r="D10">
        <v>1.77</v>
      </c>
      <c r="E10">
        <v>14.15</v>
      </c>
      <c r="F10">
        <v>34.950000000000003</v>
      </c>
      <c r="G10">
        <v>48.84</v>
      </c>
      <c r="H10" s="22">
        <f t="shared" si="2"/>
        <v>0.82737350259252651</v>
      </c>
      <c r="I10">
        <f t="shared" si="1"/>
        <v>55.25</v>
      </c>
      <c r="J10">
        <f t="shared" si="0"/>
        <v>48.84</v>
      </c>
    </row>
    <row r="11" spans="1:11">
      <c r="A11">
        <v>90</v>
      </c>
      <c r="B11">
        <v>97.7</v>
      </c>
      <c r="C11">
        <v>5.0599999999999996</v>
      </c>
      <c r="D11">
        <v>1.7</v>
      </c>
      <c r="E11">
        <v>14.14</v>
      </c>
      <c r="F11">
        <v>35.880000000000003</v>
      </c>
      <c r="G11">
        <v>49.31</v>
      </c>
      <c r="H11" s="22">
        <f t="shared" si="2"/>
        <v>0.82093941685572625</v>
      </c>
      <c r="I11">
        <f t="shared" si="1"/>
        <v>56.78</v>
      </c>
      <c r="J11">
        <f t="shared" si="0"/>
        <v>49.31</v>
      </c>
    </row>
    <row r="12" spans="1:11">
      <c r="A12">
        <v>100</v>
      </c>
      <c r="B12">
        <v>101.41</v>
      </c>
      <c r="C12">
        <v>5.69</v>
      </c>
      <c r="D12">
        <v>1.66</v>
      </c>
      <c r="E12">
        <v>14.06</v>
      </c>
      <c r="F12">
        <v>36.81</v>
      </c>
      <c r="G12">
        <v>49.57</v>
      </c>
      <c r="H12" s="22">
        <f t="shared" si="2"/>
        <v>0.81506188715640582</v>
      </c>
      <c r="I12">
        <f t="shared" si="1"/>
        <v>58.22</v>
      </c>
      <c r="J12">
        <f t="shared" si="0"/>
        <v>49.57</v>
      </c>
    </row>
    <row r="14" spans="1:11">
      <c r="A14" t="s">
        <v>399</v>
      </c>
    </row>
    <row r="15" spans="1:11">
      <c r="A15" s="243">
        <v>41859</v>
      </c>
    </row>
    <row r="50" spans="1:1">
      <c r="A50" t="s">
        <v>312</v>
      </c>
    </row>
    <row r="51" spans="1:1">
      <c r="A51" t="s">
        <v>400</v>
      </c>
    </row>
    <row r="52" spans="1:1">
      <c r="A52" t="s">
        <v>401</v>
      </c>
    </row>
    <row r="53" spans="1:1">
      <c r="A53" t="s">
        <v>402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 enableFormatConditionsCalculation="0"/>
  <dimension ref="A1:V179"/>
  <sheetViews>
    <sheetView workbookViewId="0">
      <selection activeCell="H20" sqref="H20"/>
    </sheetView>
  </sheetViews>
  <sheetFormatPr baseColWidth="10" defaultColWidth="8.83203125" defaultRowHeight="12" x14ac:dyDescent="0"/>
  <cols>
    <col min="1" max="1" width="20.5" customWidth="1"/>
    <col min="2" max="2" width="15.83203125" customWidth="1"/>
    <col min="3" max="3" width="14" customWidth="1"/>
    <col min="7" max="7" width="10.5" customWidth="1"/>
    <col min="8" max="8" width="10.1640625" customWidth="1"/>
    <col min="9" max="9" width="9.1640625" customWidth="1"/>
    <col min="10" max="10" width="6.83203125" customWidth="1"/>
    <col min="11" max="11" width="9.33203125" customWidth="1"/>
    <col min="12" max="13" width="10.33203125" customWidth="1"/>
    <col min="15" max="15" width="9.33203125" customWidth="1"/>
    <col min="16" max="18" width="10.33203125" customWidth="1"/>
    <col min="19" max="19" width="11" customWidth="1"/>
  </cols>
  <sheetData>
    <row r="1" spans="1:19">
      <c r="A1" s="317" t="s">
        <v>137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</row>
    <row r="2" spans="1:19">
      <c r="A2" s="38" t="s">
        <v>79</v>
      </c>
      <c r="B2" s="38" t="s">
        <v>80</v>
      </c>
      <c r="C2" s="318" t="s">
        <v>75</v>
      </c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</row>
    <row r="3" spans="1:19" ht="33" customHeight="1">
      <c r="A3" s="37" t="s">
        <v>184</v>
      </c>
      <c r="B3" s="27">
        <v>20</v>
      </c>
      <c r="C3" s="319" t="s">
        <v>135</v>
      </c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</row>
    <row r="4" spans="1:19" ht="27" customHeight="1">
      <c r="A4" s="24" t="s">
        <v>74</v>
      </c>
      <c r="B4" s="27">
        <v>45</v>
      </c>
      <c r="C4" s="319" t="s">
        <v>136</v>
      </c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</row>
    <row r="5" spans="1:19" ht="27" customHeight="1">
      <c r="A5" s="24" t="s">
        <v>185</v>
      </c>
      <c r="B5" s="27" t="s">
        <v>186</v>
      </c>
      <c r="C5" s="323" t="s">
        <v>198</v>
      </c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5"/>
    </row>
    <row r="6" spans="1:19" ht="14">
      <c r="A6" s="74" t="s">
        <v>200</v>
      </c>
      <c r="B6" s="27">
        <v>100</v>
      </c>
      <c r="C6" s="319" t="s">
        <v>199</v>
      </c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</row>
    <row r="7" spans="1:19">
      <c r="B7" s="34"/>
      <c r="L7" s="5"/>
      <c r="M7" s="5"/>
    </row>
    <row r="8" spans="1:19">
      <c r="A8" s="42" t="s">
        <v>87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4"/>
    </row>
    <row r="9" spans="1:19" s="40" customFormat="1" ht="14" customHeight="1">
      <c r="A9" s="41" t="s">
        <v>81</v>
      </c>
      <c r="B9" s="41" t="s">
        <v>82</v>
      </c>
      <c r="C9" s="309" t="s">
        <v>83</v>
      </c>
      <c r="D9" s="310"/>
      <c r="E9" s="310"/>
      <c r="F9" s="310"/>
      <c r="G9" s="310"/>
      <c r="H9" s="310"/>
      <c r="I9" s="310"/>
      <c r="J9" s="310"/>
      <c r="K9" s="310"/>
      <c r="L9" s="310"/>
      <c r="M9" s="310"/>
      <c r="N9" s="310"/>
      <c r="O9" s="310"/>
      <c r="P9" s="310"/>
      <c r="Q9" s="310"/>
      <c r="R9" s="310"/>
      <c r="S9" s="311"/>
    </row>
    <row r="10" spans="1:19" ht="14" customHeight="1">
      <c r="A10" s="24" t="s">
        <v>76</v>
      </c>
      <c r="B10" s="27">
        <v>0.1</v>
      </c>
      <c r="C10" s="312" t="s">
        <v>215</v>
      </c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</row>
    <row r="11" spans="1:19" ht="14" customHeight="1">
      <c r="A11" s="24" t="s">
        <v>77</v>
      </c>
      <c r="B11" s="27">
        <v>0.25</v>
      </c>
      <c r="C11" s="312" t="s">
        <v>214</v>
      </c>
      <c r="D11" s="313"/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</row>
    <row r="12" spans="1:19" ht="14" customHeight="1">
      <c r="A12" s="47" t="s">
        <v>78</v>
      </c>
      <c r="B12" s="48">
        <v>0.65</v>
      </c>
      <c r="C12" s="321" t="s">
        <v>133</v>
      </c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22"/>
      <c r="S12" s="322"/>
    </row>
    <row r="13" spans="1:19" ht="14" customHeight="1">
      <c r="A13" s="49" t="s">
        <v>84</v>
      </c>
      <c r="B13" s="50">
        <v>0.77</v>
      </c>
      <c r="C13" s="313" t="s">
        <v>85</v>
      </c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</row>
    <row r="14" spans="1:19"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1:19" ht="10" customHeight="1">
      <c r="A15" s="314" t="s">
        <v>88</v>
      </c>
      <c r="B15" s="315"/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6"/>
    </row>
    <row r="16" spans="1:19" ht="14" customHeight="1">
      <c r="A16" s="38" t="s">
        <v>30</v>
      </c>
      <c r="B16" s="46">
        <v>1</v>
      </c>
      <c r="C16" s="312" t="s">
        <v>197</v>
      </c>
      <c r="D16" s="312"/>
      <c r="E16" s="312"/>
      <c r="F16" s="312"/>
      <c r="G16" s="312"/>
      <c r="H16" s="312"/>
      <c r="I16" s="312"/>
      <c r="J16" s="312"/>
      <c r="K16" s="312"/>
      <c r="L16" s="312"/>
      <c r="M16" s="312"/>
      <c r="N16" s="312"/>
      <c r="O16" s="312"/>
      <c r="P16" s="312"/>
      <c r="Q16" s="312"/>
      <c r="R16" s="312"/>
      <c r="S16" s="312"/>
    </row>
    <row r="17" spans="1:22">
      <c r="L17" s="5"/>
      <c r="M17" s="5"/>
    </row>
    <row r="18" spans="1:22" s="1" customFormat="1" ht="48">
      <c r="A18" s="1" t="s">
        <v>19</v>
      </c>
      <c r="B18" s="1" t="s">
        <v>60</v>
      </c>
      <c r="C18" s="16" t="s">
        <v>0</v>
      </c>
      <c r="D18" s="1" t="s">
        <v>196</v>
      </c>
      <c r="E18" s="1" t="s">
        <v>16</v>
      </c>
      <c r="F18" s="1" t="s">
        <v>10</v>
      </c>
      <c r="G18" s="1" t="s">
        <v>13</v>
      </c>
      <c r="H18" s="51" t="s">
        <v>86</v>
      </c>
      <c r="I18" s="1" t="s">
        <v>14</v>
      </c>
      <c r="J18" s="1" t="s">
        <v>1</v>
      </c>
      <c r="K18" s="1" t="s">
        <v>2</v>
      </c>
      <c r="L18" s="5" t="str">
        <f t="shared" ref="L18:L81" si="0">C18</f>
        <v>Wood products in use</v>
      </c>
      <c r="M18" s="5" t="s">
        <v>11</v>
      </c>
      <c r="N18" s="1" t="s">
        <v>5</v>
      </c>
      <c r="O18" s="1" t="s">
        <v>17</v>
      </c>
      <c r="P18" s="1" t="s">
        <v>18</v>
      </c>
      <c r="Q18" s="1" t="s">
        <v>4</v>
      </c>
      <c r="R18" s="1" t="s">
        <v>31</v>
      </c>
      <c r="S18" s="1" t="s">
        <v>12</v>
      </c>
    </row>
    <row r="19" spans="1:22" ht="14">
      <c r="A19" s="6">
        <v>0</v>
      </c>
      <c r="B19" s="52">
        <v>100</v>
      </c>
      <c r="C19" s="53">
        <f>B6</f>
        <v>100</v>
      </c>
      <c r="D19" s="53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55">
        <f t="shared" si="0"/>
        <v>100</v>
      </c>
      <c r="M19" s="45">
        <f>L19*B$16</f>
        <v>100</v>
      </c>
      <c r="N19" s="33">
        <v>0</v>
      </c>
      <c r="O19" s="33">
        <f>K19</f>
        <v>0</v>
      </c>
      <c r="P19" s="33">
        <v>0</v>
      </c>
      <c r="Q19" s="33">
        <f>L19+N19</f>
        <v>100</v>
      </c>
      <c r="R19" s="33">
        <f>P19</f>
        <v>0</v>
      </c>
      <c r="S19" s="55">
        <f>L19+N19+P19</f>
        <v>100</v>
      </c>
    </row>
    <row r="20" spans="1:22" ht="14">
      <c r="A20" s="6">
        <v>1</v>
      </c>
      <c r="B20" s="54">
        <f t="shared" ref="B20:B51" si="1">100*(0.5)^(A20/B$3)</f>
        <v>96.593632892484564</v>
      </c>
      <c r="C20" s="54">
        <f t="shared" ref="C20:C51" si="2">100*(0.5)^(A20/B$4)</f>
        <v>98.47147529344312</v>
      </c>
      <c r="D20" s="54">
        <f>C19-C20</f>
        <v>1.5285247065568797</v>
      </c>
      <c r="E20" s="32">
        <f t="shared" ref="E20:E51" si="3">$D20*B$10</f>
        <v>0.15285247065568797</v>
      </c>
      <c r="F20" s="32">
        <f t="shared" ref="F20:F51" si="4">$D20*B$11</f>
        <v>0.38213117663921992</v>
      </c>
      <c r="G20" s="32">
        <f t="shared" ref="G20:G51" si="5">$D20*B$12</f>
        <v>0.99354105926197178</v>
      </c>
      <c r="H20" s="32">
        <f>G20*$B$13</f>
        <v>0.76502661563171825</v>
      </c>
      <c r="I20" s="32">
        <f>H20</f>
        <v>0.76502661563171825</v>
      </c>
      <c r="J20" s="32">
        <f>G20-H20</f>
        <v>0.22851444363025353</v>
      </c>
      <c r="K20" s="32">
        <f t="shared" ref="K20:K83" si="6">J20+E20</f>
        <v>0.38136691428594149</v>
      </c>
      <c r="L20" s="55">
        <f t="shared" si="0"/>
        <v>98.47147529344312</v>
      </c>
      <c r="M20" s="45">
        <f>M19</f>
        <v>100</v>
      </c>
      <c r="N20" s="33">
        <f>H20</f>
        <v>0.76502661563171825</v>
      </c>
      <c r="O20" s="33">
        <f>O19+K20</f>
        <v>0.38136691428594149</v>
      </c>
      <c r="P20" s="33">
        <f>F20</f>
        <v>0.38213117663921992</v>
      </c>
      <c r="Q20" s="33">
        <f t="shared" ref="Q20:Q83" si="7">L20+N20</f>
        <v>99.236501909074832</v>
      </c>
      <c r="R20" s="33">
        <f>P20</f>
        <v>0.38213117663921992</v>
      </c>
      <c r="S20" s="55">
        <f t="shared" ref="S20:S83" si="8">L20+N20+P20</f>
        <v>99.618633085714052</v>
      </c>
      <c r="V20" s="3"/>
    </row>
    <row r="21" spans="1:22" ht="14">
      <c r="A21" s="6">
        <v>2</v>
      </c>
      <c r="B21" s="54">
        <f t="shared" si="1"/>
        <v>93.30329915368074</v>
      </c>
      <c r="C21" s="54">
        <f t="shared" si="2"/>
        <v>96.966314464671797</v>
      </c>
      <c r="D21" s="54">
        <f t="shared" ref="D21:D84" si="9">C20-C21</f>
        <v>1.5051608287713236</v>
      </c>
      <c r="E21" s="32">
        <f t="shared" si="3"/>
        <v>0.15051608287713236</v>
      </c>
      <c r="F21" s="32">
        <f t="shared" si="4"/>
        <v>0.37629020719283091</v>
      </c>
      <c r="G21" s="32">
        <f t="shared" si="5"/>
        <v>0.97835453870136035</v>
      </c>
      <c r="H21" s="32">
        <f t="shared" ref="H21:H84" si="10">G21*$B$13</f>
        <v>0.75333299480004745</v>
      </c>
      <c r="I21" s="32">
        <f>I20+H21</f>
        <v>1.5183596104317658</v>
      </c>
      <c r="J21" s="32">
        <f t="shared" ref="J21:J84" si="11">G21-H21</f>
        <v>0.2250215439013129</v>
      </c>
      <c r="K21" s="32">
        <f t="shared" si="6"/>
        <v>0.37553762677844527</v>
      </c>
      <c r="L21" s="55">
        <f t="shared" si="0"/>
        <v>96.966314464671797</v>
      </c>
      <c r="M21" s="45">
        <f t="shared" ref="M21:M84" si="12">M20</f>
        <v>100</v>
      </c>
      <c r="N21" s="33">
        <f>N20+H21</f>
        <v>1.5183596104317658</v>
      </c>
      <c r="O21" s="33">
        <f t="shared" ref="O21:O84" si="13">O20+K21</f>
        <v>0.75690454106438676</v>
      </c>
      <c r="P21" s="33">
        <f t="shared" ref="P21:P84" si="14">P20+F21</f>
        <v>0.75842138383205082</v>
      </c>
      <c r="Q21" s="33">
        <f>L21+N21</f>
        <v>98.484674075103555</v>
      </c>
      <c r="R21" s="33">
        <f t="shared" ref="R21:R83" si="15">P21</f>
        <v>0.75842138383205082</v>
      </c>
      <c r="S21" s="55">
        <f>L21+N21+P21</f>
        <v>99.243095458935613</v>
      </c>
      <c r="V21" s="3"/>
    </row>
    <row r="22" spans="1:22" ht="14">
      <c r="A22" s="6">
        <v>3</v>
      </c>
      <c r="B22" s="54">
        <f t="shared" si="1"/>
        <v>90.125046261083014</v>
      </c>
      <c r="C22" s="54">
        <f t="shared" si="2"/>
        <v>95.484160391041655</v>
      </c>
      <c r="D22" s="54">
        <f t="shared" si="9"/>
        <v>1.4821540736301415</v>
      </c>
      <c r="E22" s="32">
        <f t="shared" si="3"/>
        <v>0.14821540736301417</v>
      </c>
      <c r="F22" s="32">
        <f t="shared" si="4"/>
        <v>0.37053851840753538</v>
      </c>
      <c r="G22" s="32">
        <f t="shared" si="5"/>
        <v>0.96340014785959205</v>
      </c>
      <c r="H22" s="32">
        <f t="shared" si="10"/>
        <v>0.7418181138518859</v>
      </c>
      <c r="I22" s="32">
        <f t="shared" ref="I22:I85" si="16">I21+H22</f>
        <v>2.2601777242836518</v>
      </c>
      <c r="J22" s="32">
        <f t="shared" si="11"/>
        <v>0.22158203400770615</v>
      </c>
      <c r="K22" s="32">
        <f>J22+E22</f>
        <v>0.36979744137072035</v>
      </c>
      <c r="L22" s="55">
        <f t="shared" si="0"/>
        <v>95.484160391041655</v>
      </c>
      <c r="M22" s="45">
        <f t="shared" si="12"/>
        <v>100</v>
      </c>
      <c r="N22" s="33">
        <f t="shared" ref="N22:N84" si="17">N21+H22</f>
        <v>2.2601777242836518</v>
      </c>
      <c r="O22" s="33">
        <f t="shared" si="13"/>
        <v>1.1267019824351072</v>
      </c>
      <c r="P22" s="33">
        <f t="shared" si="14"/>
        <v>1.1289599022395862</v>
      </c>
      <c r="Q22" s="33">
        <f t="shared" si="7"/>
        <v>97.744338115325306</v>
      </c>
      <c r="R22" s="33">
        <f t="shared" si="15"/>
        <v>1.1289599022395862</v>
      </c>
      <c r="S22" s="55">
        <f t="shared" si="8"/>
        <v>98.873298017564892</v>
      </c>
      <c r="V22" s="3"/>
    </row>
    <row r="23" spans="1:22" ht="14">
      <c r="A23" s="6">
        <v>4</v>
      </c>
      <c r="B23" s="54">
        <f t="shared" si="1"/>
        <v>87.055056329612412</v>
      </c>
      <c r="C23" s="54">
        <f t="shared" si="2"/>
        <v>94.024661408616197</v>
      </c>
      <c r="D23" s="54">
        <f t="shared" si="9"/>
        <v>1.4594989824254583</v>
      </c>
      <c r="E23" s="32">
        <f t="shared" si="3"/>
        <v>0.14594989824254584</v>
      </c>
      <c r="F23" s="32">
        <f t="shared" si="4"/>
        <v>0.36487474560636457</v>
      </c>
      <c r="G23" s="32">
        <f t="shared" si="5"/>
        <v>0.94867433857654793</v>
      </c>
      <c r="H23" s="32">
        <f t="shared" si="10"/>
        <v>0.73047924070394188</v>
      </c>
      <c r="I23" s="32">
        <f t="shared" si="16"/>
        <v>2.9906569649875938</v>
      </c>
      <c r="J23" s="32">
        <f t="shared" si="11"/>
        <v>0.21819509787260605</v>
      </c>
      <c r="K23" s="32">
        <f t="shared" si="6"/>
        <v>0.36414499611515189</v>
      </c>
      <c r="L23" s="55">
        <f t="shared" si="0"/>
        <v>94.024661408616197</v>
      </c>
      <c r="M23" s="45">
        <f t="shared" si="12"/>
        <v>100</v>
      </c>
      <c r="N23" s="33">
        <f t="shared" si="17"/>
        <v>2.9906569649875938</v>
      </c>
      <c r="O23" s="33">
        <f t="shared" si="13"/>
        <v>1.4908469785502592</v>
      </c>
      <c r="P23" s="33">
        <f t="shared" si="14"/>
        <v>1.4938346478459508</v>
      </c>
      <c r="Q23" s="33">
        <f t="shared" si="7"/>
        <v>97.01531837360379</v>
      </c>
      <c r="R23" s="33">
        <f t="shared" si="15"/>
        <v>1.4938346478459508</v>
      </c>
      <c r="S23" s="55">
        <f t="shared" si="8"/>
        <v>98.509153021449748</v>
      </c>
      <c r="V23" s="3"/>
    </row>
    <row r="24" spans="1:22" ht="14">
      <c r="A24" s="6">
        <v>5</v>
      </c>
      <c r="B24" s="54">
        <f t="shared" si="1"/>
        <v>84.089641525371448</v>
      </c>
      <c r="C24" s="54">
        <f t="shared" si="2"/>
        <v>92.587471228729044</v>
      </c>
      <c r="D24" s="54">
        <f t="shared" si="9"/>
        <v>1.4371901798871534</v>
      </c>
      <c r="E24" s="32">
        <f t="shared" si="3"/>
        <v>0.14371901798871534</v>
      </c>
      <c r="F24" s="32">
        <f t="shared" si="4"/>
        <v>0.35929754497178834</v>
      </c>
      <c r="G24" s="32">
        <f t="shared" si="5"/>
        <v>0.93417361692664969</v>
      </c>
      <c r="H24" s="32">
        <f t="shared" si="10"/>
        <v>0.71931368503352022</v>
      </c>
      <c r="I24" s="32">
        <f t="shared" si="16"/>
        <v>3.709970650021114</v>
      </c>
      <c r="J24" s="32">
        <f t="shared" si="11"/>
        <v>0.21485993189312946</v>
      </c>
      <c r="K24" s="32">
        <f>J24+E24</f>
        <v>0.3585789498818448</v>
      </c>
      <c r="L24" s="55">
        <f t="shared" si="0"/>
        <v>92.587471228729044</v>
      </c>
      <c r="M24" s="45">
        <f t="shared" si="12"/>
        <v>100</v>
      </c>
      <c r="N24" s="33">
        <f>N23+H24</f>
        <v>3.709970650021114</v>
      </c>
      <c r="O24" s="33">
        <f t="shared" si="13"/>
        <v>1.849425928432104</v>
      </c>
      <c r="P24" s="33">
        <f t="shared" si="14"/>
        <v>1.8531321928177391</v>
      </c>
      <c r="Q24" s="33">
        <f>L24+N24</f>
        <v>96.297441878750163</v>
      </c>
      <c r="R24" s="33">
        <f t="shared" si="15"/>
        <v>1.8531321928177391</v>
      </c>
      <c r="S24" s="55">
        <f t="shared" si="8"/>
        <v>98.150574071567902</v>
      </c>
      <c r="V24" s="3"/>
    </row>
    <row r="25" spans="1:22" ht="14">
      <c r="A25" s="6">
        <v>6</v>
      </c>
      <c r="B25" s="54">
        <f t="shared" si="1"/>
        <v>81.225239635623552</v>
      </c>
      <c r="C25" s="54">
        <f t="shared" si="2"/>
        <v>91.172248855821678</v>
      </c>
      <c r="D25" s="54">
        <f t="shared" si="9"/>
        <v>1.4152223729073654</v>
      </c>
      <c r="E25" s="32">
        <f t="shared" si="3"/>
        <v>0.14152223729073654</v>
      </c>
      <c r="F25" s="32">
        <f t="shared" si="4"/>
        <v>0.35380559322684135</v>
      </c>
      <c r="G25" s="32">
        <f t="shared" si="5"/>
        <v>0.91989454238978752</v>
      </c>
      <c r="H25" s="32">
        <f t="shared" si="10"/>
        <v>0.70831879764013639</v>
      </c>
      <c r="I25" s="32">
        <f>I24+H25</f>
        <v>4.41828944766125</v>
      </c>
      <c r="J25" s="32">
        <f t="shared" si="11"/>
        <v>0.21157574474965113</v>
      </c>
      <c r="K25" s="32">
        <f t="shared" si="6"/>
        <v>0.35309798204038767</v>
      </c>
      <c r="L25" s="55">
        <f>C25</f>
        <v>91.172248855821678</v>
      </c>
      <c r="M25" s="45">
        <f t="shared" si="12"/>
        <v>100</v>
      </c>
      <c r="N25" s="33">
        <f t="shared" si="17"/>
        <v>4.41828944766125</v>
      </c>
      <c r="O25" s="33">
        <f t="shared" si="13"/>
        <v>2.2025239104724914</v>
      </c>
      <c r="P25" s="33">
        <f t="shared" si="14"/>
        <v>2.2069377860445805</v>
      </c>
      <c r="Q25" s="33">
        <f t="shared" si="7"/>
        <v>95.59053830348293</v>
      </c>
      <c r="R25" s="33">
        <f t="shared" si="15"/>
        <v>2.2069377860445805</v>
      </c>
      <c r="S25" s="55">
        <f t="shared" si="8"/>
        <v>97.797476089527507</v>
      </c>
      <c r="V25" s="3"/>
    </row>
    <row r="26" spans="1:22" ht="14">
      <c r="A26" s="6">
        <v>7</v>
      </c>
      <c r="B26" s="54">
        <f t="shared" si="1"/>
        <v>78.458409789675073</v>
      </c>
      <c r="C26" s="54">
        <f t="shared" si="2"/>
        <v>89.778658506536928</v>
      </c>
      <c r="D26" s="54">
        <f t="shared" si="9"/>
        <v>1.3935903492847501</v>
      </c>
      <c r="E26" s="32">
        <f t="shared" si="3"/>
        <v>0.13935903492847501</v>
      </c>
      <c r="F26" s="32">
        <f t="shared" si="4"/>
        <v>0.34839758732118753</v>
      </c>
      <c r="G26" s="32">
        <f t="shared" si="5"/>
        <v>0.90583372703508758</v>
      </c>
      <c r="H26" s="32">
        <f t="shared" si="10"/>
        <v>0.69749196981701744</v>
      </c>
      <c r="I26" s="32">
        <f t="shared" si="16"/>
        <v>5.1157814174782672</v>
      </c>
      <c r="J26" s="32">
        <f t="shared" si="11"/>
        <v>0.20834175721807013</v>
      </c>
      <c r="K26" s="32">
        <f t="shared" si="6"/>
        <v>0.34770079214654515</v>
      </c>
      <c r="L26" s="55">
        <f t="shared" si="0"/>
        <v>89.778658506536928</v>
      </c>
      <c r="M26" s="45">
        <f t="shared" si="12"/>
        <v>100</v>
      </c>
      <c r="N26" s="33">
        <f t="shared" si="17"/>
        <v>5.1157814174782672</v>
      </c>
      <c r="O26" s="33">
        <f t="shared" si="13"/>
        <v>2.5502247026190368</v>
      </c>
      <c r="P26" s="33">
        <f t="shared" si="14"/>
        <v>2.555335373365768</v>
      </c>
      <c r="Q26" s="33">
        <f t="shared" si="7"/>
        <v>94.894439924015188</v>
      </c>
      <c r="R26" s="33">
        <f t="shared" si="15"/>
        <v>2.555335373365768</v>
      </c>
      <c r="S26" s="55">
        <f t="shared" si="8"/>
        <v>97.449775297380953</v>
      </c>
      <c r="V26" s="3"/>
    </row>
    <row r="27" spans="1:22" ht="14">
      <c r="A27" s="6">
        <v>8</v>
      </c>
      <c r="B27" s="54">
        <f t="shared" si="1"/>
        <v>75.785828325519915</v>
      </c>
      <c r="C27" s="54">
        <f t="shared" si="2"/>
        <v>88.40636953004919</v>
      </c>
      <c r="D27" s="54">
        <f t="shared" si="9"/>
        <v>1.372288976487738</v>
      </c>
      <c r="E27" s="32">
        <f t="shared" si="3"/>
        <v>0.1372288976487738</v>
      </c>
      <c r="F27" s="32">
        <f t="shared" si="4"/>
        <v>0.34307224412193449</v>
      </c>
      <c r="G27" s="32">
        <f t="shared" si="5"/>
        <v>0.89198783471702969</v>
      </c>
      <c r="H27" s="32">
        <f t="shared" si="10"/>
        <v>0.68683063273211287</v>
      </c>
      <c r="I27" s="32">
        <f t="shared" si="16"/>
        <v>5.8026120502103797</v>
      </c>
      <c r="J27" s="32">
        <f t="shared" si="11"/>
        <v>0.20515720198491683</v>
      </c>
      <c r="K27" s="32">
        <f t="shared" si="6"/>
        <v>0.3423860996336906</v>
      </c>
      <c r="L27" s="55">
        <f t="shared" si="0"/>
        <v>88.40636953004919</v>
      </c>
      <c r="M27" s="45">
        <f t="shared" si="12"/>
        <v>100</v>
      </c>
      <c r="N27" s="33">
        <f t="shared" si="17"/>
        <v>5.8026120502103797</v>
      </c>
      <c r="O27" s="33">
        <f t="shared" si="13"/>
        <v>2.8926108022527273</v>
      </c>
      <c r="P27" s="33">
        <f t="shared" si="14"/>
        <v>2.8984076174877025</v>
      </c>
      <c r="Q27" s="33">
        <f t="shared" si="7"/>
        <v>94.208981580259575</v>
      </c>
      <c r="R27" s="33">
        <f t="shared" si="15"/>
        <v>2.8984076174877025</v>
      </c>
      <c r="S27" s="55">
        <f t="shared" si="8"/>
        <v>97.107389197747281</v>
      </c>
      <c r="V27" s="3"/>
    </row>
    <row r="28" spans="1:22" ht="14">
      <c r="A28" s="6">
        <v>9</v>
      </c>
      <c r="B28" s="54">
        <f t="shared" si="1"/>
        <v>73.204284797281275</v>
      </c>
      <c r="C28" s="54">
        <f t="shared" si="2"/>
        <v>87.055056329612412</v>
      </c>
      <c r="D28" s="54">
        <f t="shared" si="9"/>
        <v>1.3513132004367776</v>
      </c>
      <c r="E28" s="32">
        <f t="shared" si="3"/>
        <v>0.13513132004367776</v>
      </c>
      <c r="F28" s="32">
        <f t="shared" si="4"/>
        <v>0.3378283001091944</v>
      </c>
      <c r="G28" s="32">
        <f t="shared" si="5"/>
        <v>0.87835358028390542</v>
      </c>
      <c r="H28" s="32">
        <f t="shared" si="10"/>
        <v>0.6763322568186072</v>
      </c>
      <c r="I28" s="32">
        <f t="shared" si="16"/>
        <v>6.4789443070289874</v>
      </c>
      <c r="J28" s="32">
        <f t="shared" si="11"/>
        <v>0.20202132346529822</v>
      </c>
      <c r="K28" s="32">
        <f t="shared" si="6"/>
        <v>0.337152643508976</v>
      </c>
      <c r="L28" s="55">
        <f t="shared" si="0"/>
        <v>87.055056329612412</v>
      </c>
      <c r="M28" s="45">
        <f t="shared" si="12"/>
        <v>100</v>
      </c>
      <c r="N28" s="33">
        <f t="shared" si="17"/>
        <v>6.4789443070289874</v>
      </c>
      <c r="O28" s="33">
        <f t="shared" si="13"/>
        <v>3.2297634457617033</v>
      </c>
      <c r="P28" s="33">
        <f t="shared" si="14"/>
        <v>3.2362359175968969</v>
      </c>
      <c r="Q28" s="33">
        <f t="shared" si="7"/>
        <v>93.534000636641395</v>
      </c>
      <c r="R28" s="33">
        <f t="shared" si="15"/>
        <v>3.2362359175968969</v>
      </c>
      <c r="S28" s="55">
        <f t="shared" si="8"/>
        <v>96.770236554238295</v>
      </c>
      <c r="V28" s="3"/>
    </row>
    <row r="29" spans="1:22" ht="14">
      <c r="A29" s="6">
        <v>10</v>
      </c>
      <c r="B29" s="54">
        <f t="shared" si="1"/>
        <v>70.710678118654755</v>
      </c>
      <c r="C29" s="54">
        <f t="shared" si="2"/>
        <v>85.724398285307274</v>
      </c>
      <c r="D29" s="54">
        <f t="shared" si="9"/>
        <v>1.3306580443051388</v>
      </c>
      <c r="E29" s="32">
        <f t="shared" si="3"/>
        <v>0.13306580443051388</v>
      </c>
      <c r="F29" s="32">
        <f t="shared" si="4"/>
        <v>0.3326645110762847</v>
      </c>
      <c r="G29" s="32">
        <f t="shared" si="5"/>
        <v>0.86492772879834023</v>
      </c>
      <c r="H29" s="32">
        <f t="shared" si="10"/>
        <v>0.66599435117472194</v>
      </c>
      <c r="I29" s="32">
        <f t="shared" si="16"/>
        <v>7.1449386582037091</v>
      </c>
      <c r="J29" s="32">
        <f t="shared" si="11"/>
        <v>0.19893337762361829</v>
      </c>
      <c r="K29" s="32">
        <f t="shared" si="6"/>
        <v>0.33199918205413215</v>
      </c>
      <c r="L29" s="55">
        <f t="shared" si="0"/>
        <v>85.724398285307274</v>
      </c>
      <c r="M29" s="45">
        <f t="shared" si="12"/>
        <v>100</v>
      </c>
      <c r="N29" s="33">
        <f t="shared" si="17"/>
        <v>7.1449386582037091</v>
      </c>
      <c r="O29" s="33">
        <f t="shared" si="13"/>
        <v>3.5617626278158356</v>
      </c>
      <c r="P29" s="33">
        <f t="shared" si="14"/>
        <v>3.5689004286731816</v>
      </c>
      <c r="Q29" s="33">
        <f t="shared" si="7"/>
        <v>92.869336943510987</v>
      </c>
      <c r="R29" s="33">
        <f t="shared" si="15"/>
        <v>3.5689004286731816</v>
      </c>
      <c r="S29" s="55">
        <f t="shared" si="8"/>
        <v>96.438237372184176</v>
      </c>
      <c r="V29" s="3"/>
    </row>
    <row r="30" spans="1:22" ht="14">
      <c r="A30" s="6">
        <v>11</v>
      </c>
      <c r="B30" s="54">
        <f t="shared" si="1"/>
        <v>68.302012837719772</v>
      </c>
      <c r="C30" s="54">
        <f t="shared" si="2"/>
        <v>84.414079677969141</v>
      </c>
      <c r="D30" s="54">
        <f t="shared" si="9"/>
        <v>1.3103186073381323</v>
      </c>
      <c r="E30" s="32">
        <f t="shared" si="3"/>
        <v>0.13103186073381323</v>
      </c>
      <c r="F30" s="32">
        <f t="shared" si="4"/>
        <v>0.32757965183453308</v>
      </c>
      <c r="G30" s="32">
        <f t="shared" si="5"/>
        <v>0.85170709476978601</v>
      </c>
      <c r="H30" s="32">
        <f t="shared" si="10"/>
        <v>0.65581446297273527</v>
      </c>
      <c r="I30" s="32">
        <f t="shared" si="16"/>
        <v>7.8007531211764443</v>
      </c>
      <c r="J30" s="32">
        <f t="shared" si="11"/>
        <v>0.19589263179705074</v>
      </c>
      <c r="K30" s="32">
        <f t="shared" si="6"/>
        <v>0.32692449253086397</v>
      </c>
      <c r="L30" s="55">
        <f t="shared" si="0"/>
        <v>84.414079677969141</v>
      </c>
      <c r="M30" s="45">
        <f t="shared" si="12"/>
        <v>100</v>
      </c>
      <c r="N30" s="33">
        <f t="shared" si="17"/>
        <v>7.8007531211764443</v>
      </c>
      <c r="O30" s="33">
        <f t="shared" si="13"/>
        <v>3.8886871203466997</v>
      </c>
      <c r="P30" s="33">
        <f t="shared" si="14"/>
        <v>3.8964800805077147</v>
      </c>
      <c r="Q30" s="33">
        <f t="shared" si="7"/>
        <v>92.214832799145583</v>
      </c>
      <c r="R30" s="33">
        <f t="shared" si="15"/>
        <v>3.8964800805077147</v>
      </c>
      <c r="S30" s="55">
        <f t="shared" si="8"/>
        <v>96.111312879653298</v>
      </c>
      <c r="V30" s="3"/>
    </row>
    <row r="31" spans="1:22" ht="14">
      <c r="A31" s="6">
        <v>12</v>
      </c>
      <c r="B31" s="54">
        <f t="shared" si="1"/>
        <v>65.975395538644705</v>
      </c>
      <c r="C31" s="54">
        <f t="shared" si="2"/>
        <v>83.123789614278778</v>
      </c>
      <c r="D31" s="54">
        <f t="shared" si="9"/>
        <v>1.2902900636903638</v>
      </c>
      <c r="E31" s="32">
        <f t="shared" si="3"/>
        <v>0.12902900636903639</v>
      </c>
      <c r="F31" s="32">
        <f t="shared" si="4"/>
        <v>0.32257251592259095</v>
      </c>
      <c r="G31" s="32">
        <f t="shared" si="5"/>
        <v>0.8386885413987365</v>
      </c>
      <c r="H31" s="32">
        <f t="shared" si="10"/>
        <v>0.64579017687702711</v>
      </c>
      <c r="I31" s="32">
        <f t="shared" si="16"/>
        <v>8.4465432980534718</v>
      </c>
      <c r="J31" s="32">
        <f t="shared" si="11"/>
        <v>0.19289836452170939</v>
      </c>
      <c r="K31" s="32">
        <f t="shared" si="6"/>
        <v>0.32192737089074575</v>
      </c>
      <c r="L31" s="55">
        <f t="shared" si="0"/>
        <v>83.123789614278778</v>
      </c>
      <c r="M31" s="45">
        <f t="shared" si="12"/>
        <v>100</v>
      </c>
      <c r="N31" s="33">
        <f t="shared" si="17"/>
        <v>8.4465432980534718</v>
      </c>
      <c r="O31" s="33">
        <f t="shared" si="13"/>
        <v>4.210614491237445</v>
      </c>
      <c r="P31" s="33">
        <f t="shared" si="14"/>
        <v>4.2190525964303056</v>
      </c>
      <c r="Q31" s="33">
        <f t="shared" si="7"/>
        <v>91.570332912332248</v>
      </c>
      <c r="R31" s="33">
        <f t="shared" si="15"/>
        <v>4.2190525964303056</v>
      </c>
      <c r="S31" s="55">
        <f t="shared" si="8"/>
        <v>95.78938550876255</v>
      </c>
      <c r="V31" s="3"/>
    </row>
    <row r="32" spans="1:22" ht="14">
      <c r="A32" s="6">
        <v>13</v>
      </c>
      <c r="B32" s="54">
        <f t="shared" si="1"/>
        <v>63.728031365963112</v>
      </c>
      <c r="C32" s="54">
        <f t="shared" si="2"/>
        <v>81.853221952998169</v>
      </c>
      <c r="D32" s="54">
        <f t="shared" si="9"/>
        <v>1.2705676612806087</v>
      </c>
      <c r="E32" s="32">
        <f t="shared" si="3"/>
        <v>0.12705676612806088</v>
      </c>
      <c r="F32" s="32">
        <f t="shared" si="4"/>
        <v>0.31764191532015218</v>
      </c>
      <c r="G32" s="32">
        <f t="shared" si="5"/>
        <v>0.82586897983239571</v>
      </c>
      <c r="H32" s="32">
        <f t="shared" si="10"/>
        <v>0.63591911447094474</v>
      </c>
      <c r="I32" s="32">
        <f t="shared" si="16"/>
        <v>9.082462412524416</v>
      </c>
      <c r="J32" s="32">
        <f t="shared" si="11"/>
        <v>0.18994986536145098</v>
      </c>
      <c r="K32" s="32">
        <f t="shared" si="6"/>
        <v>0.31700663148951186</v>
      </c>
      <c r="L32" s="55">
        <f t="shared" si="0"/>
        <v>81.853221952998169</v>
      </c>
      <c r="M32" s="45">
        <f t="shared" si="12"/>
        <v>100</v>
      </c>
      <c r="N32" s="33">
        <f t="shared" si="17"/>
        <v>9.082462412524416</v>
      </c>
      <c r="O32" s="33">
        <f t="shared" si="13"/>
        <v>4.5276211227269565</v>
      </c>
      <c r="P32" s="33">
        <f t="shared" si="14"/>
        <v>4.5366945117504578</v>
      </c>
      <c r="Q32" s="33">
        <f t="shared" si="7"/>
        <v>90.93568436552259</v>
      </c>
      <c r="R32" s="33">
        <f t="shared" si="15"/>
        <v>4.5366945117504578</v>
      </c>
      <c r="S32" s="55">
        <f t="shared" si="8"/>
        <v>95.472378877273044</v>
      </c>
      <c r="V32" s="3"/>
    </row>
    <row r="33" spans="1:22" ht="14">
      <c r="A33" s="6">
        <v>14</v>
      </c>
      <c r="B33" s="54">
        <f t="shared" si="1"/>
        <v>61.557220667245815</v>
      </c>
      <c r="C33" s="54">
        <f t="shared" si="2"/>
        <v>80.60207523233376</v>
      </c>
      <c r="D33" s="54">
        <f t="shared" si="9"/>
        <v>1.2511467206644085</v>
      </c>
      <c r="E33" s="32">
        <f t="shared" si="3"/>
        <v>0.12511467206644086</v>
      </c>
      <c r="F33" s="32">
        <f t="shared" si="4"/>
        <v>0.31278668016610212</v>
      </c>
      <c r="G33" s="32">
        <f t="shared" si="5"/>
        <v>0.81324536843186557</v>
      </c>
      <c r="H33" s="32">
        <f t="shared" si="10"/>
        <v>0.62619893369253654</v>
      </c>
      <c r="I33" s="32">
        <f t="shared" si="16"/>
        <v>9.7086613462169531</v>
      </c>
      <c r="J33" s="32">
        <f t="shared" si="11"/>
        <v>0.18704643473932903</v>
      </c>
      <c r="K33" s="32">
        <f t="shared" si="6"/>
        <v>0.31216110680576992</v>
      </c>
      <c r="L33" s="55">
        <f t="shared" si="0"/>
        <v>80.60207523233376</v>
      </c>
      <c r="M33" s="45">
        <f t="shared" si="12"/>
        <v>100</v>
      </c>
      <c r="N33" s="33">
        <f t="shared" si="17"/>
        <v>9.7086613462169531</v>
      </c>
      <c r="O33" s="33">
        <f t="shared" si="13"/>
        <v>4.8397822295327266</v>
      </c>
      <c r="P33" s="33">
        <f t="shared" si="14"/>
        <v>4.8494811919165599</v>
      </c>
      <c r="Q33" s="33">
        <f t="shared" si="7"/>
        <v>90.310736578550717</v>
      </c>
      <c r="R33" s="33">
        <f t="shared" si="15"/>
        <v>4.8494811919165599</v>
      </c>
      <c r="S33" s="55">
        <f t="shared" si="8"/>
        <v>95.160217770467284</v>
      </c>
      <c r="V33" s="3"/>
    </row>
    <row r="34" spans="1:22" ht="14">
      <c r="A34" s="6">
        <v>15</v>
      </c>
      <c r="B34" s="54">
        <f t="shared" si="1"/>
        <v>59.460355750136053</v>
      </c>
      <c r="C34" s="54">
        <f t="shared" si="2"/>
        <v>79.370052598409984</v>
      </c>
      <c r="D34" s="54">
        <f t="shared" si="9"/>
        <v>1.2320226339237763</v>
      </c>
      <c r="E34" s="32">
        <f t="shared" si="3"/>
        <v>0.12320226339237764</v>
      </c>
      <c r="F34" s="32">
        <f t="shared" si="4"/>
        <v>0.30800565848094408</v>
      </c>
      <c r="G34" s="32">
        <f t="shared" si="5"/>
        <v>0.80081471205045462</v>
      </c>
      <c r="H34" s="32">
        <f t="shared" si="10"/>
        <v>0.61662732827885003</v>
      </c>
      <c r="I34" s="32">
        <f t="shared" si="16"/>
        <v>10.325288674495804</v>
      </c>
      <c r="J34" s="32">
        <f t="shared" si="11"/>
        <v>0.1841873837716046</v>
      </c>
      <c r="K34" s="32">
        <f t="shared" si="6"/>
        <v>0.3073896471639822</v>
      </c>
      <c r="L34" s="55">
        <f t="shared" si="0"/>
        <v>79.370052598409984</v>
      </c>
      <c r="M34" s="45">
        <f t="shared" si="12"/>
        <v>100</v>
      </c>
      <c r="N34" s="33">
        <f t="shared" si="17"/>
        <v>10.325288674495804</v>
      </c>
      <c r="O34" s="33">
        <f t="shared" si="13"/>
        <v>5.1471718766967092</v>
      </c>
      <c r="P34" s="33">
        <f t="shared" si="14"/>
        <v>5.157486850397504</v>
      </c>
      <c r="Q34" s="33">
        <f t="shared" si="7"/>
        <v>89.695341272905793</v>
      </c>
      <c r="R34" s="33">
        <f t="shared" si="15"/>
        <v>5.157486850397504</v>
      </c>
      <c r="S34" s="55">
        <f t="shared" si="8"/>
        <v>94.852828123303297</v>
      </c>
      <c r="V34" s="3"/>
    </row>
    <row r="35" spans="1:22" ht="14">
      <c r="A35" s="6">
        <v>16</v>
      </c>
      <c r="B35" s="54">
        <f t="shared" si="1"/>
        <v>57.434917749851756</v>
      </c>
      <c r="C35" s="54">
        <f t="shared" si="2"/>
        <v>78.156861734836099</v>
      </c>
      <c r="D35" s="54">
        <f t="shared" si="9"/>
        <v>1.2131908635738853</v>
      </c>
      <c r="E35" s="32">
        <f t="shared" si="3"/>
        <v>0.12131908635738853</v>
      </c>
      <c r="F35" s="32">
        <f t="shared" si="4"/>
        <v>0.30329771589347132</v>
      </c>
      <c r="G35" s="32">
        <f t="shared" si="5"/>
        <v>0.78857406132302543</v>
      </c>
      <c r="H35" s="32">
        <f t="shared" si="10"/>
        <v>0.60720202721872962</v>
      </c>
      <c r="I35" s="32">
        <f t="shared" si="16"/>
        <v>10.932490701714533</v>
      </c>
      <c r="J35" s="32">
        <f t="shared" si="11"/>
        <v>0.18137203410429581</v>
      </c>
      <c r="K35" s="32">
        <f t="shared" si="6"/>
        <v>0.30269112046168434</v>
      </c>
      <c r="L35" s="55">
        <f t="shared" si="0"/>
        <v>78.156861734836099</v>
      </c>
      <c r="M35" s="45">
        <f t="shared" si="12"/>
        <v>100</v>
      </c>
      <c r="N35" s="33">
        <f t="shared" si="17"/>
        <v>10.932490701714533</v>
      </c>
      <c r="O35" s="33">
        <f t="shared" si="13"/>
        <v>5.4498629971583936</v>
      </c>
      <c r="P35" s="33">
        <f t="shared" si="14"/>
        <v>5.4607845662909753</v>
      </c>
      <c r="Q35" s="33">
        <f t="shared" si="7"/>
        <v>89.089352436550627</v>
      </c>
      <c r="R35" s="33">
        <f t="shared" si="15"/>
        <v>5.4607845662909753</v>
      </c>
      <c r="S35" s="55">
        <f t="shared" si="8"/>
        <v>94.550137002841609</v>
      </c>
      <c r="V35" s="3"/>
    </row>
    <row r="36" spans="1:22" ht="14">
      <c r="A36" s="6">
        <v>17</v>
      </c>
      <c r="B36" s="54">
        <f t="shared" si="1"/>
        <v>55.478473603392253</v>
      </c>
      <c r="C36" s="54">
        <f t="shared" si="2"/>
        <v>76.962214793349631</v>
      </c>
      <c r="D36" s="54">
        <f t="shared" si="9"/>
        <v>1.194646941486468</v>
      </c>
      <c r="E36" s="32">
        <f t="shared" si="3"/>
        <v>0.1194646941486468</v>
      </c>
      <c r="F36" s="32">
        <f t="shared" si="4"/>
        <v>0.298661735371617</v>
      </c>
      <c r="G36" s="32">
        <f t="shared" si="5"/>
        <v>0.7765205119662042</v>
      </c>
      <c r="H36" s="32">
        <f t="shared" si="10"/>
        <v>0.59792079421397726</v>
      </c>
      <c r="I36" s="32">
        <f t="shared" si="16"/>
        <v>11.53041149592851</v>
      </c>
      <c r="J36" s="32">
        <f t="shared" si="11"/>
        <v>0.17859971775222694</v>
      </c>
      <c r="K36" s="32">
        <f t="shared" si="6"/>
        <v>0.29806441190087374</v>
      </c>
      <c r="L36" s="55">
        <f t="shared" si="0"/>
        <v>76.962214793349631</v>
      </c>
      <c r="M36" s="45">
        <f t="shared" si="12"/>
        <v>100</v>
      </c>
      <c r="N36" s="33">
        <f t="shared" si="17"/>
        <v>11.53041149592851</v>
      </c>
      <c r="O36" s="33">
        <f t="shared" si="13"/>
        <v>5.7479274090592671</v>
      </c>
      <c r="P36" s="33">
        <f t="shared" si="14"/>
        <v>5.7594463016625923</v>
      </c>
      <c r="Q36" s="33">
        <f t="shared" si="7"/>
        <v>88.492626289278135</v>
      </c>
      <c r="R36" s="33">
        <f t="shared" si="15"/>
        <v>5.7594463016625923</v>
      </c>
      <c r="S36" s="55">
        <f t="shared" si="8"/>
        <v>94.252072590940728</v>
      </c>
      <c r="V36" s="3"/>
    </row>
    <row r="37" spans="1:22" ht="14">
      <c r="A37" s="6">
        <v>18</v>
      </c>
      <c r="B37" s="54">
        <f t="shared" si="1"/>
        <v>53.588673126814655</v>
      </c>
      <c r="C37" s="54">
        <f t="shared" si="2"/>
        <v>75.785828325519915</v>
      </c>
      <c r="D37" s="54">
        <f t="shared" si="9"/>
        <v>1.1763864678297153</v>
      </c>
      <c r="E37" s="32">
        <f t="shared" si="3"/>
        <v>0.11763864678297153</v>
      </c>
      <c r="F37" s="32">
        <f t="shared" si="4"/>
        <v>0.29409661695742884</v>
      </c>
      <c r="G37" s="32">
        <f t="shared" si="5"/>
        <v>0.76465120408931497</v>
      </c>
      <c r="H37" s="32">
        <f t="shared" si="10"/>
        <v>0.58878142714877257</v>
      </c>
      <c r="I37" s="32">
        <f t="shared" si="16"/>
        <v>12.119192923077282</v>
      </c>
      <c r="J37" s="32">
        <f t="shared" si="11"/>
        <v>0.1758697769405424</v>
      </c>
      <c r="K37" s="32">
        <f t="shared" si="6"/>
        <v>0.29350842372351393</v>
      </c>
      <c r="L37" s="55">
        <f t="shared" si="0"/>
        <v>75.785828325519915</v>
      </c>
      <c r="M37" s="45">
        <f t="shared" si="12"/>
        <v>100</v>
      </c>
      <c r="N37" s="33">
        <f t="shared" si="17"/>
        <v>12.119192923077282</v>
      </c>
      <c r="O37" s="33">
        <f t="shared" si="13"/>
        <v>6.0414358327827813</v>
      </c>
      <c r="P37" s="33">
        <f t="shared" si="14"/>
        <v>6.0535429186200211</v>
      </c>
      <c r="Q37" s="33">
        <f t="shared" si="7"/>
        <v>87.905021248597194</v>
      </c>
      <c r="R37" s="33">
        <f t="shared" si="15"/>
        <v>6.0535429186200211</v>
      </c>
      <c r="S37" s="55">
        <f t="shared" si="8"/>
        <v>93.958564167217219</v>
      </c>
      <c r="V37" s="3"/>
    </row>
    <row r="38" spans="1:22" ht="14">
      <c r="A38" s="6">
        <v>19</v>
      </c>
      <c r="B38" s="54">
        <f t="shared" si="1"/>
        <v>51.763246192068877</v>
      </c>
      <c r="C38" s="54">
        <f t="shared" si="2"/>
        <v>74.627423215495554</v>
      </c>
      <c r="D38" s="54">
        <f t="shared" si="9"/>
        <v>1.1584051100243613</v>
      </c>
      <c r="E38" s="32">
        <f t="shared" si="3"/>
        <v>0.11584051100243614</v>
      </c>
      <c r="F38" s="32">
        <f t="shared" si="4"/>
        <v>0.28960127750609033</v>
      </c>
      <c r="G38" s="32">
        <f t="shared" si="5"/>
        <v>0.75296332151583489</v>
      </c>
      <c r="H38" s="32">
        <f t="shared" si="10"/>
        <v>0.57978175756719286</v>
      </c>
      <c r="I38" s="32">
        <f t="shared" si="16"/>
        <v>12.698974680644476</v>
      </c>
      <c r="J38" s="32">
        <f t="shared" si="11"/>
        <v>0.17318156394864204</v>
      </c>
      <c r="K38" s="32">
        <f t="shared" si="6"/>
        <v>0.28902207495107818</v>
      </c>
      <c r="L38" s="55">
        <f t="shared" si="0"/>
        <v>74.627423215495554</v>
      </c>
      <c r="M38" s="45">
        <f t="shared" si="12"/>
        <v>100</v>
      </c>
      <c r="N38" s="33">
        <f t="shared" si="17"/>
        <v>12.698974680644476</v>
      </c>
      <c r="O38" s="33">
        <f t="shared" si="13"/>
        <v>6.3304579077338596</v>
      </c>
      <c r="P38" s="33">
        <f t="shared" si="14"/>
        <v>6.3431441961261115</v>
      </c>
      <c r="Q38" s="33">
        <f t="shared" si="7"/>
        <v>87.326397896140037</v>
      </c>
      <c r="R38" s="33">
        <f t="shared" si="15"/>
        <v>6.3431441961261115</v>
      </c>
      <c r="S38" s="55">
        <f t="shared" si="8"/>
        <v>93.669542092266141</v>
      </c>
      <c r="V38" s="3"/>
    </row>
    <row r="39" spans="1:22" ht="14">
      <c r="A39" s="6">
        <v>20</v>
      </c>
      <c r="B39" s="54">
        <f t="shared" si="1"/>
        <v>50</v>
      </c>
      <c r="C39" s="54">
        <f t="shared" si="2"/>
        <v>73.486724613779941</v>
      </c>
      <c r="D39" s="54">
        <f t="shared" si="9"/>
        <v>1.1406986017156129</v>
      </c>
      <c r="E39" s="32">
        <f t="shared" si="3"/>
        <v>0.11406986017156129</v>
      </c>
      <c r="F39" s="32">
        <f t="shared" si="4"/>
        <v>0.28517465042890322</v>
      </c>
      <c r="G39" s="32">
        <f t="shared" si="5"/>
        <v>0.74145409111514837</v>
      </c>
      <c r="H39" s="32">
        <f t="shared" si="10"/>
        <v>0.5709196501586643</v>
      </c>
      <c r="I39" s="32">
        <f t="shared" si="16"/>
        <v>13.26989433080314</v>
      </c>
      <c r="J39" s="32">
        <f t="shared" si="11"/>
        <v>0.17053444095648407</v>
      </c>
      <c r="K39" s="32">
        <f t="shared" si="6"/>
        <v>0.28460430112804536</v>
      </c>
      <c r="L39" s="55">
        <f t="shared" si="0"/>
        <v>73.486724613779941</v>
      </c>
      <c r="M39" s="45">
        <f t="shared" si="12"/>
        <v>100</v>
      </c>
      <c r="N39" s="33">
        <f t="shared" si="17"/>
        <v>13.26989433080314</v>
      </c>
      <c r="O39" s="33">
        <f t="shared" si="13"/>
        <v>6.6150622088619047</v>
      </c>
      <c r="P39" s="33">
        <f t="shared" si="14"/>
        <v>6.6283188465550147</v>
      </c>
      <c r="Q39" s="33">
        <f t="shared" si="7"/>
        <v>86.756618944583082</v>
      </c>
      <c r="R39" s="33">
        <f t="shared" si="15"/>
        <v>6.6283188465550147</v>
      </c>
      <c r="S39" s="55">
        <f t="shared" si="8"/>
        <v>93.3849377911381</v>
      </c>
      <c r="V39" s="3"/>
    </row>
    <row r="40" spans="1:22" ht="14">
      <c r="A40" s="6">
        <v>21</v>
      </c>
      <c r="B40" s="54">
        <f t="shared" si="1"/>
        <v>48.296816446242282</v>
      </c>
      <c r="C40" s="54">
        <f t="shared" si="2"/>
        <v>72.363461872018902</v>
      </c>
      <c r="D40" s="54">
        <f t="shared" si="9"/>
        <v>1.1232627417610388</v>
      </c>
      <c r="E40" s="32">
        <f t="shared" si="3"/>
        <v>0.11232627417610389</v>
      </c>
      <c r="F40" s="32">
        <f t="shared" si="4"/>
        <v>0.2808156854402597</v>
      </c>
      <c r="G40" s="32">
        <f t="shared" si="5"/>
        <v>0.73012078214467524</v>
      </c>
      <c r="H40" s="32">
        <f t="shared" si="10"/>
        <v>0.5621930022513999</v>
      </c>
      <c r="I40" s="32">
        <f t="shared" si="16"/>
        <v>13.83208733305454</v>
      </c>
      <c r="J40" s="32">
        <f t="shared" si="11"/>
        <v>0.16792777989327534</v>
      </c>
      <c r="K40" s="32">
        <f t="shared" si="6"/>
        <v>0.2802540540693792</v>
      </c>
      <c r="L40" s="55">
        <f t="shared" si="0"/>
        <v>72.363461872018902</v>
      </c>
      <c r="M40" s="45">
        <f t="shared" si="12"/>
        <v>100</v>
      </c>
      <c r="N40" s="33">
        <f t="shared" si="17"/>
        <v>13.83208733305454</v>
      </c>
      <c r="O40" s="33">
        <f t="shared" si="13"/>
        <v>6.8953162629312841</v>
      </c>
      <c r="P40" s="33">
        <f t="shared" si="14"/>
        <v>6.9091345319952744</v>
      </c>
      <c r="Q40" s="33">
        <f t="shared" si="7"/>
        <v>86.195549205073448</v>
      </c>
      <c r="R40" s="33">
        <f t="shared" si="15"/>
        <v>6.9091345319952744</v>
      </c>
      <c r="S40" s="55">
        <f t="shared" si="8"/>
        <v>93.104683737068726</v>
      </c>
      <c r="V40" s="3"/>
    </row>
    <row r="41" spans="1:22" ht="14">
      <c r="A41" s="6">
        <v>22</v>
      </c>
      <c r="B41" s="54">
        <f t="shared" si="1"/>
        <v>46.65164957684037</v>
      </c>
      <c r="C41" s="54">
        <f t="shared" si="2"/>
        <v>71.257368478785239</v>
      </c>
      <c r="D41" s="54">
        <f t="shared" si="9"/>
        <v>1.1060933932336638</v>
      </c>
      <c r="E41" s="32">
        <f t="shared" si="3"/>
        <v>0.11060933932336639</v>
      </c>
      <c r="F41" s="32">
        <f t="shared" si="4"/>
        <v>0.27652334830841596</v>
      </c>
      <c r="G41" s="32">
        <f t="shared" si="5"/>
        <v>0.71896070560188152</v>
      </c>
      <c r="H41" s="32">
        <f t="shared" si="10"/>
        <v>0.55359974331344874</v>
      </c>
      <c r="I41" s="32">
        <f t="shared" si="16"/>
        <v>14.385687076367988</v>
      </c>
      <c r="J41" s="32">
        <f t="shared" si="11"/>
        <v>0.16536096228843278</v>
      </c>
      <c r="K41" s="32">
        <f t="shared" si="6"/>
        <v>0.27597030161179914</v>
      </c>
      <c r="L41" s="55">
        <f t="shared" si="0"/>
        <v>71.257368478785239</v>
      </c>
      <c r="M41" s="45">
        <f t="shared" si="12"/>
        <v>100</v>
      </c>
      <c r="N41" s="33">
        <f t="shared" si="17"/>
        <v>14.385687076367988</v>
      </c>
      <c r="O41" s="33">
        <f t="shared" si="13"/>
        <v>7.1712865645430828</v>
      </c>
      <c r="P41" s="33">
        <f t="shared" si="14"/>
        <v>7.1856578803036903</v>
      </c>
      <c r="Q41" s="33">
        <f t="shared" si="7"/>
        <v>85.643055555153225</v>
      </c>
      <c r="R41" s="33">
        <f t="shared" si="15"/>
        <v>7.1856578803036903</v>
      </c>
      <c r="S41" s="55">
        <f t="shared" si="8"/>
        <v>92.828713435456919</v>
      </c>
      <c r="V41" s="3"/>
    </row>
    <row r="42" spans="1:22" ht="14">
      <c r="A42" s="6">
        <v>23</v>
      </c>
      <c r="B42" s="54">
        <f t="shared" si="1"/>
        <v>45.062523130541514</v>
      </c>
      <c r="C42" s="54">
        <f t="shared" si="2"/>
        <v>70.168181996344728</v>
      </c>
      <c r="D42" s="54">
        <f t="shared" si="9"/>
        <v>1.0891864824405104</v>
      </c>
      <c r="E42" s="32">
        <f t="shared" si="3"/>
        <v>0.10891864824405105</v>
      </c>
      <c r="F42" s="32">
        <f t="shared" si="4"/>
        <v>0.2722966206101276</v>
      </c>
      <c r="G42" s="32">
        <f t="shared" si="5"/>
        <v>0.70797121358633175</v>
      </c>
      <c r="H42" s="32">
        <f t="shared" si="10"/>
        <v>0.54513783446147546</v>
      </c>
      <c r="I42" s="32">
        <f t="shared" si="16"/>
        <v>14.930824910829465</v>
      </c>
      <c r="J42" s="32">
        <f t="shared" si="11"/>
        <v>0.16283337912485629</v>
      </c>
      <c r="K42" s="32">
        <f t="shared" si="6"/>
        <v>0.27175202736890736</v>
      </c>
      <c r="L42" s="55">
        <f t="shared" si="0"/>
        <v>70.168181996344728</v>
      </c>
      <c r="M42" s="45">
        <f t="shared" si="12"/>
        <v>100</v>
      </c>
      <c r="N42" s="33">
        <f t="shared" si="17"/>
        <v>14.930824910829465</v>
      </c>
      <c r="O42" s="33">
        <f t="shared" si="13"/>
        <v>7.4430385919119901</v>
      </c>
      <c r="P42" s="33">
        <f t="shared" si="14"/>
        <v>7.457954500913818</v>
      </c>
      <c r="Q42" s="33">
        <f t="shared" si="7"/>
        <v>85.099006907174186</v>
      </c>
      <c r="R42" s="33">
        <f t="shared" si="15"/>
        <v>7.457954500913818</v>
      </c>
      <c r="S42" s="55">
        <f t="shared" si="8"/>
        <v>92.556961408088</v>
      </c>
      <c r="V42" s="3"/>
    </row>
    <row r="43" spans="1:22" ht="14">
      <c r="A43" s="6">
        <v>24</v>
      </c>
      <c r="B43" s="54">
        <f t="shared" si="1"/>
        <v>43.527528164806206</v>
      </c>
      <c r="C43" s="54">
        <f t="shared" si="2"/>
        <v>69.095643998388795</v>
      </c>
      <c r="D43" s="54">
        <f t="shared" si="9"/>
        <v>1.0725379979559335</v>
      </c>
      <c r="E43" s="32">
        <f t="shared" si="3"/>
        <v>0.10725379979559335</v>
      </c>
      <c r="F43" s="32">
        <f t="shared" si="4"/>
        <v>0.26813449948898338</v>
      </c>
      <c r="G43" s="32">
        <f t="shared" si="5"/>
        <v>0.69714969867135679</v>
      </c>
      <c r="H43" s="32">
        <f t="shared" si="10"/>
        <v>0.53680526797694472</v>
      </c>
      <c r="I43" s="32">
        <f t="shared" si="16"/>
        <v>15.467630178806409</v>
      </c>
      <c r="J43" s="32">
        <f t="shared" si="11"/>
        <v>0.16034443069441207</v>
      </c>
      <c r="K43" s="32">
        <f t="shared" si="6"/>
        <v>0.26759823049000542</v>
      </c>
      <c r="L43" s="55">
        <f t="shared" si="0"/>
        <v>69.095643998388795</v>
      </c>
      <c r="M43" s="45">
        <f t="shared" si="12"/>
        <v>100</v>
      </c>
      <c r="N43" s="33">
        <f t="shared" si="17"/>
        <v>15.467630178806409</v>
      </c>
      <c r="O43" s="33">
        <f t="shared" si="13"/>
        <v>7.7106368224019954</v>
      </c>
      <c r="P43" s="33">
        <f t="shared" si="14"/>
        <v>7.7260890004028013</v>
      </c>
      <c r="Q43" s="33">
        <f t="shared" si="7"/>
        <v>84.563274177195211</v>
      </c>
      <c r="R43" s="33">
        <f t="shared" si="15"/>
        <v>7.7260890004028013</v>
      </c>
      <c r="S43" s="55">
        <f t="shared" si="8"/>
        <v>92.289363177598005</v>
      </c>
      <c r="V43" s="3"/>
    </row>
    <row r="44" spans="1:22" ht="14">
      <c r="A44" s="6">
        <v>25</v>
      </c>
      <c r="B44" s="54">
        <f t="shared" si="1"/>
        <v>42.044820762685724</v>
      </c>
      <c r="C44" s="54">
        <f t="shared" si="2"/>
        <v>68.039500008718846</v>
      </c>
      <c r="D44" s="54">
        <f t="shared" si="9"/>
        <v>1.0561439896699483</v>
      </c>
      <c r="E44" s="32">
        <f t="shared" si="3"/>
        <v>0.10561439896699483</v>
      </c>
      <c r="F44" s="32">
        <f t="shared" si="4"/>
        <v>0.26403599741748707</v>
      </c>
      <c r="G44" s="32">
        <f t="shared" si="5"/>
        <v>0.68649359328546644</v>
      </c>
      <c r="H44" s="32">
        <f t="shared" si="10"/>
        <v>0.5286000668298092</v>
      </c>
      <c r="I44" s="32">
        <f t="shared" si="16"/>
        <v>15.99623024563622</v>
      </c>
      <c r="J44" s="32">
        <f t="shared" si="11"/>
        <v>0.15789352645565724</v>
      </c>
      <c r="K44" s="32">
        <f t="shared" si="6"/>
        <v>0.26350792542265206</v>
      </c>
      <c r="L44" s="55">
        <f t="shared" si="0"/>
        <v>68.039500008718846</v>
      </c>
      <c r="M44" s="45">
        <f t="shared" si="12"/>
        <v>100</v>
      </c>
      <c r="N44" s="33">
        <f t="shared" si="17"/>
        <v>15.99623024563622</v>
      </c>
      <c r="O44" s="33">
        <f t="shared" si="13"/>
        <v>7.9741447478246474</v>
      </c>
      <c r="P44" s="33">
        <f t="shared" si="14"/>
        <v>7.9901249978202884</v>
      </c>
      <c r="Q44" s="33">
        <f t="shared" si="7"/>
        <v>84.035730254355059</v>
      </c>
      <c r="R44" s="33">
        <f t="shared" si="15"/>
        <v>7.9901249978202884</v>
      </c>
      <c r="S44" s="55">
        <f t="shared" si="8"/>
        <v>92.025855252175347</v>
      </c>
      <c r="V44" s="3"/>
    </row>
    <row r="45" spans="1:22" ht="14">
      <c r="A45" s="6">
        <v>26</v>
      </c>
      <c r="B45" s="54">
        <f t="shared" si="1"/>
        <v>40.612619817811776</v>
      </c>
      <c r="C45" s="54">
        <f t="shared" si="2"/>
        <v>66.999499440867822</v>
      </c>
      <c r="D45" s="54">
        <f t="shared" si="9"/>
        <v>1.040000567851024</v>
      </c>
      <c r="E45" s="32">
        <f t="shared" si="3"/>
        <v>0.10400005678510241</v>
      </c>
      <c r="F45" s="32">
        <f t="shared" si="4"/>
        <v>0.260000141962756</v>
      </c>
      <c r="G45" s="32">
        <f t="shared" si="5"/>
        <v>0.67600036910316563</v>
      </c>
      <c r="H45" s="32">
        <f t="shared" si="10"/>
        <v>0.52052028420943752</v>
      </c>
      <c r="I45" s="32">
        <f t="shared" si="16"/>
        <v>16.516750529845655</v>
      </c>
      <c r="J45" s="32">
        <f t="shared" si="11"/>
        <v>0.15548008489372811</v>
      </c>
      <c r="K45" s="32">
        <f t="shared" si="6"/>
        <v>0.25948014167883049</v>
      </c>
      <c r="L45" s="55">
        <f t="shared" si="0"/>
        <v>66.999499440867822</v>
      </c>
      <c r="M45" s="45">
        <f t="shared" si="12"/>
        <v>100</v>
      </c>
      <c r="N45" s="33">
        <f t="shared" si="17"/>
        <v>16.516750529845655</v>
      </c>
      <c r="O45" s="33">
        <f t="shared" si="13"/>
        <v>8.2336248895034778</v>
      </c>
      <c r="P45" s="33">
        <f t="shared" si="14"/>
        <v>8.2501251397830444</v>
      </c>
      <c r="Q45" s="33">
        <f t="shared" si="7"/>
        <v>83.516249970713474</v>
      </c>
      <c r="R45" s="33">
        <f t="shared" si="15"/>
        <v>8.2501251397830444</v>
      </c>
      <c r="S45" s="55">
        <f t="shared" si="8"/>
        <v>91.766375110496512</v>
      </c>
      <c r="V45" s="3"/>
    </row>
    <row r="46" spans="1:22" ht="14">
      <c r="A46" s="6">
        <v>27</v>
      </c>
      <c r="B46" s="54">
        <f t="shared" si="1"/>
        <v>39.229204894837537</v>
      </c>
      <c r="C46" s="54">
        <f t="shared" si="2"/>
        <v>65.975395538644705</v>
      </c>
      <c r="D46" s="54">
        <f t="shared" si="9"/>
        <v>1.0241039022231178</v>
      </c>
      <c r="E46" s="32">
        <f t="shared" si="3"/>
        <v>0.10241039022231178</v>
      </c>
      <c r="F46" s="32">
        <f t="shared" si="4"/>
        <v>0.25602597555577944</v>
      </c>
      <c r="G46" s="32">
        <f t="shared" si="5"/>
        <v>0.66566753644502652</v>
      </c>
      <c r="H46" s="32">
        <f t="shared" si="10"/>
        <v>0.51256400306267047</v>
      </c>
      <c r="I46" s="32">
        <f t="shared" si="16"/>
        <v>17.029314532908327</v>
      </c>
      <c r="J46" s="32">
        <f t="shared" si="11"/>
        <v>0.15310353338235605</v>
      </c>
      <c r="K46" s="32">
        <f t="shared" si="6"/>
        <v>0.25551392360466785</v>
      </c>
      <c r="L46" s="55">
        <f t="shared" si="0"/>
        <v>65.975395538644705</v>
      </c>
      <c r="M46" s="45">
        <f t="shared" si="12"/>
        <v>100</v>
      </c>
      <c r="N46" s="33">
        <f t="shared" si="17"/>
        <v>17.029314532908327</v>
      </c>
      <c r="O46" s="33">
        <f t="shared" si="13"/>
        <v>8.4891388131081449</v>
      </c>
      <c r="P46" s="33">
        <f t="shared" si="14"/>
        <v>8.5061511153388238</v>
      </c>
      <c r="Q46" s="33">
        <f t="shared" si="7"/>
        <v>83.004710071553035</v>
      </c>
      <c r="R46" s="33">
        <f t="shared" si="15"/>
        <v>8.5061511153388238</v>
      </c>
      <c r="S46" s="55">
        <f t="shared" si="8"/>
        <v>91.510861186891859</v>
      </c>
      <c r="V46" s="3"/>
    </row>
    <row r="47" spans="1:22" ht="14">
      <c r="A47" s="6">
        <v>28</v>
      </c>
      <c r="B47" s="54">
        <f t="shared" si="1"/>
        <v>37.892914162759958</v>
      </c>
      <c r="C47" s="54">
        <f t="shared" si="2"/>
        <v>64.966945317587914</v>
      </c>
      <c r="D47" s="54">
        <f t="shared" si="9"/>
        <v>1.0084502210567905</v>
      </c>
      <c r="E47" s="32">
        <f t="shared" si="3"/>
        <v>0.10084502210567906</v>
      </c>
      <c r="F47" s="32">
        <f t="shared" si="4"/>
        <v>0.25211255526419762</v>
      </c>
      <c r="G47" s="32">
        <f t="shared" si="5"/>
        <v>0.65549264368691385</v>
      </c>
      <c r="H47" s="32">
        <f t="shared" si="10"/>
        <v>0.50472933563892364</v>
      </c>
      <c r="I47" s="32">
        <f t="shared" si="16"/>
        <v>17.534043868547251</v>
      </c>
      <c r="J47" s="32">
        <f t="shared" si="11"/>
        <v>0.15076330804799021</v>
      </c>
      <c r="K47" s="32">
        <f t="shared" si="6"/>
        <v>0.25160833015366924</v>
      </c>
      <c r="L47" s="55">
        <f t="shared" si="0"/>
        <v>64.966945317587914</v>
      </c>
      <c r="M47" s="45">
        <f t="shared" si="12"/>
        <v>100</v>
      </c>
      <c r="N47" s="33">
        <f t="shared" si="17"/>
        <v>17.534043868547251</v>
      </c>
      <c r="O47" s="33">
        <f t="shared" si="13"/>
        <v>8.7407471432618138</v>
      </c>
      <c r="P47" s="33">
        <f t="shared" si="14"/>
        <v>8.7582636706030215</v>
      </c>
      <c r="Q47" s="33">
        <f t="shared" si="7"/>
        <v>82.500989186135172</v>
      </c>
      <c r="R47" s="33">
        <f t="shared" si="15"/>
        <v>8.7582636706030215</v>
      </c>
      <c r="S47" s="55">
        <f t="shared" si="8"/>
        <v>91.259252856738186</v>
      </c>
      <c r="V47" s="3"/>
    </row>
    <row r="48" spans="1:22" ht="14">
      <c r="A48" s="6">
        <v>29</v>
      </c>
      <c r="B48" s="54">
        <f t="shared" si="1"/>
        <v>36.602142398640645</v>
      </c>
      <c r="C48" s="54">
        <f t="shared" si="2"/>
        <v>63.973909507313273</v>
      </c>
      <c r="D48" s="54">
        <f t="shared" si="9"/>
        <v>0.99303581027464105</v>
      </c>
      <c r="E48" s="32">
        <f t="shared" si="3"/>
        <v>9.9303581027464116E-2</v>
      </c>
      <c r="F48" s="32">
        <f t="shared" si="4"/>
        <v>0.24825895256866026</v>
      </c>
      <c r="G48" s="32">
        <f t="shared" si="5"/>
        <v>0.64547327667851673</v>
      </c>
      <c r="H48" s="32">
        <f t="shared" si="10"/>
        <v>0.49701442304245791</v>
      </c>
      <c r="I48" s="32">
        <f t="shared" si="16"/>
        <v>18.031058291589709</v>
      </c>
      <c r="J48" s="32">
        <f t="shared" si="11"/>
        <v>0.14845885363605882</v>
      </c>
      <c r="K48" s="32">
        <f t="shared" si="6"/>
        <v>0.24776243466352293</v>
      </c>
      <c r="L48" s="55">
        <f t="shared" si="0"/>
        <v>63.973909507313273</v>
      </c>
      <c r="M48" s="45">
        <f t="shared" si="12"/>
        <v>100</v>
      </c>
      <c r="N48" s="33">
        <f t="shared" si="17"/>
        <v>18.031058291589709</v>
      </c>
      <c r="O48" s="33">
        <f t="shared" si="13"/>
        <v>8.9885095779253366</v>
      </c>
      <c r="P48" s="33">
        <f t="shared" si="14"/>
        <v>9.0065226231716817</v>
      </c>
      <c r="Q48" s="33">
        <f t="shared" si="7"/>
        <v>82.004967798902982</v>
      </c>
      <c r="R48" s="33">
        <f t="shared" si="15"/>
        <v>9.0065226231716817</v>
      </c>
      <c r="S48" s="55">
        <f t="shared" si="8"/>
        <v>91.011490422074658</v>
      </c>
      <c r="V48" s="3"/>
    </row>
    <row r="49" spans="1:22" ht="14">
      <c r="A49" s="6">
        <v>30</v>
      </c>
      <c r="B49" s="54">
        <f t="shared" si="1"/>
        <v>35.355339059327378</v>
      </c>
      <c r="C49" s="54">
        <f t="shared" si="2"/>
        <v>62.996052494743658</v>
      </c>
      <c r="D49" s="54">
        <f t="shared" si="9"/>
        <v>0.97785701256961488</v>
      </c>
      <c r="E49" s="32">
        <f t="shared" si="3"/>
        <v>9.7785701256961496E-2</v>
      </c>
      <c r="F49" s="32">
        <f t="shared" si="4"/>
        <v>0.24446425314240372</v>
      </c>
      <c r="G49" s="32">
        <f t="shared" si="5"/>
        <v>0.63560705817024965</v>
      </c>
      <c r="H49" s="32">
        <f t="shared" si="10"/>
        <v>0.48941743479109223</v>
      </c>
      <c r="I49" s="32">
        <f t="shared" si="16"/>
        <v>18.520475726380802</v>
      </c>
      <c r="J49" s="32">
        <f t="shared" si="11"/>
        <v>0.14618962337915742</v>
      </c>
      <c r="K49" s="32">
        <f t="shared" si="6"/>
        <v>0.24397532463611893</v>
      </c>
      <c r="L49" s="55">
        <f t="shared" si="0"/>
        <v>62.996052494743658</v>
      </c>
      <c r="M49" s="45">
        <f t="shared" si="12"/>
        <v>100</v>
      </c>
      <c r="N49" s="33">
        <f t="shared" si="17"/>
        <v>18.520475726380802</v>
      </c>
      <c r="O49" s="33">
        <f t="shared" si="13"/>
        <v>9.2324849025614562</v>
      </c>
      <c r="P49" s="33">
        <f t="shared" si="14"/>
        <v>9.2509868763140854</v>
      </c>
      <c r="Q49" s="33">
        <f t="shared" si="7"/>
        <v>81.51652822112446</v>
      </c>
      <c r="R49" s="33">
        <f t="shared" si="15"/>
        <v>9.2509868763140854</v>
      </c>
      <c r="S49" s="55">
        <f t="shared" si="8"/>
        <v>90.767515097438547</v>
      </c>
      <c r="V49" s="3"/>
    </row>
    <row r="50" spans="1:22" ht="14">
      <c r="A50" s="6">
        <v>31</v>
      </c>
      <c r="B50" s="54">
        <f t="shared" si="1"/>
        <v>34.151006418859893</v>
      </c>
      <c r="C50" s="54">
        <f t="shared" si="2"/>
        <v>62.033142268205964</v>
      </c>
      <c r="D50" s="54">
        <f t="shared" si="9"/>
        <v>0.96291022653769431</v>
      </c>
      <c r="E50" s="32">
        <f t="shared" si="3"/>
        <v>9.6291022653769431E-2</v>
      </c>
      <c r="F50" s="32">
        <f t="shared" si="4"/>
        <v>0.24072755663442358</v>
      </c>
      <c r="G50" s="32">
        <f t="shared" si="5"/>
        <v>0.6258916472495013</v>
      </c>
      <c r="H50" s="32">
        <f t="shared" si="10"/>
        <v>0.48193656838211602</v>
      </c>
      <c r="I50" s="32">
        <f t="shared" si="16"/>
        <v>19.002412294762919</v>
      </c>
      <c r="J50" s="32">
        <f t="shared" si="11"/>
        <v>0.14395507886738529</v>
      </c>
      <c r="K50" s="32">
        <f t="shared" si="6"/>
        <v>0.24024610152115472</v>
      </c>
      <c r="L50" s="55">
        <f t="shared" si="0"/>
        <v>62.033142268205964</v>
      </c>
      <c r="M50" s="45">
        <f t="shared" si="12"/>
        <v>100</v>
      </c>
      <c r="N50" s="33">
        <f t="shared" si="17"/>
        <v>19.002412294762919</v>
      </c>
      <c r="O50" s="33">
        <f t="shared" si="13"/>
        <v>9.4727310040826112</v>
      </c>
      <c r="P50" s="33">
        <f t="shared" si="14"/>
        <v>9.491714432948509</v>
      </c>
      <c r="Q50" s="33">
        <f t="shared" si="7"/>
        <v>81.035554562968883</v>
      </c>
      <c r="R50" s="33">
        <f t="shared" si="15"/>
        <v>9.491714432948509</v>
      </c>
      <c r="S50" s="55">
        <f t="shared" si="8"/>
        <v>90.527268995917396</v>
      </c>
      <c r="V50" s="3"/>
    </row>
    <row r="51" spans="1:22" ht="14">
      <c r="A51" s="6">
        <v>32</v>
      </c>
      <c r="B51" s="54">
        <f t="shared" si="1"/>
        <v>32.987697769322359</v>
      </c>
      <c r="C51" s="54">
        <f t="shared" si="2"/>
        <v>61.084950362382862</v>
      </c>
      <c r="D51" s="54">
        <f t="shared" si="9"/>
        <v>0.94819190582310142</v>
      </c>
      <c r="E51" s="32">
        <f t="shared" si="3"/>
        <v>9.4819190582310142E-2</v>
      </c>
      <c r="F51" s="32">
        <f t="shared" si="4"/>
        <v>0.23704797645577536</v>
      </c>
      <c r="G51" s="32">
        <f t="shared" si="5"/>
        <v>0.61632473878501592</v>
      </c>
      <c r="H51" s="32">
        <f t="shared" si="10"/>
        <v>0.47457004886446225</v>
      </c>
      <c r="I51" s="32">
        <f t="shared" si="16"/>
        <v>19.47698234362738</v>
      </c>
      <c r="J51" s="32">
        <f t="shared" si="11"/>
        <v>0.14175468992055368</v>
      </c>
      <c r="K51" s="32">
        <f t="shared" si="6"/>
        <v>0.23657388050286382</v>
      </c>
      <c r="L51" s="55">
        <f t="shared" si="0"/>
        <v>61.084950362382862</v>
      </c>
      <c r="M51" s="45">
        <f t="shared" si="12"/>
        <v>100</v>
      </c>
      <c r="N51" s="33">
        <f t="shared" si="17"/>
        <v>19.47698234362738</v>
      </c>
      <c r="O51" s="33">
        <f t="shared" si="13"/>
        <v>9.7093048845854746</v>
      </c>
      <c r="P51" s="33">
        <f t="shared" si="14"/>
        <v>9.7287624094042844</v>
      </c>
      <c r="Q51" s="33">
        <f t="shared" si="7"/>
        <v>80.561932706010239</v>
      </c>
      <c r="R51" s="33">
        <f t="shared" si="15"/>
        <v>9.7287624094042844</v>
      </c>
      <c r="S51" s="55">
        <f t="shared" si="8"/>
        <v>90.290695115414522</v>
      </c>
      <c r="V51" s="3"/>
    </row>
    <row r="52" spans="1:22" ht="14">
      <c r="A52" s="6">
        <v>33</v>
      </c>
      <c r="B52" s="54">
        <f t="shared" ref="B52:B83" si="18">100*(0.5)^(A52/B$3)</f>
        <v>31.864015682981556</v>
      </c>
      <c r="C52" s="54">
        <f t="shared" ref="C52:C83" si="19">100*(0.5)^(A52/B$4)</f>
        <v>60.151251804105833</v>
      </c>
      <c r="D52" s="54">
        <f t="shared" si="9"/>
        <v>0.93369855827702963</v>
      </c>
      <c r="E52" s="32">
        <f t="shared" ref="E52:E83" si="20">$D52*B$10</f>
        <v>9.3369855827702963E-2</v>
      </c>
      <c r="F52" s="32">
        <f t="shared" ref="F52:F83" si="21">$D52*B$11</f>
        <v>0.23342463956925741</v>
      </c>
      <c r="G52" s="32">
        <f t="shared" ref="G52:G83" si="22">$D52*B$12</f>
        <v>0.60690406288006926</v>
      </c>
      <c r="H52" s="32">
        <f t="shared" si="10"/>
        <v>0.46731612841765335</v>
      </c>
      <c r="I52" s="32">
        <f t="shared" si="16"/>
        <v>19.944298472045034</v>
      </c>
      <c r="J52" s="32">
        <f t="shared" si="11"/>
        <v>0.13958793446241591</v>
      </c>
      <c r="K52" s="32">
        <f t="shared" si="6"/>
        <v>0.23295779029011887</v>
      </c>
      <c r="L52" s="55">
        <f t="shared" si="0"/>
        <v>60.151251804105833</v>
      </c>
      <c r="M52" s="45">
        <f t="shared" si="12"/>
        <v>100</v>
      </c>
      <c r="N52" s="33">
        <f t="shared" si="17"/>
        <v>19.944298472045034</v>
      </c>
      <c r="O52" s="33">
        <f t="shared" si="13"/>
        <v>9.9422626748755931</v>
      </c>
      <c r="P52" s="33">
        <f t="shared" si="14"/>
        <v>9.9621870489735418</v>
      </c>
      <c r="Q52" s="33">
        <f t="shared" si="7"/>
        <v>80.095550276150874</v>
      </c>
      <c r="R52" s="33">
        <f t="shared" si="15"/>
        <v>9.9621870489735418</v>
      </c>
      <c r="S52" s="55">
        <f t="shared" si="8"/>
        <v>90.057737325124421</v>
      </c>
      <c r="V52" s="3"/>
    </row>
    <row r="53" spans="1:22" ht="14">
      <c r="A53" s="6">
        <v>34</v>
      </c>
      <c r="B53" s="54">
        <f t="shared" si="18"/>
        <v>30.778610333622908</v>
      </c>
      <c r="C53" s="54">
        <f t="shared" si="19"/>
        <v>59.231825058976838</v>
      </c>
      <c r="D53" s="54">
        <f t="shared" si="9"/>
        <v>0.91942674512899458</v>
      </c>
      <c r="E53" s="32">
        <f t="shared" si="20"/>
        <v>9.1942674512899461E-2</v>
      </c>
      <c r="F53" s="32">
        <f t="shared" si="21"/>
        <v>0.22985668628224865</v>
      </c>
      <c r="G53" s="32">
        <f t="shared" si="22"/>
        <v>0.59762738433384655</v>
      </c>
      <c r="H53" s="32">
        <f t="shared" si="10"/>
        <v>0.46017308593706185</v>
      </c>
      <c r="I53" s="32">
        <f t="shared" si="16"/>
        <v>20.404471557982095</v>
      </c>
      <c r="J53" s="32">
        <f t="shared" si="11"/>
        <v>0.13745429839678469</v>
      </c>
      <c r="K53" s="32">
        <f t="shared" si="6"/>
        <v>0.22939697290968414</v>
      </c>
      <c r="L53" s="55">
        <f t="shared" si="0"/>
        <v>59.231825058976838</v>
      </c>
      <c r="M53" s="45">
        <f t="shared" si="12"/>
        <v>100</v>
      </c>
      <c r="N53" s="33">
        <f t="shared" si="17"/>
        <v>20.404471557982095</v>
      </c>
      <c r="O53" s="33">
        <f t="shared" si="13"/>
        <v>10.171659647785278</v>
      </c>
      <c r="P53" s="33">
        <f t="shared" si="14"/>
        <v>10.19204373525579</v>
      </c>
      <c r="Q53" s="33">
        <f t="shared" si="7"/>
        <v>79.63629661695893</v>
      </c>
      <c r="R53" s="33">
        <f t="shared" si="15"/>
        <v>10.19204373525579</v>
      </c>
      <c r="S53" s="55">
        <f t="shared" si="8"/>
        <v>89.828340352214724</v>
      </c>
      <c r="V53" s="3"/>
    </row>
    <row r="54" spans="1:22" ht="14">
      <c r="A54" s="6">
        <v>35</v>
      </c>
      <c r="B54" s="54">
        <f t="shared" si="18"/>
        <v>29.73017787506803</v>
      </c>
      <c r="C54" s="54">
        <f t="shared" si="19"/>
        <v>58.326451978805828</v>
      </c>
      <c r="D54" s="54">
        <f t="shared" si="9"/>
        <v>0.90537308017101026</v>
      </c>
      <c r="E54" s="32">
        <f t="shared" si="20"/>
        <v>9.0537308017101026E-2</v>
      </c>
      <c r="F54" s="32">
        <f t="shared" si="21"/>
        <v>0.22634327004275256</v>
      </c>
      <c r="G54" s="32">
        <f t="shared" si="22"/>
        <v>0.58849250211115667</v>
      </c>
      <c r="H54" s="32">
        <f t="shared" si="10"/>
        <v>0.45313922662559064</v>
      </c>
      <c r="I54" s="32">
        <f t="shared" si="16"/>
        <v>20.857610784607687</v>
      </c>
      <c r="J54" s="32">
        <f t="shared" si="11"/>
        <v>0.13535327548556603</v>
      </c>
      <c r="K54" s="32">
        <f t="shared" si="6"/>
        <v>0.22589058350266705</v>
      </c>
      <c r="L54" s="55">
        <f t="shared" si="0"/>
        <v>58.326451978805828</v>
      </c>
      <c r="M54" s="45">
        <f t="shared" si="12"/>
        <v>100</v>
      </c>
      <c r="N54" s="33">
        <f t="shared" si="17"/>
        <v>20.857610784607687</v>
      </c>
      <c r="O54" s="33">
        <f t="shared" si="13"/>
        <v>10.397550231287944</v>
      </c>
      <c r="P54" s="33">
        <f t="shared" si="14"/>
        <v>10.418387005298543</v>
      </c>
      <c r="Q54" s="33">
        <f t="shared" si="7"/>
        <v>79.184062763413522</v>
      </c>
      <c r="R54" s="33">
        <f t="shared" si="15"/>
        <v>10.418387005298543</v>
      </c>
      <c r="S54" s="55">
        <f t="shared" si="8"/>
        <v>89.602449768712063</v>
      </c>
      <c r="V54" s="3"/>
    </row>
    <row r="55" spans="1:22" ht="14">
      <c r="A55" s="6">
        <v>36</v>
      </c>
      <c r="B55" s="54">
        <f t="shared" si="18"/>
        <v>28.717458874925878</v>
      </c>
      <c r="C55" s="54">
        <f t="shared" si="19"/>
        <v>57.434917749851756</v>
      </c>
      <c r="D55" s="54">
        <f t="shared" si="9"/>
        <v>0.89153422895407175</v>
      </c>
      <c r="E55" s="32">
        <f t="shared" si="20"/>
        <v>8.9153422895407175E-2</v>
      </c>
      <c r="F55" s="32">
        <f t="shared" si="21"/>
        <v>0.22288355723851794</v>
      </c>
      <c r="G55" s="32">
        <f t="shared" si="22"/>
        <v>0.57949724882014664</v>
      </c>
      <c r="H55" s="32">
        <f t="shared" si="10"/>
        <v>0.4462128815915129</v>
      </c>
      <c r="I55" s="32">
        <f t="shared" si="16"/>
        <v>21.3038236661992</v>
      </c>
      <c r="J55" s="32">
        <f t="shared" si="11"/>
        <v>0.13328436722863374</v>
      </c>
      <c r="K55" s="32">
        <f t="shared" si="6"/>
        <v>0.22243779012404091</v>
      </c>
      <c r="L55" s="55">
        <f t="shared" si="0"/>
        <v>57.434917749851756</v>
      </c>
      <c r="M55" s="45">
        <f t="shared" si="12"/>
        <v>100</v>
      </c>
      <c r="N55" s="33">
        <f t="shared" si="17"/>
        <v>21.3038236661992</v>
      </c>
      <c r="O55" s="33">
        <f t="shared" si="13"/>
        <v>10.619988021411984</v>
      </c>
      <c r="P55" s="33">
        <f t="shared" si="14"/>
        <v>10.641270562537061</v>
      </c>
      <c r="Q55" s="33">
        <f t="shared" si="7"/>
        <v>78.738741416050956</v>
      </c>
      <c r="R55" s="33">
        <f t="shared" si="15"/>
        <v>10.641270562537061</v>
      </c>
      <c r="S55" s="55">
        <f t="shared" si="8"/>
        <v>89.380011978588016</v>
      </c>
      <c r="V55" s="3"/>
    </row>
    <row r="56" spans="1:22" ht="14">
      <c r="A56" s="6">
        <v>37</v>
      </c>
      <c r="B56" s="54">
        <f t="shared" si="18"/>
        <v>27.739236801696126</v>
      </c>
      <c r="C56" s="54">
        <f t="shared" si="19"/>
        <v>56.557010841854648</v>
      </c>
      <c r="D56" s="54">
        <f t="shared" si="9"/>
        <v>0.87790690799710802</v>
      </c>
      <c r="E56" s="32">
        <f t="shared" si="20"/>
        <v>8.7790690799710802E-2</v>
      </c>
      <c r="F56" s="32">
        <f t="shared" si="21"/>
        <v>0.21947672699927701</v>
      </c>
      <c r="G56" s="32">
        <f t="shared" si="22"/>
        <v>0.57063949019812021</v>
      </c>
      <c r="H56" s="32">
        <f t="shared" si="10"/>
        <v>0.43939240745255259</v>
      </c>
      <c r="I56" s="32">
        <f t="shared" si="16"/>
        <v>21.743216073651752</v>
      </c>
      <c r="J56" s="32">
        <f t="shared" si="11"/>
        <v>0.13124708274556762</v>
      </c>
      <c r="K56" s="32">
        <f t="shared" si="6"/>
        <v>0.21903777354527842</v>
      </c>
      <c r="L56" s="55">
        <f t="shared" si="0"/>
        <v>56.557010841854648</v>
      </c>
      <c r="M56" s="45">
        <f t="shared" si="12"/>
        <v>100</v>
      </c>
      <c r="N56" s="33">
        <f t="shared" si="17"/>
        <v>21.743216073651752</v>
      </c>
      <c r="O56" s="33">
        <f t="shared" si="13"/>
        <v>10.839025794957262</v>
      </c>
      <c r="P56" s="33">
        <f t="shared" si="14"/>
        <v>10.860747289536338</v>
      </c>
      <c r="Q56" s="33">
        <f t="shared" si="7"/>
        <v>78.3002269155064</v>
      </c>
      <c r="R56" s="33">
        <f t="shared" si="15"/>
        <v>10.860747289536338</v>
      </c>
      <c r="S56" s="55">
        <f t="shared" si="8"/>
        <v>89.160974205042734</v>
      </c>
      <c r="V56" s="3"/>
    </row>
    <row r="57" spans="1:22" ht="14">
      <c r="A57" s="6">
        <v>38</v>
      </c>
      <c r="B57" s="54">
        <f t="shared" si="18"/>
        <v>26.794336563407327</v>
      </c>
      <c r="C57" s="54">
        <f t="shared" si="19"/>
        <v>55.692522957846847</v>
      </c>
      <c r="D57" s="54">
        <f t="shared" si="9"/>
        <v>0.86448788400780074</v>
      </c>
      <c r="E57" s="32">
        <f t="shared" si="20"/>
        <v>8.6448788400780074E-2</v>
      </c>
      <c r="F57" s="32">
        <f t="shared" si="21"/>
        <v>0.21612197100195019</v>
      </c>
      <c r="G57" s="32">
        <f t="shared" si="22"/>
        <v>0.56191712460507048</v>
      </c>
      <c r="H57" s="32">
        <f t="shared" si="10"/>
        <v>0.43267618594590429</v>
      </c>
      <c r="I57" s="32">
        <f t="shared" si="16"/>
        <v>22.175892259597656</v>
      </c>
      <c r="J57" s="32">
        <f t="shared" si="11"/>
        <v>0.12924093865916619</v>
      </c>
      <c r="K57" s="32">
        <f t="shared" si="6"/>
        <v>0.21568972705994627</v>
      </c>
      <c r="L57" s="55">
        <f t="shared" si="0"/>
        <v>55.692522957846847</v>
      </c>
      <c r="M57" s="45">
        <f t="shared" si="12"/>
        <v>100</v>
      </c>
      <c r="N57" s="33">
        <f t="shared" si="17"/>
        <v>22.175892259597656</v>
      </c>
      <c r="O57" s="33">
        <f t="shared" si="13"/>
        <v>11.054715522017208</v>
      </c>
      <c r="P57" s="33">
        <f t="shared" si="14"/>
        <v>11.076869260538288</v>
      </c>
      <c r="Q57" s="33">
        <f t="shared" si="7"/>
        <v>77.868415217444507</v>
      </c>
      <c r="R57" s="33">
        <f t="shared" si="15"/>
        <v>11.076869260538288</v>
      </c>
      <c r="S57" s="55">
        <f t="shared" si="8"/>
        <v>88.945284477982796</v>
      </c>
      <c r="V57" s="3"/>
    </row>
    <row r="58" spans="1:22" ht="14">
      <c r="A58" s="6">
        <v>39</v>
      </c>
      <c r="B58" s="54">
        <f t="shared" si="18"/>
        <v>25.881623096034438</v>
      </c>
      <c r="C58" s="54">
        <f t="shared" si="19"/>
        <v>54.841248984731294</v>
      </c>
      <c r="D58" s="54">
        <f t="shared" si="9"/>
        <v>0.85127397311555342</v>
      </c>
      <c r="E58" s="32">
        <f t="shared" si="20"/>
        <v>8.5127397311555345E-2</v>
      </c>
      <c r="F58" s="32">
        <f t="shared" si="21"/>
        <v>0.21281849327888835</v>
      </c>
      <c r="G58" s="32">
        <f t="shared" si="22"/>
        <v>0.55332808252510979</v>
      </c>
      <c r="H58" s="32">
        <f t="shared" si="10"/>
        <v>0.42606262354433455</v>
      </c>
      <c r="I58" s="32">
        <f t="shared" si="16"/>
        <v>22.601954883141993</v>
      </c>
      <c r="J58" s="32">
        <f t="shared" si="11"/>
        <v>0.12726545898077524</v>
      </c>
      <c r="K58" s="32">
        <f t="shared" si="6"/>
        <v>0.21239285629233057</v>
      </c>
      <c r="L58" s="55">
        <f t="shared" si="0"/>
        <v>54.841248984731294</v>
      </c>
      <c r="M58" s="45">
        <f t="shared" si="12"/>
        <v>100</v>
      </c>
      <c r="N58" s="33">
        <f t="shared" si="17"/>
        <v>22.601954883141993</v>
      </c>
      <c r="O58" s="33">
        <f t="shared" si="13"/>
        <v>11.267108378309539</v>
      </c>
      <c r="P58" s="33">
        <f t="shared" si="14"/>
        <v>11.289687753817176</v>
      </c>
      <c r="Q58" s="33">
        <f t="shared" si="7"/>
        <v>77.443203867873279</v>
      </c>
      <c r="R58" s="33">
        <f t="shared" si="15"/>
        <v>11.289687753817176</v>
      </c>
      <c r="S58" s="55">
        <f t="shared" si="8"/>
        <v>88.732891621690456</v>
      </c>
      <c r="V58" s="3"/>
    </row>
    <row r="59" spans="1:22" ht="14">
      <c r="A59" s="6">
        <v>40</v>
      </c>
      <c r="B59" s="54">
        <f t="shared" si="18"/>
        <v>25</v>
      </c>
      <c r="C59" s="54">
        <f t="shared" si="19"/>
        <v>54.002986944615309</v>
      </c>
      <c r="D59" s="54">
        <f t="shared" si="9"/>
        <v>0.83826204011598549</v>
      </c>
      <c r="E59" s="32">
        <f t="shared" si="20"/>
        <v>8.3826204011598557E-2</v>
      </c>
      <c r="F59" s="32">
        <f t="shared" si="21"/>
        <v>0.20956551002899637</v>
      </c>
      <c r="G59" s="32">
        <f t="shared" si="22"/>
        <v>0.54487032607539054</v>
      </c>
      <c r="H59" s="32">
        <f t="shared" si="10"/>
        <v>0.41955015107805071</v>
      </c>
      <c r="I59" s="32">
        <f t="shared" si="16"/>
        <v>23.021505034220045</v>
      </c>
      <c r="J59" s="32">
        <f t="shared" si="11"/>
        <v>0.12532017499733983</v>
      </c>
      <c r="K59" s="32">
        <f t="shared" si="6"/>
        <v>0.2091463790089384</v>
      </c>
      <c r="L59" s="55">
        <f t="shared" si="0"/>
        <v>54.002986944615309</v>
      </c>
      <c r="M59" s="45">
        <f t="shared" si="12"/>
        <v>100</v>
      </c>
      <c r="N59" s="33">
        <f t="shared" si="17"/>
        <v>23.021505034220045</v>
      </c>
      <c r="O59" s="33">
        <f t="shared" si="13"/>
        <v>11.476254757318477</v>
      </c>
      <c r="P59" s="33">
        <f t="shared" si="14"/>
        <v>11.499253263846173</v>
      </c>
      <c r="Q59" s="33">
        <f t="shared" si="7"/>
        <v>77.024491978835357</v>
      </c>
      <c r="R59" s="33">
        <f t="shared" si="15"/>
        <v>11.499253263846173</v>
      </c>
      <c r="S59" s="55">
        <f t="shared" si="8"/>
        <v>88.523745242681528</v>
      </c>
      <c r="V59" s="3"/>
    </row>
    <row r="60" spans="1:22" ht="14">
      <c r="A60" s="6">
        <v>41</v>
      </c>
      <c r="B60" s="54">
        <f t="shared" si="18"/>
        <v>24.148408223121145</v>
      </c>
      <c r="C60" s="54">
        <f t="shared" si="19"/>
        <v>53.177537946888187</v>
      </c>
      <c r="D60" s="54">
        <f t="shared" si="9"/>
        <v>0.82544899772712199</v>
      </c>
      <c r="E60" s="32">
        <f t="shared" si="20"/>
        <v>8.2544899772712205E-2</v>
      </c>
      <c r="F60" s="32">
        <f t="shared" si="21"/>
        <v>0.2063622494317805</v>
      </c>
      <c r="G60" s="32">
        <f t="shared" si="22"/>
        <v>0.53654184852262932</v>
      </c>
      <c r="H60" s="32">
        <f t="shared" si="10"/>
        <v>0.41313722336242459</v>
      </c>
      <c r="I60" s="32">
        <f t="shared" si="16"/>
        <v>23.434642257582471</v>
      </c>
      <c r="J60" s="32">
        <f t="shared" si="11"/>
        <v>0.12340462516020473</v>
      </c>
      <c r="K60" s="32">
        <f t="shared" si="6"/>
        <v>0.20594952493291693</v>
      </c>
      <c r="L60" s="55">
        <f t="shared" si="0"/>
        <v>53.177537946888187</v>
      </c>
      <c r="M60" s="45">
        <f t="shared" si="12"/>
        <v>100</v>
      </c>
      <c r="N60" s="33">
        <f t="shared" si="17"/>
        <v>23.434642257582471</v>
      </c>
      <c r="O60" s="33">
        <f t="shared" si="13"/>
        <v>11.682204282251394</v>
      </c>
      <c r="P60" s="33">
        <f t="shared" si="14"/>
        <v>11.705615513277953</v>
      </c>
      <c r="Q60" s="33">
        <f t="shared" si="7"/>
        <v>76.612180204470661</v>
      </c>
      <c r="R60" s="33">
        <f t="shared" si="15"/>
        <v>11.705615513277953</v>
      </c>
      <c r="S60" s="55">
        <f t="shared" si="8"/>
        <v>88.317795717748609</v>
      </c>
      <c r="V60" s="3"/>
    </row>
    <row r="61" spans="1:22" ht="14">
      <c r="A61" s="6">
        <v>42</v>
      </c>
      <c r="B61" s="54">
        <f t="shared" si="18"/>
        <v>23.325824788420185</v>
      </c>
      <c r="C61" s="54">
        <f t="shared" si="19"/>
        <v>52.364706141031334</v>
      </c>
      <c r="D61" s="54">
        <f t="shared" si="9"/>
        <v>0.81283180585685244</v>
      </c>
      <c r="E61" s="32">
        <f t="shared" si="20"/>
        <v>8.1283180585685247E-2</v>
      </c>
      <c r="F61" s="32">
        <f t="shared" si="21"/>
        <v>0.20320795146421311</v>
      </c>
      <c r="G61" s="32">
        <f t="shared" si="22"/>
        <v>0.52834067380695415</v>
      </c>
      <c r="H61" s="32">
        <f t="shared" si="10"/>
        <v>0.40682231883135472</v>
      </c>
      <c r="I61" s="32">
        <f t="shared" si="16"/>
        <v>23.841464576413827</v>
      </c>
      <c r="J61" s="32">
        <f t="shared" si="11"/>
        <v>0.12151835497559943</v>
      </c>
      <c r="K61" s="32">
        <f t="shared" si="6"/>
        <v>0.20280153556128466</v>
      </c>
      <c r="L61" s="55">
        <f t="shared" si="0"/>
        <v>52.364706141031334</v>
      </c>
      <c r="M61" s="45">
        <f t="shared" si="12"/>
        <v>100</v>
      </c>
      <c r="N61" s="33">
        <f t="shared" si="17"/>
        <v>23.841464576413827</v>
      </c>
      <c r="O61" s="33">
        <f t="shared" si="13"/>
        <v>11.885005817812679</v>
      </c>
      <c r="P61" s="33">
        <f t="shared" si="14"/>
        <v>11.908823464742166</v>
      </c>
      <c r="Q61" s="33">
        <f t="shared" si="7"/>
        <v>76.206170717445161</v>
      </c>
      <c r="R61" s="33">
        <f t="shared" si="15"/>
        <v>11.908823464742166</v>
      </c>
      <c r="S61" s="55">
        <f t="shared" si="8"/>
        <v>88.114994182187331</v>
      </c>
      <c r="V61" s="3"/>
    </row>
    <row r="62" spans="1:22" ht="14">
      <c r="A62" s="6">
        <v>43</v>
      </c>
      <c r="B62" s="54">
        <f t="shared" si="18"/>
        <v>22.531261565270757</v>
      </c>
      <c r="C62" s="54">
        <f t="shared" si="19"/>
        <v>51.564298670149768</v>
      </c>
      <c r="D62" s="54">
        <f t="shared" si="9"/>
        <v>0.8004074708815665</v>
      </c>
      <c r="E62" s="32">
        <f t="shared" si="20"/>
        <v>8.0040747088156658E-2</v>
      </c>
      <c r="F62" s="32">
        <f t="shared" si="21"/>
        <v>0.20010186772039162</v>
      </c>
      <c r="G62" s="32">
        <f t="shared" si="22"/>
        <v>0.5202648560730182</v>
      </c>
      <c r="H62" s="32">
        <f t="shared" si="10"/>
        <v>0.400603939176224</v>
      </c>
      <c r="I62" s="32">
        <f t="shared" si="16"/>
        <v>24.242068515590052</v>
      </c>
      <c r="J62" s="32">
        <f t="shared" si="11"/>
        <v>0.1196609168967942</v>
      </c>
      <c r="K62" s="32">
        <f t="shared" si="6"/>
        <v>0.19970166398495087</v>
      </c>
      <c r="L62" s="55">
        <f t="shared" si="0"/>
        <v>51.564298670149768</v>
      </c>
      <c r="M62" s="45">
        <f t="shared" si="12"/>
        <v>100</v>
      </c>
      <c r="N62" s="33">
        <f t="shared" si="17"/>
        <v>24.242068515590052</v>
      </c>
      <c r="O62" s="33">
        <f t="shared" si="13"/>
        <v>12.084707481797631</v>
      </c>
      <c r="P62" s="33">
        <f t="shared" si="14"/>
        <v>12.108925332462558</v>
      </c>
      <c r="Q62" s="33">
        <f t="shared" si="7"/>
        <v>75.806367185739816</v>
      </c>
      <c r="R62" s="33">
        <f t="shared" si="15"/>
        <v>12.108925332462558</v>
      </c>
      <c r="S62" s="55">
        <f t="shared" si="8"/>
        <v>87.915292518202378</v>
      </c>
      <c r="V62" s="3"/>
    </row>
    <row r="63" spans="1:22" ht="14">
      <c r="A63" s="6">
        <v>44</v>
      </c>
      <c r="B63" s="54">
        <f t="shared" si="18"/>
        <v>21.763764082403103</v>
      </c>
      <c r="C63" s="54">
        <f t="shared" si="19"/>
        <v>50.776125625213751</v>
      </c>
      <c r="D63" s="54">
        <f t="shared" si="9"/>
        <v>0.78817304493601625</v>
      </c>
      <c r="E63" s="32">
        <f t="shared" si="20"/>
        <v>7.8817304493601636E-2</v>
      </c>
      <c r="F63" s="32">
        <f t="shared" si="21"/>
        <v>0.19704326123400406</v>
      </c>
      <c r="G63" s="32">
        <f t="shared" si="22"/>
        <v>0.51231247920841061</v>
      </c>
      <c r="H63" s="32">
        <f t="shared" si="10"/>
        <v>0.39448060899047616</v>
      </c>
      <c r="I63" s="32">
        <f t="shared" si="16"/>
        <v>24.636549124580529</v>
      </c>
      <c r="J63" s="32">
        <f t="shared" si="11"/>
        <v>0.11783187021793445</v>
      </c>
      <c r="K63" s="32">
        <f t="shared" si="6"/>
        <v>0.19664917471153609</v>
      </c>
      <c r="L63" s="55">
        <f t="shared" si="0"/>
        <v>50.776125625213751</v>
      </c>
      <c r="M63" s="45">
        <f t="shared" si="12"/>
        <v>100</v>
      </c>
      <c r="N63" s="33">
        <f t="shared" si="17"/>
        <v>24.636549124580529</v>
      </c>
      <c r="O63" s="33">
        <f t="shared" si="13"/>
        <v>12.281356656509168</v>
      </c>
      <c r="P63" s="33">
        <f t="shared" si="14"/>
        <v>12.305968593696562</v>
      </c>
      <c r="Q63" s="33">
        <f t="shared" si="7"/>
        <v>75.412674749794277</v>
      </c>
      <c r="R63" s="33">
        <f t="shared" si="15"/>
        <v>12.305968593696562</v>
      </c>
      <c r="S63" s="55">
        <f t="shared" si="8"/>
        <v>87.718643343490839</v>
      </c>
      <c r="V63" s="3"/>
    </row>
    <row r="64" spans="1:22" ht="14">
      <c r="A64" s="6">
        <v>45</v>
      </c>
      <c r="B64" s="54">
        <f t="shared" si="18"/>
        <v>21.022410381342866</v>
      </c>
      <c r="C64" s="54">
        <f t="shared" si="19"/>
        <v>50</v>
      </c>
      <c r="D64" s="54">
        <f t="shared" si="9"/>
        <v>0.77612562521375139</v>
      </c>
      <c r="E64" s="32">
        <f t="shared" si="20"/>
        <v>7.7612562521375147E-2</v>
      </c>
      <c r="F64" s="32">
        <f t="shared" si="21"/>
        <v>0.19403140630343785</v>
      </c>
      <c r="G64" s="32">
        <f t="shared" si="22"/>
        <v>0.50448165638893838</v>
      </c>
      <c r="H64" s="32">
        <f t="shared" si="10"/>
        <v>0.38845087541948259</v>
      </c>
      <c r="I64" s="32">
        <f t="shared" si="16"/>
        <v>25.025000000000013</v>
      </c>
      <c r="J64" s="32">
        <f t="shared" si="11"/>
        <v>0.11603078096945579</v>
      </c>
      <c r="K64" s="32">
        <f t="shared" si="6"/>
        <v>0.19364334349083095</v>
      </c>
      <c r="L64" s="55">
        <f t="shared" si="0"/>
        <v>50</v>
      </c>
      <c r="M64" s="45">
        <f t="shared" si="12"/>
        <v>100</v>
      </c>
      <c r="N64" s="33">
        <f t="shared" si="17"/>
        <v>25.025000000000013</v>
      </c>
      <c r="O64" s="33">
        <f t="shared" si="13"/>
        <v>12.474999999999998</v>
      </c>
      <c r="P64" s="33">
        <f t="shared" si="14"/>
        <v>12.5</v>
      </c>
      <c r="Q64" s="33">
        <f t="shared" si="7"/>
        <v>75.025000000000006</v>
      </c>
      <c r="R64" s="33">
        <f t="shared" si="15"/>
        <v>12.5</v>
      </c>
      <c r="S64" s="55">
        <f t="shared" si="8"/>
        <v>87.525000000000006</v>
      </c>
      <c r="V64" s="3"/>
    </row>
    <row r="65" spans="1:22" ht="14">
      <c r="A65" s="6">
        <v>46</v>
      </c>
      <c r="B65" s="54">
        <f t="shared" si="18"/>
        <v>20.306309908905892</v>
      </c>
      <c r="C65" s="54">
        <f t="shared" si="19"/>
        <v>49.235737646721567</v>
      </c>
      <c r="D65" s="54">
        <f t="shared" si="9"/>
        <v>0.76426235327843273</v>
      </c>
      <c r="E65" s="32">
        <f t="shared" si="20"/>
        <v>7.6426235327843275E-2</v>
      </c>
      <c r="F65" s="32">
        <f t="shared" si="21"/>
        <v>0.19106558831960818</v>
      </c>
      <c r="G65" s="32">
        <f t="shared" si="22"/>
        <v>0.49677052963098128</v>
      </c>
      <c r="H65" s="32">
        <f t="shared" si="10"/>
        <v>0.38251330781585557</v>
      </c>
      <c r="I65" s="32">
        <f t="shared" si="16"/>
        <v>25.407513307815869</v>
      </c>
      <c r="J65" s="32">
        <f t="shared" si="11"/>
        <v>0.11425722181512571</v>
      </c>
      <c r="K65" s="32">
        <f t="shared" si="6"/>
        <v>0.19068345714296897</v>
      </c>
      <c r="L65" s="55">
        <f t="shared" si="0"/>
        <v>49.235737646721567</v>
      </c>
      <c r="M65" s="45">
        <f t="shared" si="12"/>
        <v>100</v>
      </c>
      <c r="N65" s="33">
        <f t="shared" si="17"/>
        <v>25.407513307815869</v>
      </c>
      <c r="O65" s="33">
        <f t="shared" si="13"/>
        <v>12.665683457142967</v>
      </c>
      <c r="P65" s="33">
        <f t="shared" si="14"/>
        <v>12.691065588319608</v>
      </c>
      <c r="Q65" s="33">
        <f t="shared" si="7"/>
        <v>74.643250954537436</v>
      </c>
      <c r="R65" s="33">
        <f t="shared" si="15"/>
        <v>12.691065588319608</v>
      </c>
      <c r="S65" s="55">
        <f t="shared" si="8"/>
        <v>87.334316542857039</v>
      </c>
      <c r="V65" s="3"/>
    </row>
    <row r="66" spans="1:22" ht="14">
      <c r="A66" s="6">
        <v>47</v>
      </c>
      <c r="B66" s="54">
        <f t="shared" si="18"/>
        <v>19.614602447418768</v>
      </c>
      <c r="C66" s="54">
        <f t="shared" si="19"/>
        <v>48.483157232335898</v>
      </c>
      <c r="D66" s="54">
        <f t="shared" si="9"/>
        <v>0.75258041438566892</v>
      </c>
      <c r="E66" s="32">
        <f t="shared" si="20"/>
        <v>7.5258041438566903E-2</v>
      </c>
      <c r="F66" s="32">
        <f t="shared" si="21"/>
        <v>0.18814510359641723</v>
      </c>
      <c r="G66" s="32">
        <f t="shared" si="22"/>
        <v>0.48917726935068484</v>
      </c>
      <c r="H66" s="32">
        <f t="shared" si="10"/>
        <v>0.37666649740002733</v>
      </c>
      <c r="I66" s="32">
        <f t="shared" si="16"/>
        <v>25.784179805215896</v>
      </c>
      <c r="J66" s="32">
        <f t="shared" si="11"/>
        <v>0.11251077195065751</v>
      </c>
      <c r="K66" s="32">
        <f t="shared" si="6"/>
        <v>0.18776881338922441</v>
      </c>
      <c r="L66" s="55">
        <f t="shared" si="0"/>
        <v>48.483157232335898</v>
      </c>
      <c r="M66" s="45">
        <f t="shared" si="12"/>
        <v>100</v>
      </c>
      <c r="N66" s="33">
        <f t="shared" si="17"/>
        <v>25.784179805215896</v>
      </c>
      <c r="O66" s="33">
        <f t="shared" si="13"/>
        <v>12.853452270532191</v>
      </c>
      <c r="P66" s="33">
        <f t="shared" si="14"/>
        <v>12.879210691916025</v>
      </c>
      <c r="Q66" s="33">
        <f t="shared" si="7"/>
        <v>74.267337037551798</v>
      </c>
      <c r="R66" s="33">
        <f t="shared" si="15"/>
        <v>12.879210691916025</v>
      </c>
      <c r="S66" s="55">
        <f t="shared" si="8"/>
        <v>87.146547729467827</v>
      </c>
      <c r="V66" s="3"/>
    </row>
    <row r="67" spans="1:22" ht="14">
      <c r="A67" s="6">
        <v>48</v>
      </c>
      <c r="B67" s="54">
        <f t="shared" si="18"/>
        <v>18.946457081379975</v>
      </c>
      <c r="C67" s="54">
        <f t="shared" si="19"/>
        <v>47.742080195520828</v>
      </c>
      <c r="D67" s="54">
        <f t="shared" si="9"/>
        <v>0.74107703681507076</v>
      </c>
      <c r="E67" s="32">
        <f t="shared" si="20"/>
        <v>7.4107703681507084E-2</v>
      </c>
      <c r="F67" s="32">
        <f t="shared" si="21"/>
        <v>0.18526925920376769</v>
      </c>
      <c r="G67" s="32">
        <f t="shared" si="22"/>
        <v>0.48170007392979602</v>
      </c>
      <c r="H67" s="32">
        <f t="shared" si="10"/>
        <v>0.37090905692594295</v>
      </c>
      <c r="I67" s="32">
        <f t="shared" si="16"/>
        <v>26.155088862141838</v>
      </c>
      <c r="J67" s="32">
        <f t="shared" si="11"/>
        <v>0.11079101700385308</v>
      </c>
      <c r="K67" s="32">
        <f t="shared" si="6"/>
        <v>0.18489872068536017</v>
      </c>
      <c r="L67" s="55">
        <f t="shared" si="0"/>
        <v>47.742080195520828</v>
      </c>
      <c r="M67" s="45">
        <f t="shared" si="12"/>
        <v>100</v>
      </c>
      <c r="N67" s="33">
        <f t="shared" si="17"/>
        <v>26.155088862141838</v>
      </c>
      <c r="O67" s="33">
        <f t="shared" si="13"/>
        <v>13.038350991217552</v>
      </c>
      <c r="P67" s="33">
        <f t="shared" si="14"/>
        <v>13.064479951119793</v>
      </c>
      <c r="Q67" s="33">
        <f t="shared" si="7"/>
        <v>73.897169057662666</v>
      </c>
      <c r="R67" s="33">
        <f t="shared" si="15"/>
        <v>13.064479951119793</v>
      </c>
      <c r="S67" s="55">
        <f t="shared" si="8"/>
        <v>86.961649008782459</v>
      </c>
      <c r="V67" s="3"/>
    </row>
    <row r="68" spans="1:22" ht="14">
      <c r="A68" s="6">
        <v>49</v>
      </c>
      <c r="B68" s="54">
        <f t="shared" si="18"/>
        <v>18.301071199320319</v>
      </c>
      <c r="C68" s="54">
        <f t="shared" si="19"/>
        <v>47.012330704308098</v>
      </c>
      <c r="D68" s="54">
        <f t="shared" si="9"/>
        <v>0.72974949121272914</v>
      </c>
      <c r="E68" s="32">
        <f t="shared" si="20"/>
        <v>7.297494912127292E-2</v>
      </c>
      <c r="F68" s="32">
        <f t="shared" si="21"/>
        <v>0.18243737280318228</v>
      </c>
      <c r="G68" s="32">
        <f t="shared" si="22"/>
        <v>0.47433716928827396</v>
      </c>
      <c r="H68" s="32">
        <f t="shared" si="10"/>
        <v>0.36523962035197094</v>
      </c>
      <c r="I68" s="32">
        <f t="shared" si="16"/>
        <v>26.520328482493809</v>
      </c>
      <c r="J68" s="32">
        <f t="shared" si="11"/>
        <v>0.10909754893630302</v>
      </c>
      <c r="K68" s="32">
        <f t="shared" si="6"/>
        <v>0.18207249805757594</v>
      </c>
      <c r="L68" s="55">
        <f t="shared" si="0"/>
        <v>47.012330704308098</v>
      </c>
      <c r="M68" s="45">
        <f t="shared" si="12"/>
        <v>100</v>
      </c>
      <c r="N68" s="33">
        <f t="shared" si="17"/>
        <v>26.520328482493809</v>
      </c>
      <c r="O68" s="33">
        <f t="shared" si="13"/>
        <v>13.220423489275127</v>
      </c>
      <c r="P68" s="33">
        <f t="shared" si="14"/>
        <v>13.246917323922975</v>
      </c>
      <c r="Q68" s="33">
        <f t="shared" si="7"/>
        <v>73.532659186801908</v>
      </c>
      <c r="R68" s="33">
        <f t="shared" si="15"/>
        <v>13.246917323922975</v>
      </c>
      <c r="S68" s="55">
        <f t="shared" si="8"/>
        <v>86.77957651072488</v>
      </c>
      <c r="V68" s="3"/>
    </row>
    <row r="69" spans="1:22" ht="14">
      <c r="A69" s="6">
        <v>50</v>
      </c>
      <c r="B69" s="54">
        <f t="shared" si="18"/>
        <v>17.677669529663689</v>
      </c>
      <c r="C69" s="54">
        <f t="shared" si="19"/>
        <v>46.293735614364522</v>
      </c>
      <c r="D69" s="54">
        <f t="shared" si="9"/>
        <v>0.71859508994357668</v>
      </c>
      <c r="E69" s="32">
        <f t="shared" si="20"/>
        <v>7.1859508994357668E-2</v>
      </c>
      <c r="F69" s="32">
        <f t="shared" si="21"/>
        <v>0.17964877248589417</v>
      </c>
      <c r="G69" s="32">
        <f t="shared" si="22"/>
        <v>0.46708680846332484</v>
      </c>
      <c r="H69" s="32">
        <f t="shared" si="10"/>
        <v>0.35965684251676011</v>
      </c>
      <c r="I69" s="32">
        <f t="shared" si="16"/>
        <v>26.879985325010569</v>
      </c>
      <c r="J69" s="32">
        <f t="shared" si="11"/>
        <v>0.10742996594656473</v>
      </c>
      <c r="K69" s="32">
        <f t="shared" si="6"/>
        <v>0.1792894749409224</v>
      </c>
      <c r="L69" s="55">
        <f t="shared" si="0"/>
        <v>46.293735614364522</v>
      </c>
      <c r="M69" s="45">
        <f t="shared" si="12"/>
        <v>100</v>
      </c>
      <c r="N69" s="33">
        <f t="shared" si="17"/>
        <v>26.879985325010569</v>
      </c>
      <c r="O69" s="33">
        <f t="shared" si="13"/>
        <v>13.39971296421605</v>
      </c>
      <c r="P69" s="33">
        <f t="shared" si="14"/>
        <v>13.42656609640887</v>
      </c>
      <c r="Q69" s="33">
        <f t="shared" si="7"/>
        <v>73.173720939375087</v>
      </c>
      <c r="R69" s="33">
        <f t="shared" si="15"/>
        <v>13.42656609640887</v>
      </c>
      <c r="S69" s="55">
        <f t="shared" si="8"/>
        <v>86.600287035783964</v>
      </c>
      <c r="V69" s="3"/>
    </row>
    <row r="70" spans="1:22" ht="14">
      <c r="A70" s="6">
        <v>51</v>
      </c>
      <c r="B70" s="54">
        <f t="shared" si="18"/>
        <v>17.07550320942995</v>
      </c>
      <c r="C70" s="54">
        <f t="shared" si="19"/>
        <v>45.586124427910846</v>
      </c>
      <c r="D70" s="54">
        <f t="shared" si="9"/>
        <v>0.7076111864536756</v>
      </c>
      <c r="E70" s="32">
        <f t="shared" si="20"/>
        <v>7.0761118645367563E-2</v>
      </c>
      <c r="F70" s="32">
        <f t="shared" si="21"/>
        <v>0.1769027966134189</v>
      </c>
      <c r="G70" s="32">
        <f t="shared" si="22"/>
        <v>0.45994727119488915</v>
      </c>
      <c r="H70" s="32">
        <f t="shared" si="10"/>
        <v>0.35415939882006464</v>
      </c>
      <c r="I70" s="32">
        <f t="shared" si="16"/>
        <v>27.234144723830635</v>
      </c>
      <c r="J70" s="32">
        <f t="shared" si="11"/>
        <v>0.10578787237482451</v>
      </c>
      <c r="K70" s="32">
        <f t="shared" si="6"/>
        <v>0.17654899102019206</v>
      </c>
      <c r="L70" s="55">
        <f t="shared" si="0"/>
        <v>45.586124427910846</v>
      </c>
      <c r="M70" s="45">
        <f t="shared" si="12"/>
        <v>100</v>
      </c>
      <c r="N70" s="33">
        <f t="shared" si="17"/>
        <v>27.234144723830635</v>
      </c>
      <c r="O70" s="33">
        <f t="shared" si="13"/>
        <v>13.576261955236243</v>
      </c>
      <c r="P70" s="33">
        <f t="shared" si="14"/>
        <v>13.603468893022288</v>
      </c>
      <c r="Q70" s="33">
        <f t="shared" si="7"/>
        <v>72.820269151741485</v>
      </c>
      <c r="R70" s="33">
        <f t="shared" si="15"/>
        <v>13.603468893022288</v>
      </c>
      <c r="S70" s="55">
        <f t="shared" si="8"/>
        <v>86.42373804476378</v>
      </c>
      <c r="V70" s="3"/>
    </row>
    <row r="71" spans="1:22" ht="14">
      <c r="A71" s="6">
        <v>52</v>
      </c>
      <c r="B71" s="54">
        <f t="shared" si="18"/>
        <v>16.493848884661176</v>
      </c>
      <c r="C71" s="54">
        <f t="shared" si="19"/>
        <v>44.889329253268464</v>
      </c>
      <c r="D71" s="54">
        <f t="shared" si="9"/>
        <v>0.69679517464238216</v>
      </c>
      <c r="E71" s="32">
        <f t="shared" si="20"/>
        <v>6.9679517464238214E-2</v>
      </c>
      <c r="F71" s="32">
        <f t="shared" si="21"/>
        <v>0.17419879366059554</v>
      </c>
      <c r="G71" s="32">
        <f t="shared" si="22"/>
        <v>0.4529168635175484</v>
      </c>
      <c r="H71" s="32">
        <f t="shared" si="10"/>
        <v>0.34874598490851227</v>
      </c>
      <c r="I71" s="32">
        <f t="shared" si="16"/>
        <v>27.582890708739146</v>
      </c>
      <c r="J71" s="32">
        <f t="shared" si="11"/>
        <v>0.10417087860903612</v>
      </c>
      <c r="K71" s="32">
        <f t="shared" si="6"/>
        <v>0.17385039607327435</v>
      </c>
      <c r="L71" s="55">
        <f t="shared" si="0"/>
        <v>44.889329253268464</v>
      </c>
      <c r="M71" s="45">
        <f t="shared" si="12"/>
        <v>100</v>
      </c>
      <c r="N71" s="33">
        <f t="shared" si="17"/>
        <v>27.582890708739146</v>
      </c>
      <c r="O71" s="33">
        <f t="shared" si="13"/>
        <v>13.750112351309516</v>
      </c>
      <c r="P71" s="33">
        <f t="shared" si="14"/>
        <v>13.777667686682884</v>
      </c>
      <c r="Q71" s="33">
        <f t="shared" si="7"/>
        <v>72.472219962007614</v>
      </c>
      <c r="R71" s="33">
        <f t="shared" si="15"/>
        <v>13.777667686682884</v>
      </c>
      <c r="S71" s="55">
        <f t="shared" si="8"/>
        <v>86.249887648690503</v>
      </c>
      <c r="V71" s="3"/>
    </row>
    <row r="72" spans="1:22" ht="14">
      <c r="A72" s="6">
        <v>53</v>
      </c>
      <c r="B72" s="54">
        <f t="shared" si="18"/>
        <v>15.93200784149078</v>
      </c>
      <c r="C72" s="54">
        <f t="shared" si="19"/>
        <v>44.203184765024588</v>
      </c>
      <c r="D72" s="54">
        <f t="shared" si="9"/>
        <v>0.68614448824387608</v>
      </c>
      <c r="E72" s="32">
        <f t="shared" si="20"/>
        <v>6.8614448824387608E-2</v>
      </c>
      <c r="F72" s="32">
        <f t="shared" si="21"/>
        <v>0.17153612206096902</v>
      </c>
      <c r="G72" s="32">
        <f t="shared" si="22"/>
        <v>0.44599391735851945</v>
      </c>
      <c r="H72" s="32">
        <f t="shared" si="10"/>
        <v>0.34341531636605999</v>
      </c>
      <c r="I72" s="32">
        <f t="shared" si="16"/>
        <v>27.926306025105205</v>
      </c>
      <c r="J72" s="32">
        <f t="shared" si="11"/>
        <v>0.10257860099245947</v>
      </c>
      <c r="K72" s="32">
        <f t="shared" si="6"/>
        <v>0.17119304981684708</v>
      </c>
      <c r="L72" s="55">
        <f t="shared" si="0"/>
        <v>44.203184765024588</v>
      </c>
      <c r="M72" s="45">
        <f t="shared" si="12"/>
        <v>100</v>
      </c>
      <c r="N72" s="33">
        <f t="shared" si="17"/>
        <v>27.926306025105205</v>
      </c>
      <c r="O72" s="33">
        <f t="shared" si="13"/>
        <v>13.921305401126363</v>
      </c>
      <c r="P72" s="33">
        <f t="shared" si="14"/>
        <v>13.949203808743853</v>
      </c>
      <c r="Q72" s="33">
        <f t="shared" si="7"/>
        <v>72.129490790129793</v>
      </c>
      <c r="R72" s="33">
        <f t="shared" si="15"/>
        <v>13.949203808743853</v>
      </c>
      <c r="S72" s="55">
        <f t="shared" si="8"/>
        <v>86.078694598873653</v>
      </c>
      <c r="V72" s="3"/>
    </row>
    <row r="73" spans="1:22" ht="14">
      <c r="A73" s="6">
        <v>54</v>
      </c>
      <c r="B73" s="54">
        <f t="shared" si="18"/>
        <v>15.389305166811454</v>
      </c>
      <c r="C73" s="54">
        <f t="shared" si="19"/>
        <v>43.527528164806206</v>
      </c>
      <c r="D73" s="54">
        <f t="shared" si="9"/>
        <v>0.6756566002183817</v>
      </c>
      <c r="E73" s="32">
        <f t="shared" si="20"/>
        <v>6.756566002183817E-2</v>
      </c>
      <c r="F73" s="32">
        <f t="shared" si="21"/>
        <v>0.16891415005459542</v>
      </c>
      <c r="G73" s="32">
        <f t="shared" si="22"/>
        <v>0.4391767901419481</v>
      </c>
      <c r="H73" s="32">
        <f t="shared" si="10"/>
        <v>0.33816612840930005</v>
      </c>
      <c r="I73" s="32">
        <f t="shared" si="16"/>
        <v>28.264472153514504</v>
      </c>
      <c r="J73" s="32">
        <f t="shared" si="11"/>
        <v>0.10101066173264805</v>
      </c>
      <c r="K73" s="32">
        <f t="shared" si="6"/>
        <v>0.16857632175448622</v>
      </c>
      <c r="L73" s="55">
        <f t="shared" si="0"/>
        <v>43.527528164806206</v>
      </c>
      <c r="M73" s="45">
        <f t="shared" si="12"/>
        <v>100</v>
      </c>
      <c r="N73" s="33">
        <f t="shared" si="17"/>
        <v>28.264472153514504</v>
      </c>
      <c r="O73" s="33">
        <f t="shared" si="13"/>
        <v>14.089881722880849</v>
      </c>
      <c r="P73" s="33">
        <f t="shared" si="14"/>
        <v>14.118117958798448</v>
      </c>
      <c r="Q73" s="33">
        <f t="shared" si="7"/>
        <v>71.792000318320703</v>
      </c>
      <c r="R73" s="33">
        <f t="shared" si="15"/>
        <v>14.118117958798448</v>
      </c>
      <c r="S73" s="55">
        <f t="shared" si="8"/>
        <v>85.910118277119153</v>
      </c>
      <c r="V73" s="3"/>
    </row>
    <row r="74" spans="1:22" ht="14">
      <c r="A74" s="6">
        <v>55</v>
      </c>
      <c r="B74" s="54">
        <f t="shared" si="18"/>
        <v>14.865088937534013</v>
      </c>
      <c r="C74" s="54">
        <f t="shared" si="19"/>
        <v>42.862199142653637</v>
      </c>
      <c r="D74" s="54">
        <f t="shared" si="9"/>
        <v>0.66532902215256939</v>
      </c>
      <c r="E74" s="32">
        <f t="shared" si="20"/>
        <v>6.6532902215256942E-2</v>
      </c>
      <c r="F74" s="32">
        <f t="shared" si="21"/>
        <v>0.16633225553814235</v>
      </c>
      <c r="G74" s="32">
        <f t="shared" si="22"/>
        <v>0.43246386439917012</v>
      </c>
      <c r="H74" s="32">
        <f t="shared" si="10"/>
        <v>0.33299717558736097</v>
      </c>
      <c r="I74" s="32">
        <f t="shared" si="16"/>
        <v>28.597469329101866</v>
      </c>
      <c r="J74" s="32">
        <f t="shared" si="11"/>
        <v>9.9466688811809145E-2</v>
      </c>
      <c r="K74" s="32">
        <f t="shared" si="6"/>
        <v>0.16599959102706607</v>
      </c>
      <c r="L74" s="55">
        <f t="shared" si="0"/>
        <v>42.862199142653637</v>
      </c>
      <c r="M74" s="45">
        <f t="shared" si="12"/>
        <v>100</v>
      </c>
      <c r="N74" s="33">
        <f t="shared" si="17"/>
        <v>28.597469329101866</v>
      </c>
      <c r="O74" s="33">
        <f t="shared" si="13"/>
        <v>14.255881313907915</v>
      </c>
      <c r="P74" s="33">
        <f t="shared" si="14"/>
        <v>14.284450214336591</v>
      </c>
      <c r="Q74" s="33">
        <f t="shared" si="7"/>
        <v>71.459668471755506</v>
      </c>
      <c r="R74" s="33">
        <f t="shared" si="15"/>
        <v>14.284450214336591</v>
      </c>
      <c r="S74" s="55">
        <f t="shared" si="8"/>
        <v>85.744118686092094</v>
      </c>
      <c r="V74" s="3"/>
    </row>
    <row r="75" spans="1:22" ht="14">
      <c r="A75" s="6">
        <v>56</v>
      </c>
      <c r="B75" s="54">
        <f t="shared" si="18"/>
        <v>14.358729437462941</v>
      </c>
      <c r="C75" s="54">
        <f t="shared" si="19"/>
        <v>42.207039838984571</v>
      </c>
      <c r="D75" s="54">
        <f t="shared" si="9"/>
        <v>0.65515930366906616</v>
      </c>
      <c r="E75" s="32">
        <f t="shared" si="20"/>
        <v>6.5515930366906616E-2</v>
      </c>
      <c r="F75" s="32">
        <f t="shared" si="21"/>
        <v>0.16378982591726654</v>
      </c>
      <c r="G75" s="32">
        <f t="shared" si="22"/>
        <v>0.42585354738489301</v>
      </c>
      <c r="H75" s="32">
        <f t="shared" si="10"/>
        <v>0.32790723148636763</v>
      </c>
      <c r="I75" s="32">
        <f t="shared" si="16"/>
        <v>28.925376560588234</v>
      </c>
      <c r="J75" s="32">
        <f t="shared" si="11"/>
        <v>9.7946315898525371E-2</v>
      </c>
      <c r="K75" s="32">
        <f t="shared" si="6"/>
        <v>0.16346224626543199</v>
      </c>
      <c r="L75" s="55">
        <f t="shared" si="0"/>
        <v>42.207039838984571</v>
      </c>
      <c r="M75" s="45">
        <f t="shared" si="12"/>
        <v>100</v>
      </c>
      <c r="N75" s="33">
        <f t="shared" si="17"/>
        <v>28.925376560588234</v>
      </c>
      <c r="O75" s="33">
        <f t="shared" si="13"/>
        <v>14.419343560173347</v>
      </c>
      <c r="P75" s="33">
        <f t="shared" si="14"/>
        <v>14.448240040253857</v>
      </c>
      <c r="Q75" s="33">
        <f t="shared" si="7"/>
        <v>71.132416399572804</v>
      </c>
      <c r="R75" s="33">
        <f t="shared" si="15"/>
        <v>14.448240040253857</v>
      </c>
      <c r="S75" s="55">
        <f t="shared" si="8"/>
        <v>85.580656439826669</v>
      </c>
      <c r="V75" s="3"/>
    </row>
    <row r="76" spans="1:22" ht="14">
      <c r="A76" s="6">
        <v>57</v>
      </c>
      <c r="B76" s="54">
        <f t="shared" si="18"/>
        <v>13.869618400848063</v>
      </c>
      <c r="C76" s="54">
        <f t="shared" si="19"/>
        <v>41.561894807139389</v>
      </c>
      <c r="D76" s="54">
        <f t="shared" si="9"/>
        <v>0.6451450318451819</v>
      </c>
      <c r="E76" s="32">
        <f t="shared" si="20"/>
        <v>6.4514503184518193E-2</v>
      </c>
      <c r="F76" s="32">
        <f t="shared" si="21"/>
        <v>0.16128625796129548</v>
      </c>
      <c r="G76" s="32">
        <f t="shared" si="22"/>
        <v>0.41934427069936825</v>
      </c>
      <c r="H76" s="32">
        <f t="shared" si="10"/>
        <v>0.32289508843851356</v>
      </c>
      <c r="I76" s="32">
        <f t="shared" si="16"/>
        <v>29.248271649026748</v>
      </c>
      <c r="J76" s="32">
        <f t="shared" si="11"/>
        <v>9.6449182260854693E-2</v>
      </c>
      <c r="K76" s="32">
        <f t="shared" si="6"/>
        <v>0.16096368544537287</v>
      </c>
      <c r="L76" s="55">
        <f t="shared" si="0"/>
        <v>41.561894807139389</v>
      </c>
      <c r="M76" s="45">
        <f t="shared" si="12"/>
        <v>100</v>
      </c>
      <c r="N76" s="33">
        <f t="shared" si="17"/>
        <v>29.248271649026748</v>
      </c>
      <c r="O76" s="33">
        <f t="shared" si="13"/>
        <v>14.580307245618719</v>
      </c>
      <c r="P76" s="33">
        <f t="shared" si="14"/>
        <v>14.609526298215153</v>
      </c>
      <c r="Q76" s="33">
        <f t="shared" si="7"/>
        <v>70.810166456166144</v>
      </c>
      <c r="R76" s="33">
        <f t="shared" si="15"/>
        <v>14.609526298215153</v>
      </c>
      <c r="S76" s="55">
        <f t="shared" si="8"/>
        <v>85.419692754381302</v>
      </c>
      <c r="V76" s="3"/>
    </row>
    <row r="77" spans="1:22" ht="14">
      <c r="A77" s="6">
        <v>58</v>
      </c>
      <c r="B77" s="54">
        <f t="shared" si="18"/>
        <v>13.397168281703667</v>
      </c>
      <c r="C77" s="54">
        <f t="shared" si="19"/>
        <v>40.926610976499084</v>
      </c>
      <c r="D77" s="54">
        <f t="shared" si="9"/>
        <v>0.63528383064030436</v>
      </c>
      <c r="E77" s="32">
        <f t="shared" si="20"/>
        <v>6.3528383064030441E-2</v>
      </c>
      <c r="F77" s="32">
        <f t="shared" si="21"/>
        <v>0.15882095766007609</v>
      </c>
      <c r="G77" s="32">
        <f t="shared" si="22"/>
        <v>0.41293448991619786</v>
      </c>
      <c r="H77" s="32">
        <f t="shared" si="10"/>
        <v>0.31795955723547237</v>
      </c>
      <c r="I77" s="32">
        <f t="shared" si="16"/>
        <v>29.56623120626222</v>
      </c>
      <c r="J77" s="32">
        <f t="shared" si="11"/>
        <v>9.4974932680725488E-2</v>
      </c>
      <c r="K77" s="32">
        <f t="shared" si="6"/>
        <v>0.15850331574475593</v>
      </c>
      <c r="L77" s="55">
        <f t="shared" si="0"/>
        <v>40.926610976499084</v>
      </c>
      <c r="M77" s="45">
        <f t="shared" si="12"/>
        <v>100</v>
      </c>
      <c r="N77" s="33">
        <f t="shared" si="17"/>
        <v>29.56623120626222</v>
      </c>
      <c r="O77" s="33">
        <f t="shared" si="13"/>
        <v>14.738810561363476</v>
      </c>
      <c r="P77" s="33">
        <f t="shared" si="14"/>
        <v>14.768347255875229</v>
      </c>
      <c r="Q77" s="33">
        <f t="shared" si="7"/>
        <v>70.492842182761308</v>
      </c>
      <c r="R77" s="33">
        <f t="shared" si="15"/>
        <v>14.768347255875229</v>
      </c>
      <c r="S77" s="55">
        <f t="shared" si="8"/>
        <v>85.261189438636535</v>
      </c>
      <c r="V77" s="3"/>
    </row>
    <row r="78" spans="1:22" ht="14">
      <c r="A78" s="6">
        <v>59</v>
      </c>
      <c r="B78" s="54">
        <f t="shared" si="18"/>
        <v>12.940811548017214</v>
      </c>
      <c r="C78" s="54">
        <f t="shared" si="19"/>
        <v>40.30103761616688</v>
      </c>
      <c r="D78" s="54">
        <f t="shared" si="9"/>
        <v>0.62557336033220423</v>
      </c>
      <c r="E78" s="32">
        <f t="shared" si="20"/>
        <v>6.2557336033220431E-2</v>
      </c>
      <c r="F78" s="32">
        <f t="shared" si="21"/>
        <v>0.15639334008305106</v>
      </c>
      <c r="G78" s="32">
        <f t="shared" si="22"/>
        <v>0.40662268421593278</v>
      </c>
      <c r="H78" s="32">
        <f t="shared" si="10"/>
        <v>0.31309946684626827</v>
      </c>
      <c r="I78" s="32">
        <f t="shared" si="16"/>
        <v>29.879330673108488</v>
      </c>
      <c r="J78" s="32">
        <f t="shared" si="11"/>
        <v>9.3523217369664513E-2</v>
      </c>
      <c r="K78" s="32">
        <f t="shared" si="6"/>
        <v>0.15608055340288496</v>
      </c>
      <c r="L78" s="55">
        <f t="shared" si="0"/>
        <v>40.30103761616688</v>
      </c>
      <c r="M78" s="45">
        <f t="shared" si="12"/>
        <v>100</v>
      </c>
      <c r="N78" s="33">
        <f t="shared" si="17"/>
        <v>29.879330673108488</v>
      </c>
      <c r="O78" s="33">
        <f t="shared" si="13"/>
        <v>14.894891114766361</v>
      </c>
      <c r="P78" s="33">
        <f t="shared" si="14"/>
        <v>14.92474059595828</v>
      </c>
      <c r="Q78" s="33">
        <f t="shared" si="7"/>
        <v>70.180368289275364</v>
      </c>
      <c r="R78" s="33">
        <f t="shared" si="15"/>
        <v>14.92474059595828</v>
      </c>
      <c r="S78" s="55">
        <f t="shared" si="8"/>
        <v>85.105108885233648</v>
      </c>
      <c r="V78" s="3"/>
    </row>
    <row r="79" spans="1:22" ht="14">
      <c r="A79" s="6">
        <v>60</v>
      </c>
      <c r="B79" s="54">
        <f t="shared" si="18"/>
        <v>12.5</v>
      </c>
      <c r="C79" s="54">
        <f t="shared" si="19"/>
        <v>39.685026299204992</v>
      </c>
      <c r="D79" s="54">
        <f t="shared" si="9"/>
        <v>0.61601131696188816</v>
      </c>
      <c r="E79" s="32">
        <f t="shared" si="20"/>
        <v>6.1601131696188818E-2</v>
      </c>
      <c r="F79" s="32">
        <f t="shared" si="21"/>
        <v>0.15400282924047204</v>
      </c>
      <c r="G79" s="32">
        <f t="shared" si="22"/>
        <v>0.40040735602522731</v>
      </c>
      <c r="H79" s="32">
        <f t="shared" si="10"/>
        <v>0.30831366413942501</v>
      </c>
      <c r="I79" s="32">
        <f t="shared" si="16"/>
        <v>30.187644337247914</v>
      </c>
      <c r="J79" s="32">
        <f t="shared" si="11"/>
        <v>9.2093691885802298E-2</v>
      </c>
      <c r="K79" s="32">
        <f t="shared" si="6"/>
        <v>0.1536948235819911</v>
      </c>
      <c r="L79" s="55">
        <f t="shared" si="0"/>
        <v>39.685026299204992</v>
      </c>
      <c r="M79" s="45">
        <f t="shared" si="12"/>
        <v>100</v>
      </c>
      <c r="N79" s="33">
        <f t="shared" si="17"/>
        <v>30.187644337247914</v>
      </c>
      <c r="O79" s="33">
        <f t="shared" si="13"/>
        <v>15.048585938348353</v>
      </c>
      <c r="P79" s="33">
        <f t="shared" si="14"/>
        <v>15.078743425198752</v>
      </c>
      <c r="Q79" s="33">
        <f t="shared" si="7"/>
        <v>69.872670636452909</v>
      </c>
      <c r="R79" s="33">
        <f t="shared" si="15"/>
        <v>15.078743425198752</v>
      </c>
      <c r="S79" s="55">
        <f t="shared" si="8"/>
        <v>84.951414061651661</v>
      </c>
      <c r="V79" s="3"/>
    </row>
    <row r="80" spans="1:22" ht="14">
      <c r="A80" s="6">
        <v>61</v>
      </c>
      <c r="B80" s="54">
        <f t="shared" si="18"/>
        <v>12.074204111560572</v>
      </c>
      <c r="C80" s="54">
        <f t="shared" si="19"/>
        <v>39.078430867418049</v>
      </c>
      <c r="D80" s="54">
        <f t="shared" si="9"/>
        <v>0.60659543178694264</v>
      </c>
      <c r="E80" s="32">
        <f t="shared" si="20"/>
        <v>6.0659543178694264E-2</v>
      </c>
      <c r="F80" s="32">
        <f t="shared" si="21"/>
        <v>0.15164885794673566</v>
      </c>
      <c r="G80" s="32">
        <f t="shared" si="22"/>
        <v>0.39428703066151272</v>
      </c>
      <c r="H80" s="32">
        <f t="shared" si="10"/>
        <v>0.30360101360936481</v>
      </c>
      <c r="I80" s="32">
        <f t="shared" si="16"/>
        <v>30.49124535085728</v>
      </c>
      <c r="J80" s="32">
        <f t="shared" si="11"/>
        <v>9.0686017052147905E-2</v>
      </c>
      <c r="K80" s="32">
        <f t="shared" si="6"/>
        <v>0.15134556023084217</v>
      </c>
      <c r="L80" s="55">
        <f t="shared" si="0"/>
        <v>39.078430867418049</v>
      </c>
      <c r="M80" s="45">
        <f t="shared" si="12"/>
        <v>100</v>
      </c>
      <c r="N80" s="33">
        <f t="shared" si="17"/>
        <v>30.49124535085728</v>
      </c>
      <c r="O80" s="33">
        <f t="shared" si="13"/>
        <v>15.199931498579195</v>
      </c>
      <c r="P80" s="33">
        <f t="shared" si="14"/>
        <v>15.230392283145488</v>
      </c>
      <c r="Q80" s="33">
        <f t="shared" si="7"/>
        <v>69.569676218275333</v>
      </c>
      <c r="R80" s="33">
        <f t="shared" si="15"/>
        <v>15.230392283145488</v>
      </c>
      <c r="S80" s="55">
        <f t="shared" si="8"/>
        <v>84.800068501420824</v>
      </c>
      <c r="V80" s="3"/>
    </row>
    <row r="81" spans="1:22" ht="14">
      <c r="A81" s="6">
        <v>62</v>
      </c>
      <c r="B81" s="54">
        <f t="shared" si="18"/>
        <v>11.662912394210094</v>
      </c>
      <c r="C81" s="54">
        <f t="shared" si="19"/>
        <v>38.481107396674815</v>
      </c>
      <c r="D81" s="54">
        <f t="shared" si="9"/>
        <v>0.597323470743234</v>
      </c>
      <c r="E81" s="32">
        <f t="shared" si="20"/>
        <v>5.97323470743234E-2</v>
      </c>
      <c r="F81" s="32">
        <f t="shared" si="21"/>
        <v>0.1493308676858085</v>
      </c>
      <c r="G81" s="32">
        <f t="shared" si="22"/>
        <v>0.3882602559831021</v>
      </c>
      <c r="H81" s="32">
        <f t="shared" si="10"/>
        <v>0.29896039710698863</v>
      </c>
      <c r="I81" s="32">
        <f t="shared" si="16"/>
        <v>30.790205747964269</v>
      </c>
      <c r="J81" s="32">
        <f t="shared" si="11"/>
        <v>8.9299858876113469E-2</v>
      </c>
      <c r="K81" s="32">
        <f t="shared" si="6"/>
        <v>0.14903220595043687</v>
      </c>
      <c r="L81" s="55">
        <f t="shared" si="0"/>
        <v>38.481107396674815</v>
      </c>
      <c r="M81" s="45">
        <f t="shared" si="12"/>
        <v>100</v>
      </c>
      <c r="N81" s="33">
        <f t="shared" si="17"/>
        <v>30.790205747964269</v>
      </c>
      <c r="O81" s="33">
        <f t="shared" si="13"/>
        <v>15.348963704529632</v>
      </c>
      <c r="P81" s="33">
        <f t="shared" si="14"/>
        <v>15.379723150831296</v>
      </c>
      <c r="Q81" s="33">
        <f t="shared" si="7"/>
        <v>69.27131314463908</v>
      </c>
      <c r="R81" s="33">
        <f t="shared" si="15"/>
        <v>15.379723150831296</v>
      </c>
      <c r="S81" s="55">
        <f t="shared" si="8"/>
        <v>84.651036295470377</v>
      </c>
      <c r="V81" s="3"/>
    </row>
    <row r="82" spans="1:22" ht="14">
      <c r="A82" s="6">
        <v>63</v>
      </c>
      <c r="B82" s="54">
        <f t="shared" si="18"/>
        <v>11.26563078263538</v>
      </c>
      <c r="C82" s="54">
        <f t="shared" si="19"/>
        <v>37.892914162759958</v>
      </c>
      <c r="D82" s="54">
        <f t="shared" si="9"/>
        <v>0.58819323391485767</v>
      </c>
      <c r="E82" s="32">
        <f t="shared" si="20"/>
        <v>5.8819323391485767E-2</v>
      </c>
      <c r="F82" s="32">
        <f t="shared" si="21"/>
        <v>0.14704830847871442</v>
      </c>
      <c r="G82" s="32">
        <f t="shared" si="22"/>
        <v>0.38232560204465749</v>
      </c>
      <c r="H82" s="32">
        <f t="shared" si="10"/>
        <v>0.29439071357438629</v>
      </c>
      <c r="I82" s="32">
        <f t="shared" si="16"/>
        <v>31.084596461538656</v>
      </c>
      <c r="J82" s="32">
        <f t="shared" si="11"/>
        <v>8.79348884702712E-2</v>
      </c>
      <c r="K82" s="32">
        <f t="shared" si="6"/>
        <v>0.14675421186175697</v>
      </c>
      <c r="L82" s="55">
        <f t="shared" ref="L82:L119" si="23">C82</f>
        <v>37.892914162759958</v>
      </c>
      <c r="M82" s="45">
        <f t="shared" si="12"/>
        <v>100</v>
      </c>
      <c r="N82" s="33">
        <f t="shared" si="17"/>
        <v>31.084596461538656</v>
      </c>
      <c r="O82" s="33">
        <f t="shared" si="13"/>
        <v>15.495717916391389</v>
      </c>
      <c r="P82" s="33">
        <f t="shared" si="14"/>
        <v>15.526771459310011</v>
      </c>
      <c r="Q82" s="33">
        <f t="shared" si="7"/>
        <v>68.977510624298617</v>
      </c>
      <c r="R82" s="33">
        <f t="shared" si="15"/>
        <v>15.526771459310011</v>
      </c>
      <c r="S82" s="55">
        <f t="shared" si="8"/>
        <v>84.504282083608629</v>
      </c>
      <c r="V82" s="3"/>
    </row>
    <row r="83" spans="1:22" ht="14">
      <c r="A83" s="6">
        <v>64</v>
      </c>
      <c r="B83" s="54">
        <f t="shared" si="18"/>
        <v>10.881882041201553</v>
      </c>
      <c r="C83" s="54">
        <f t="shared" si="19"/>
        <v>37.313711607747777</v>
      </c>
      <c r="D83" s="54">
        <f t="shared" si="9"/>
        <v>0.57920255501218065</v>
      </c>
      <c r="E83" s="32">
        <f t="shared" si="20"/>
        <v>5.7920255501218071E-2</v>
      </c>
      <c r="F83" s="32">
        <f t="shared" si="21"/>
        <v>0.14480063875304516</v>
      </c>
      <c r="G83" s="32">
        <f t="shared" si="22"/>
        <v>0.37648166075791745</v>
      </c>
      <c r="H83" s="32">
        <f t="shared" si="10"/>
        <v>0.28989087878359643</v>
      </c>
      <c r="I83" s="32">
        <f t="shared" si="16"/>
        <v>31.374487340322251</v>
      </c>
      <c r="J83" s="32">
        <f t="shared" si="11"/>
        <v>8.6590781974321018E-2</v>
      </c>
      <c r="K83" s="32">
        <f t="shared" si="6"/>
        <v>0.14451103747553909</v>
      </c>
      <c r="L83" s="55">
        <f t="shared" si="23"/>
        <v>37.313711607747777</v>
      </c>
      <c r="M83" s="45">
        <f t="shared" si="12"/>
        <v>100</v>
      </c>
      <c r="N83" s="33">
        <f t="shared" si="17"/>
        <v>31.374487340322251</v>
      </c>
      <c r="O83" s="33">
        <f t="shared" si="13"/>
        <v>15.640228953866927</v>
      </c>
      <c r="P83" s="33">
        <f t="shared" si="14"/>
        <v>15.671572098063056</v>
      </c>
      <c r="Q83" s="33">
        <f t="shared" si="7"/>
        <v>68.688198948070024</v>
      </c>
      <c r="R83" s="33">
        <f t="shared" si="15"/>
        <v>15.671572098063056</v>
      </c>
      <c r="S83" s="55">
        <f t="shared" si="8"/>
        <v>84.359771046133076</v>
      </c>
      <c r="V83" s="3"/>
    </row>
    <row r="84" spans="1:22" ht="14">
      <c r="A84" s="6">
        <v>65</v>
      </c>
      <c r="B84" s="54">
        <f t="shared" ref="B84:B115" si="24">100*(0.5)^(A84/B$3)</f>
        <v>10.511205190671435</v>
      </c>
      <c r="C84" s="54">
        <f t="shared" ref="C84:C115" si="25">100*(0.5)^(A84/B$4)</f>
        <v>36.743362306889971</v>
      </c>
      <c r="D84" s="54">
        <f t="shared" si="9"/>
        <v>0.57034930085780644</v>
      </c>
      <c r="E84" s="32">
        <f t="shared" ref="E84:E115" si="26">$D84*B$10</f>
        <v>5.7034930085780644E-2</v>
      </c>
      <c r="F84" s="32">
        <f t="shared" ref="F84:F115" si="27">$D84*B$11</f>
        <v>0.14258732521445161</v>
      </c>
      <c r="G84" s="32">
        <f t="shared" ref="G84:G115" si="28">$D84*B$12</f>
        <v>0.37072704555757419</v>
      </c>
      <c r="H84" s="32">
        <f t="shared" si="10"/>
        <v>0.28545982507933215</v>
      </c>
      <c r="I84" s="32">
        <f t="shared" si="16"/>
        <v>31.659947165401583</v>
      </c>
      <c r="J84" s="32">
        <f t="shared" si="11"/>
        <v>8.5267220478242034E-2</v>
      </c>
      <c r="K84" s="32">
        <f t="shared" ref="K84:K119" si="29">J84+E84</f>
        <v>0.14230215056402268</v>
      </c>
      <c r="L84" s="55">
        <f t="shared" si="23"/>
        <v>36.743362306889971</v>
      </c>
      <c r="M84" s="45">
        <f t="shared" si="12"/>
        <v>100</v>
      </c>
      <c r="N84" s="33">
        <f t="shared" si="17"/>
        <v>31.659947165401583</v>
      </c>
      <c r="O84" s="33">
        <f t="shared" si="13"/>
        <v>15.78253110443095</v>
      </c>
      <c r="P84" s="33">
        <f t="shared" si="14"/>
        <v>15.814159423277507</v>
      </c>
      <c r="Q84" s="33">
        <f t="shared" ref="Q84:Q119" si="30">L84+N84</f>
        <v>68.403309472291554</v>
      </c>
      <c r="R84" s="33">
        <f t="shared" ref="R84:R119" si="31">P84</f>
        <v>15.814159423277507</v>
      </c>
      <c r="S84" s="55">
        <f t="shared" ref="S84:S119" si="32">L84+N84+P84</f>
        <v>84.217468895569056</v>
      </c>
      <c r="V84" s="3"/>
    </row>
    <row r="85" spans="1:22" ht="14">
      <c r="A85" s="6">
        <v>66</v>
      </c>
      <c r="B85" s="54">
        <f t="shared" si="24"/>
        <v>10.153154954452946</v>
      </c>
      <c r="C85" s="54">
        <f t="shared" si="25"/>
        <v>36.181730936009451</v>
      </c>
      <c r="D85" s="54">
        <f t="shared" ref="D85:D119" si="33">C84-C85</f>
        <v>0.5616313708805194</v>
      </c>
      <c r="E85" s="32">
        <f t="shared" si="26"/>
        <v>5.6163137088051943E-2</v>
      </c>
      <c r="F85" s="32">
        <f t="shared" si="27"/>
        <v>0.14040784272012985</v>
      </c>
      <c r="G85" s="32">
        <f t="shared" si="28"/>
        <v>0.36506039107233762</v>
      </c>
      <c r="H85" s="32">
        <f t="shared" ref="H85:H148" si="34">G85*$B$13</f>
        <v>0.28109650112569995</v>
      </c>
      <c r="I85" s="32">
        <f t="shared" si="16"/>
        <v>31.941043666527282</v>
      </c>
      <c r="J85" s="32">
        <f t="shared" ref="J85:J119" si="35">G85-H85</f>
        <v>8.3963889946637671E-2</v>
      </c>
      <c r="K85" s="32">
        <f t="shared" si="29"/>
        <v>0.1401270270346896</v>
      </c>
      <c r="L85" s="55">
        <f t="shared" si="23"/>
        <v>36.181730936009451</v>
      </c>
      <c r="M85" s="45">
        <f t="shared" ref="M85:M117" si="36">M84</f>
        <v>100</v>
      </c>
      <c r="N85" s="33">
        <f t="shared" ref="N85:N119" si="37">N84+H85</f>
        <v>31.941043666527282</v>
      </c>
      <c r="O85" s="33">
        <f t="shared" ref="O85:O119" si="38">O84+K85</f>
        <v>15.922658131465639</v>
      </c>
      <c r="P85" s="33">
        <f t="shared" ref="P85:P119" si="39">P84+F85</f>
        <v>15.954567265997637</v>
      </c>
      <c r="Q85" s="33">
        <f t="shared" si="30"/>
        <v>68.122774602536737</v>
      </c>
      <c r="R85" s="33">
        <f t="shared" si="31"/>
        <v>15.954567265997637</v>
      </c>
      <c r="S85" s="55">
        <f t="shared" si="32"/>
        <v>84.077341868534376</v>
      </c>
      <c r="V85" s="3"/>
    </row>
    <row r="86" spans="1:22" ht="14">
      <c r="A86" s="6">
        <v>67</v>
      </c>
      <c r="B86" s="54">
        <f t="shared" si="24"/>
        <v>9.807301223709386</v>
      </c>
      <c r="C86" s="54">
        <f t="shared" si="25"/>
        <v>35.628684239392619</v>
      </c>
      <c r="D86" s="54">
        <f t="shared" si="33"/>
        <v>0.55304669661683192</v>
      </c>
      <c r="E86" s="32">
        <f t="shared" si="26"/>
        <v>5.5304669661683195E-2</v>
      </c>
      <c r="F86" s="32">
        <f t="shared" si="27"/>
        <v>0.13826167415420798</v>
      </c>
      <c r="G86" s="32">
        <f t="shared" si="28"/>
        <v>0.35948035280094076</v>
      </c>
      <c r="H86" s="32">
        <f t="shared" si="34"/>
        <v>0.27679987165672437</v>
      </c>
      <c r="I86" s="32">
        <f t="shared" ref="I86:I119" si="40">I85+H86</f>
        <v>32.217843538184006</v>
      </c>
      <c r="J86" s="32">
        <f t="shared" si="35"/>
        <v>8.2680481144216389E-2</v>
      </c>
      <c r="K86" s="32">
        <f t="shared" si="29"/>
        <v>0.13798515080589957</v>
      </c>
      <c r="L86" s="55">
        <f t="shared" si="23"/>
        <v>35.628684239392619</v>
      </c>
      <c r="M86" s="45">
        <f t="shared" si="36"/>
        <v>100</v>
      </c>
      <c r="N86" s="33">
        <f t="shared" si="37"/>
        <v>32.217843538184006</v>
      </c>
      <c r="O86" s="33">
        <f t="shared" si="38"/>
        <v>16.060643282271538</v>
      </c>
      <c r="P86" s="33">
        <f t="shared" si="39"/>
        <v>16.092828940151847</v>
      </c>
      <c r="Q86" s="33">
        <f t="shared" si="30"/>
        <v>67.846527777576625</v>
      </c>
      <c r="R86" s="33">
        <f t="shared" si="31"/>
        <v>16.092828940151847</v>
      </c>
      <c r="S86" s="55">
        <f t="shared" si="32"/>
        <v>83.939356717728472</v>
      </c>
      <c r="V86" s="3"/>
    </row>
    <row r="87" spans="1:22" ht="14">
      <c r="A87" s="6">
        <v>68</v>
      </c>
      <c r="B87" s="54">
        <f t="shared" si="24"/>
        <v>9.4732285406899894</v>
      </c>
      <c r="C87" s="54">
        <f t="shared" si="25"/>
        <v>35.084090998172371</v>
      </c>
      <c r="D87" s="54">
        <f t="shared" si="33"/>
        <v>0.5445932412202481</v>
      </c>
      <c r="E87" s="32">
        <f t="shared" si="26"/>
        <v>5.445932412202481E-2</v>
      </c>
      <c r="F87" s="32">
        <f t="shared" si="27"/>
        <v>0.13614831030506203</v>
      </c>
      <c r="G87" s="32">
        <f t="shared" si="28"/>
        <v>0.35398560679316127</v>
      </c>
      <c r="H87" s="32">
        <f t="shared" si="34"/>
        <v>0.27256891723073418</v>
      </c>
      <c r="I87" s="32">
        <f t="shared" si="40"/>
        <v>32.490412455414742</v>
      </c>
      <c r="J87" s="32">
        <f t="shared" si="35"/>
        <v>8.1416689562427091E-2</v>
      </c>
      <c r="K87" s="32">
        <f t="shared" si="29"/>
        <v>0.1358760136844519</v>
      </c>
      <c r="L87" s="55">
        <f t="shared" si="23"/>
        <v>35.084090998172371</v>
      </c>
      <c r="M87" s="45">
        <f t="shared" si="36"/>
        <v>100</v>
      </c>
      <c r="N87" s="33">
        <f t="shared" si="37"/>
        <v>32.490412455414742</v>
      </c>
      <c r="O87" s="33">
        <f t="shared" si="38"/>
        <v>16.196519295955991</v>
      </c>
      <c r="P87" s="33">
        <f t="shared" si="39"/>
        <v>16.228977250456907</v>
      </c>
      <c r="Q87" s="33">
        <f t="shared" si="30"/>
        <v>67.574503453587113</v>
      </c>
      <c r="R87" s="33">
        <f t="shared" si="31"/>
        <v>16.228977250456907</v>
      </c>
      <c r="S87" s="55">
        <f t="shared" si="32"/>
        <v>83.80348070404402</v>
      </c>
      <c r="V87" s="3"/>
    </row>
    <row r="88" spans="1:22" ht="14">
      <c r="A88" s="6">
        <v>69</v>
      </c>
      <c r="B88" s="54">
        <f t="shared" si="24"/>
        <v>9.1505355996601612</v>
      </c>
      <c r="C88" s="54">
        <f t="shared" si="25"/>
        <v>34.547821999194397</v>
      </c>
      <c r="D88" s="54">
        <f t="shared" si="33"/>
        <v>0.53626899897797387</v>
      </c>
      <c r="E88" s="32">
        <f t="shared" si="26"/>
        <v>5.3626899897797391E-2</v>
      </c>
      <c r="F88" s="32">
        <f t="shared" si="27"/>
        <v>0.13406724974449347</v>
      </c>
      <c r="G88" s="32">
        <f t="shared" si="28"/>
        <v>0.348574849335683</v>
      </c>
      <c r="H88" s="32">
        <f t="shared" si="34"/>
        <v>0.26840263398847591</v>
      </c>
      <c r="I88" s="32">
        <f t="shared" si="40"/>
        <v>32.758815089403214</v>
      </c>
      <c r="J88" s="32">
        <f t="shared" si="35"/>
        <v>8.0172215347207088E-2</v>
      </c>
      <c r="K88" s="32">
        <f t="shared" si="29"/>
        <v>0.13379911524500449</v>
      </c>
      <c r="L88" s="55">
        <f t="shared" si="23"/>
        <v>34.547821999194397</v>
      </c>
      <c r="M88" s="45">
        <f t="shared" si="36"/>
        <v>100</v>
      </c>
      <c r="N88" s="33">
        <f t="shared" si="37"/>
        <v>32.758815089403214</v>
      </c>
      <c r="O88" s="33">
        <f t="shared" si="38"/>
        <v>16.330318411200995</v>
      </c>
      <c r="P88" s="33">
        <f t="shared" si="39"/>
        <v>16.363044500201401</v>
      </c>
      <c r="Q88" s="33">
        <f t="shared" si="30"/>
        <v>67.306637088597611</v>
      </c>
      <c r="R88" s="33">
        <f t="shared" si="31"/>
        <v>16.363044500201401</v>
      </c>
      <c r="S88" s="55">
        <f t="shared" si="32"/>
        <v>83.669681588799008</v>
      </c>
      <c r="V88" s="3"/>
    </row>
    <row r="89" spans="1:22" ht="14">
      <c r="A89" s="6">
        <v>70</v>
      </c>
      <c r="B89" s="54">
        <f t="shared" si="24"/>
        <v>8.8388347648318444</v>
      </c>
      <c r="C89" s="54">
        <f t="shared" si="25"/>
        <v>34.019750004359423</v>
      </c>
      <c r="D89" s="54">
        <f t="shared" si="33"/>
        <v>0.52807199483497413</v>
      </c>
      <c r="E89" s="32">
        <f t="shared" si="26"/>
        <v>5.2807199483497415E-2</v>
      </c>
      <c r="F89" s="32">
        <f t="shared" si="27"/>
        <v>0.13201799870874353</v>
      </c>
      <c r="G89" s="32">
        <f t="shared" si="28"/>
        <v>0.34324679664273322</v>
      </c>
      <c r="H89" s="32">
        <f t="shared" si="34"/>
        <v>0.2643000334149046</v>
      </c>
      <c r="I89" s="32">
        <f t="shared" si="40"/>
        <v>33.023115122818119</v>
      </c>
      <c r="J89" s="32">
        <f t="shared" si="35"/>
        <v>7.894676322782862E-2</v>
      </c>
      <c r="K89" s="32">
        <f t="shared" si="29"/>
        <v>0.13175396271132603</v>
      </c>
      <c r="L89" s="55">
        <f t="shared" si="23"/>
        <v>34.019750004359423</v>
      </c>
      <c r="M89" s="45">
        <f t="shared" si="36"/>
        <v>100</v>
      </c>
      <c r="N89" s="33">
        <f t="shared" si="37"/>
        <v>33.023115122818119</v>
      </c>
      <c r="O89" s="33">
        <f t="shared" si="38"/>
        <v>16.462072373912321</v>
      </c>
      <c r="P89" s="33">
        <f t="shared" si="39"/>
        <v>16.495062498910144</v>
      </c>
      <c r="Q89" s="33">
        <f t="shared" si="30"/>
        <v>67.042865127177549</v>
      </c>
      <c r="R89" s="33">
        <f t="shared" si="31"/>
        <v>16.495062498910144</v>
      </c>
      <c r="S89" s="55">
        <f t="shared" si="32"/>
        <v>83.537927626087694</v>
      </c>
      <c r="V89" s="3"/>
    </row>
    <row r="90" spans="1:22" ht="14">
      <c r="A90" s="6">
        <v>71</v>
      </c>
      <c r="B90" s="54">
        <f t="shared" si="24"/>
        <v>8.5377516047149733</v>
      </c>
      <c r="C90" s="54">
        <f t="shared" si="25"/>
        <v>33.499749720433911</v>
      </c>
      <c r="D90" s="54">
        <f t="shared" si="33"/>
        <v>0.52000028392551201</v>
      </c>
      <c r="E90" s="32">
        <f t="shared" si="26"/>
        <v>5.2000028392551204E-2</v>
      </c>
      <c r="F90" s="32">
        <f t="shared" si="27"/>
        <v>0.130000070981378</v>
      </c>
      <c r="G90" s="32">
        <f t="shared" si="28"/>
        <v>0.33800018455158282</v>
      </c>
      <c r="H90" s="32">
        <f t="shared" si="34"/>
        <v>0.26026014210471876</v>
      </c>
      <c r="I90" s="32">
        <f t="shared" si="40"/>
        <v>33.283375264922839</v>
      </c>
      <c r="J90" s="32">
        <f t="shared" si="35"/>
        <v>7.7740042446864055E-2</v>
      </c>
      <c r="K90" s="32">
        <f t="shared" si="29"/>
        <v>0.12974007083941524</v>
      </c>
      <c r="L90" s="55">
        <f t="shared" si="23"/>
        <v>33.499749720433911</v>
      </c>
      <c r="M90" s="45">
        <f t="shared" si="36"/>
        <v>100</v>
      </c>
      <c r="N90" s="33">
        <f t="shared" si="37"/>
        <v>33.283375264922839</v>
      </c>
      <c r="O90" s="33">
        <f t="shared" si="38"/>
        <v>16.591812444751735</v>
      </c>
      <c r="P90" s="33">
        <f t="shared" si="39"/>
        <v>16.625062569891522</v>
      </c>
      <c r="Q90" s="33">
        <f t="shared" si="30"/>
        <v>66.78312498535675</v>
      </c>
      <c r="R90" s="33">
        <f t="shared" si="31"/>
        <v>16.625062569891522</v>
      </c>
      <c r="S90" s="55">
        <f t="shared" si="32"/>
        <v>83.408187555248276</v>
      </c>
      <c r="V90" s="3"/>
    </row>
    <row r="91" spans="1:22" ht="14">
      <c r="A91" s="6">
        <v>72</v>
      </c>
      <c r="B91" s="54">
        <f t="shared" si="24"/>
        <v>8.2469244423305899</v>
      </c>
      <c r="C91" s="54">
        <f t="shared" si="25"/>
        <v>32.987697769322359</v>
      </c>
      <c r="D91" s="54">
        <f t="shared" si="33"/>
        <v>0.51205195111155177</v>
      </c>
      <c r="E91" s="32">
        <f t="shared" si="26"/>
        <v>5.1205195111155177E-2</v>
      </c>
      <c r="F91" s="32">
        <f t="shared" si="27"/>
        <v>0.12801298777788794</v>
      </c>
      <c r="G91" s="32">
        <f t="shared" si="28"/>
        <v>0.33283376822250865</v>
      </c>
      <c r="H91" s="32">
        <f t="shared" si="34"/>
        <v>0.25628200153133168</v>
      </c>
      <c r="I91" s="32">
        <f t="shared" si="40"/>
        <v>33.539657266454171</v>
      </c>
      <c r="J91" s="32">
        <f t="shared" si="35"/>
        <v>7.655176669117697E-2</v>
      </c>
      <c r="K91" s="32">
        <f t="shared" si="29"/>
        <v>0.12775696180233215</v>
      </c>
      <c r="L91" s="55">
        <f t="shared" si="23"/>
        <v>32.987697769322359</v>
      </c>
      <c r="M91" s="45">
        <f t="shared" si="36"/>
        <v>100</v>
      </c>
      <c r="N91" s="33">
        <f t="shared" si="37"/>
        <v>33.539657266454171</v>
      </c>
      <c r="O91" s="33">
        <f t="shared" si="38"/>
        <v>16.719569406554069</v>
      </c>
      <c r="P91" s="33">
        <f t="shared" si="39"/>
        <v>16.753075557669412</v>
      </c>
      <c r="Q91" s="33">
        <f t="shared" si="30"/>
        <v>66.527355035776537</v>
      </c>
      <c r="R91" s="33">
        <f t="shared" si="31"/>
        <v>16.753075557669412</v>
      </c>
      <c r="S91" s="55">
        <f t="shared" si="32"/>
        <v>83.280430593445942</v>
      </c>
      <c r="V91" s="3"/>
    </row>
    <row r="92" spans="1:22" ht="14">
      <c r="A92" s="6">
        <v>73</v>
      </c>
      <c r="B92" s="54">
        <f t="shared" si="24"/>
        <v>7.966003920745389</v>
      </c>
      <c r="C92" s="54">
        <f t="shared" si="25"/>
        <v>32.483472658793957</v>
      </c>
      <c r="D92" s="54">
        <f t="shared" si="33"/>
        <v>0.50422511052840235</v>
      </c>
      <c r="E92" s="32">
        <f t="shared" si="26"/>
        <v>5.0422511052840235E-2</v>
      </c>
      <c r="F92" s="32">
        <f t="shared" si="27"/>
        <v>0.12605627763210059</v>
      </c>
      <c r="G92" s="32">
        <f t="shared" si="28"/>
        <v>0.32774632184346153</v>
      </c>
      <c r="H92" s="32">
        <f t="shared" si="34"/>
        <v>0.25236466781946537</v>
      </c>
      <c r="I92" s="32">
        <f t="shared" si="40"/>
        <v>33.792021934273635</v>
      </c>
      <c r="J92" s="32">
        <f t="shared" si="35"/>
        <v>7.5381654023996159E-2</v>
      </c>
      <c r="K92" s="32">
        <f t="shared" si="29"/>
        <v>0.12580416507683639</v>
      </c>
      <c r="L92" s="55">
        <f t="shared" si="23"/>
        <v>32.483472658793957</v>
      </c>
      <c r="M92" s="45">
        <f t="shared" si="36"/>
        <v>100</v>
      </c>
      <c r="N92" s="33">
        <f t="shared" si="37"/>
        <v>33.792021934273635</v>
      </c>
      <c r="O92" s="33">
        <f t="shared" si="38"/>
        <v>16.845373571630905</v>
      </c>
      <c r="P92" s="33">
        <f t="shared" si="39"/>
        <v>16.879131835301514</v>
      </c>
      <c r="Q92" s="33">
        <f t="shared" si="30"/>
        <v>66.275494593067592</v>
      </c>
      <c r="R92" s="33">
        <f t="shared" si="31"/>
        <v>16.879131835301514</v>
      </c>
      <c r="S92" s="55">
        <f t="shared" si="32"/>
        <v>83.154626428369113</v>
      </c>
      <c r="V92" s="3"/>
    </row>
    <row r="93" spans="1:22" ht="14">
      <c r="A93" s="6">
        <v>74</v>
      </c>
      <c r="B93" s="54">
        <f t="shared" si="24"/>
        <v>7.6946525834057287</v>
      </c>
      <c r="C93" s="54">
        <f t="shared" si="25"/>
        <v>31.986954753656644</v>
      </c>
      <c r="D93" s="54">
        <f t="shared" si="33"/>
        <v>0.49651790513731342</v>
      </c>
      <c r="E93" s="32">
        <f t="shared" si="26"/>
        <v>4.9651790513731343E-2</v>
      </c>
      <c r="F93" s="32">
        <f t="shared" si="27"/>
        <v>0.12412947628432836</v>
      </c>
      <c r="G93" s="32">
        <f t="shared" si="28"/>
        <v>0.32273663833925376</v>
      </c>
      <c r="H93" s="32">
        <f t="shared" si="34"/>
        <v>0.2485072115212254</v>
      </c>
      <c r="I93" s="32">
        <f t="shared" si="40"/>
        <v>34.040529145794856</v>
      </c>
      <c r="J93" s="32">
        <f t="shared" si="35"/>
        <v>7.4229426818028355E-2</v>
      </c>
      <c r="K93" s="32">
        <f t="shared" si="29"/>
        <v>0.12388121733175969</v>
      </c>
      <c r="L93" s="55">
        <f t="shared" si="23"/>
        <v>31.986954753656644</v>
      </c>
      <c r="M93" s="45">
        <f t="shared" si="36"/>
        <v>100</v>
      </c>
      <c r="N93" s="33">
        <f t="shared" si="37"/>
        <v>34.040529145794856</v>
      </c>
      <c r="O93" s="33">
        <f t="shared" si="38"/>
        <v>16.969254788962665</v>
      </c>
      <c r="P93" s="33">
        <f t="shared" si="39"/>
        <v>17.003261311585842</v>
      </c>
      <c r="Q93" s="33">
        <f t="shared" si="30"/>
        <v>66.027483899451497</v>
      </c>
      <c r="R93" s="33">
        <f t="shared" si="31"/>
        <v>17.003261311585842</v>
      </c>
      <c r="S93" s="55">
        <f t="shared" si="32"/>
        <v>83.030745211037342</v>
      </c>
      <c r="V93" s="3"/>
    </row>
    <row r="94" spans="1:22" ht="14">
      <c r="A94" s="6">
        <v>75</v>
      </c>
      <c r="B94" s="54">
        <f t="shared" si="24"/>
        <v>7.4325444687670075</v>
      </c>
      <c r="C94" s="54">
        <f t="shared" si="25"/>
        <v>31.498026247371829</v>
      </c>
      <c r="D94" s="54">
        <f t="shared" si="33"/>
        <v>0.48892850628481455</v>
      </c>
      <c r="E94" s="32">
        <f t="shared" si="26"/>
        <v>4.8892850628481456E-2</v>
      </c>
      <c r="F94" s="32">
        <f t="shared" si="27"/>
        <v>0.12223212657120364</v>
      </c>
      <c r="G94" s="32">
        <f t="shared" si="28"/>
        <v>0.31780352908512949</v>
      </c>
      <c r="H94" s="32">
        <f t="shared" si="34"/>
        <v>0.24470871739554972</v>
      </c>
      <c r="I94" s="32">
        <f t="shared" si="40"/>
        <v>34.285237863190403</v>
      </c>
      <c r="J94" s="32">
        <f t="shared" si="35"/>
        <v>7.3094811689579764E-2</v>
      </c>
      <c r="K94" s="32">
        <f t="shared" si="29"/>
        <v>0.12198766231806121</v>
      </c>
      <c r="L94" s="55">
        <f t="shared" si="23"/>
        <v>31.498026247371829</v>
      </c>
      <c r="M94" s="45">
        <f t="shared" si="36"/>
        <v>100</v>
      </c>
      <c r="N94" s="33">
        <f t="shared" si="37"/>
        <v>34.285237863190403</v>
      </c>
      <c r="O94" s="33">
        <f t="shared" si="38"/>
        <v>17.091242451280728</v>
      </c>
      <c r="P94" s="33">
        <f t="shared" si="39"/>
        <v>17.125493438157044</v>
      </c>
      <c r="Q94" s="33">
        <f t="shared" si="30"/>
        <v>65.783264110562229</v>
      </c>
      <c r="R94" s="33">
        <f t="shared" si="31"/>
        <v>17.125493438157044</v>
      </c>
      <c r="S94" s="55">
        <f t="shared" si="32"/>
        <v>82.908757548719279</v>
      </c>
      <c r="V94" s="3"/>
    </row>
    <row r="95" spans="1:22" ht="14">
      <c r="A95" s="6">
        <v>76</v>
      </c>
      <c r="B95" s="54">
        <f t="shared" si="24"/>
        <v>7.1793647187314695</v>
      </c>
      <c r="C95" s="54">
        <f t="shared" si="25"/>
        <v>31.016571134102982</v>
      </c>
      <c r="D95" s="54">
        <f t="shared" si="33"/>
        <v>0.48145511326884716</v>
      </c>
      <c r="E95" s="32">
        <f t="shared" si="26"/>
        <v>4.8145511326884716E-2</v>
      </c>
      <c r="F95" s="32">
        <f t="shared" si="27"/>
        <v>0.12036377831721179</v>
      </c>
      <c r="G95" s="32">
        <f t="shared" si="28"/>
        <v>0.31294582362475065</v>
      </c>
      <c r="H95" s="32">
        <f t="shared" si="34"/>
        <v>0.24096828419105801</v>
      </c>
      <c r="I95" s="32">
        <f t="shared" si="40"/>
        <v>34.526206147381458</v>
      </c>
      <c r="J95" s="32">
        <f t="shared" si="35"/>
        <v>7.1977539433692644E-2</v>
      </c>
      <c r="K95" s="32">
        <f t="shared" si="29"/>
        <v>0.12012305076057736</v>
      </c>
      <c r="L95" s="55">
        <f t="shared" si="23"/>
        <v>31.016571134102982</v>
      </c>
      <c r="M95" s="45">
        <f t="shared" si="36"/>
        <v>100</v>
      </c>
      <c r="N95" s="33">
        <f t="shared" si="37"/>
        <v>34.526206147381458</v>
      </c>
      <c r="O95" s="33">
        <f t="shared" si="38"/>
        <v>17.211365502041303</v>
      </c>
      <c r="P95" s="33">
        <f t="shared" si="39"/>
        <v>17.245857216474256</v>
      </c>
      <c r="Q95" s="33">
        <f t="shared" si="30"/>
        <v>65.542777281484433</v>
      </c>
      <c r="R95" s="33">
        <f t="shared" si="31"/>
        <v>17.245857216474256</v>
      </c>
      <c r="S95" s="55">
        <f t="shared" si="32"/>
        <v>82.788634497958697</v>
      </c>
      <c r="V95" s="3"/>
    </row>
    <row r="96" spans="1:22" ht="14">
      <c r="A96" s="6">
        <v>77</v>
      </c>
      <c r="B96" s="54">
        <f t="shared" si="24"/>
        <v>6.9348092004240316</v>
      </c>
      <c r="C96" s="54">
        <f t="shared" si="25"/>
        <v>30.542475181191431</v>
      </c>
      <c r="D96" s="54">
        <f t="shared" si="33"/>
        <v>0.47409595291155071</v>
      </c>
      <c r="E96" s="32">
        <f t="shared" si="26"/>
        <v>4.7409595291155071E-2</v>
      </c>
      <c r="F96" s="32">
        <f t="shared" si="27"/>
        <v>0.11852398822788768</v>
      </c>
      <c r="G96" s="32">
        <f t="shared" si="28"/>
        <v>0.30816236939250796</v>
      </c>
      <c r="H96" s="32">
        <f t="shared" si="34"/>
        <v>0.23728502443223112</v>
      </c>
      <c r="I96" s="32">
        <f t="shared" si="40"/>
        <v>34.763491171813691</v>
      </c>
      <c r="J96" s="32">
        <f t="shared" si="35"/>
        <v>7.0877344960276839E-2</v>
      </c>
      <c r="K96" s="32">
        <f t="shared" si="29"/>
        <v>0.11828694025143191</v>
      </c>
      <c r="L96" s="55">
        <f t="shared" si="23"/>
        <v>30.542475181191431</v>
      </c>
      <c r="M96" s="45">
        <f t="shared" si="36"/>
        <v>100</v>
      </c>
      <c r="N96" s="33">
        <f t="shared" si="37"/>
        <v>34.763491171813691</v>
      </c>
      <c r="O96" s="33">
        <f t="shared" si="38"/>
        <v>17.329652442292737</v>
      </c>
      <c r="P96" s="33">
        <f t="shared" si="39"/>
        <v>17.364381204702145</v>
      </c>
      <c r="Q96" s="33">
        <f t="shared" si="30"/>
        <v>65.305966353005118</v>
      </c>
      <c r="R96" s="33">
        <f t="shared" si="31"/>
        <v>17.364381204702145</v>
      </c>
      <c r="S96" s="55">
        <f t="shared" si="32"/>
        <v>82.67034755770726</v>
      </c>
      <c r="V96" s="3"/>
    </row>
    <row r="97" spans="1:22" ht="14">
      <c r="A97" s="6">
        <v>78</v>
      </c>
      <c r="B97" s="54">
        <f t="shared" si="24"/>
        <v>6.6985841408518336</v>
      </c>
      <c r="C97" s="54">
        <f t="shared" si="25"/>
        <v>30.075625902052916</v>
      </c>
      <c r="D97" s="54">
        <f t="shared" si="33"/>
        <v>0.46684927913851482</v>
      </c>
      <c r="E97" s="32">
        <f t="shared" si="26"/>
        <v>4.6684927913851482E-2</v>
      </c>
      <c r="F97" s="32">
        <f t="shared" si="27"/>
        <v>0.1167123197846287</v>
      </c>
      <c r="G97" s="32">
        <f t="shared" si="28"/>
        <v>0.30345203144003463</v>
      </c>
      <c r="H97" s="32">
        <f t="shared" si="34"/>
        <v>0.23365806420882668</v>
      </c>
      <c r="I97" s="32">
        <f t="shared" si="40"/>
        <v>34.997149236022516</v>
      </c>
      <c r="J97" s="32">
        <f t="shared" si="35"/>
        <v>6.9793967231207954E-2</v>
      </c>
      <c r="K97" s="32">
        <f t="shared" si="29"/>
        <v>0.11647889514505944</v>
      </c>
      <c r="L97" s="55">
        <f t="shared" si="23"/>
        <v>30.075625902052916</v>
      </c>
      <c r="M97" s="45">
        <f t="shared" si="36"/>
        <v>100</v>
      </c>
      <c r="N97" s="33">
        <f t="shared" si="37"/>
        <v>34.997149236022516</v>
      </c>
      <c r="O97" s="33">
        <f t="shared" si="38"/>
        <v>17.446131337437798</v>
      </c>
      <c r="P97" s="33">
        <f t="shared" si="39"/>
        <v>17.481093524486774</v>
      </c>
      <c r="Q97" s="33">
        <f t="shared" si="30"/>
        <v>65.072775138075428</v>
      </c>
      <c r="R97" s="33">
        <f t="shared" si="31"/>
        <v>17.481093524486774</v>
      </c>
      <c r="S97" s="55">
        <f t="shared" si="32"/>
        <v>82.553868662562195</v>
      </c>
      <c r="V97" s="3"/>
    </row>
    <row r="98" spans="1:22" ht="14">
      <c r="A98" s="6">
        <v>79</v>
      </c>
      <c r="B98" s="54">
        <f t="shared" si="24"/>
        <v>6.4704057740086096</v>
      </c>
      <c r="C98" s="54">
        <f t="shared" si="25"/>
        <v>29.615912529488419</v>
      </c>
      <c r="D98" s="54">
        <f t="shared" si="33"/>
        <v>0.45971337256449729</v>
      </c>
      <c r="E98" s="32">
        <f t="shared" si="26"/>
        <v>4.5971337256449731E-2</v>
      </c>
      <c r="F98" s="32">
        <f t="shared" si="27"/>
        <v>0.11492834314112432</v>
      </c>
      <c r="G98" s="32">
        <f t="shared" si="28"/>
        <v>0.29881369216692327</v>
      </c>
      <c r="H98" s="32">
        <f t="shared" si="34"/>
        <v>0.23008654296853093</v>
      </c>
      <c r="I98" s="32">
        <f t="shared" si="40"/>
        <v>35.227235778991044</v>
      </c>
      <c r="J98" s="32">
        <f t="shared" si="35"/>
        <v>6.8727149198392345E-2</v>
      </c>
      <c r="K98" s="32">
        <f t="shared" si="29"/>
        <v>0.11469848645484207</v>
      </c>
      <c r="L98" s="55">
        <f t="shared" si="23"/>
        <v>29.615912529488419</v>
      </c>
      <c r="M98" s="45">
        <f t="shared" si="36"/>
        <v>100</v>
      </c>
      <c r="N98" s="33">
        <f t="shared" si="37"/>
        <v>35.227235778991044</v>
      </c>
      <c r="O98" s="33">
        <f t="shared" si="38"/>
        <v>17.560829823892639</v>
      </c>
      <c r="P98" s="33">
        <f t="shared" si="39"/>
        <v>17.596021867627897</v>
      </c>
      <c r="Q98" s="33">
        <f t="shared" si="30"/>
        <v>64.843148308479471</v>
      </c>
      <c r="R98" s="33">
        <f t="shared" si="31"/>
        <v>17.596021867627897</v>
      </c>
      <c r="S98" s="55">
        <f t="shared" si="32"/>
        <v>82.439170176107368</v>
      </c>
      <c r="V98" s="3"/>
    </row>
    <row r="99" spans="1:22" ht="14">
      <c r="A99" s="6">
        <v>80</v>
      </c>
      <c r="B99" s="54">
        <f t="shared" si="24"/>
        <v>6.25</v>
      </c>
      <c r="C99" s="54">
        <f t="shared" si="25"/>
        <v>29.163225989402914</v>
      </c>
      <c r="D99" s="54">
        <f t="shared" si="33"/>
        <v>0.45268654008550513</v>
      </c>
      <c r="E99" s="32">
        <f t="shared" si="26"/>
        <v>4.5268654008550513E-2</v>
      </c>
      <c r="F99" s="32">
        <f t="shared" si="27"/>
        <v>0.11317163502137628</v>
      </c>
      <c r="G99" s="32">
        <f t="shared" si="28"/>
        <v>0.29424625105557833</v>
      </c>
      <c r="H99" s="32">
        <f t="shared" si="34"/>
        <v>0.22656961331279532</v>
      </c>
      <c r="I99" s="32">
        <f t="shared" si="40"/>
        <v>35.453805392303842</v>
      </c>
      <c r="J99" s="32">
        <f t="shared" si="35"/>
        <v>6.7676637742783013E-2</v>
      </c>
      <c r="K99" s="32">
        <f t="shared" si="29"/>
        <v>0.11294529175133353</v>
      </c>
      <c r="L99" s="55">
        <f t="shared" si="23"/>
        <v>29.163225989402914</v>
      </c>
      <c r="M99" s="45">
        <f t="shared" si="36"/>
        <v>100</v>
      </c>
      <c r="N99" s="33">
        <f t="shared" si="37"/>
        <v>35.453805392303842</v>
      </c>
      <c r="O99" s="33">
        <f t="shared" si="38"/>
        <v>17.673775115643974</v>
      </c>
      <c r="P99" s="33">
        <f t="shared" si="39"/>
        <v>17.709193502649274</v>
      </c>
      <c r="Q99" s="33">
        <f t="shared" si="30"/>
        <v>64.617031381706752</v>
      </c>
      <c r="R99" s="33">
        <f t="shared" si="31"/>
        <v>17.709193502649274</v>
      </c>
      <c r="S99" s="55">
        <f t="shared" si="32"/>
        <v>82.326224884356023</v>
      </c>
      <c r="V99" s="3"/>
    </row>
    <row r="100" spans="1:22" ht="14">
      <c r="A100" s="6">
        <v>81</v>
      </c>
      <c r="B100" s="54">
        <f t="shared" si="24"/>
        <v>6.0371020557802852</v>
      </c>
      <c r="C100" s="54">
        <f t="shared" si="25"/>
        <v>28.717458874925878</v>
      </c>
      <c r="D100" s="54">
        <f t="shared" si="33"/>
        <v>0.44576711447703588</v>
      </c>
      <c r="E100" s="32">
        <f t="shared" si="26"/>
        <v>4.4576711447703588E-2</v>
      </c>
      <c r="F100" s="32">
        <f t="shared" si="27"/>
        <v>0.11144177861925897</v>
      </c>
      <c r="G100" s="32">
        <f t="shared" si="28"/>
        <v>0.28974862441007332</v>
      </c>
      <c r="H100" s="32">
        <f t="shared" si="34"/>
        <v>0.22310644079575645</v>
      </c>
      <c r="I100" s="32">
        <f t="shared" si="40"/>
        <v>35.676911833099595</v>
      </c>
      <c r="J100" s="32">
        <f t="shared" si="35"/>
        <v>6.6642183614316869E-2</v>
      </c>
      <c r="K100" s="32">
        <f t="shared" si="29"/>
        <v>0.11121889506202046</v>
      </c>
      <c r="L100" s="55">
        <f t="shared" si="23"/>
        <v>28.717458874925878</v>
      </c>
      <c r="M100" s="45">
        <f t="shared" si="36"/>
        <v>100</v>
      </c>
      <c r="N100" s="33">
        <f t="shared" si="37"/>
        <v>35.676911833099595</v>
      </c>
      <c r="O100" s="33">
        <f t="shared" si="38"/>
        <v>17.784994010705994</v>
      </c>
      <c r="P100" s="33">
        <f t="shared" si="39"/>
        <v>17.820635281268533</v>
      </c>
      <c r="Q100" s="33">
        <f t="shared" si="30"/>
        <v>64.394370708025477</v>
      </c>
      <c r="R100" s="33">
        <f t="shared" si="31"/>
        <v>17.820635281268533</v>
      </c>
      <c r="S100" s="55">
        <f t="shared" si="32"/>
        <v>82.215005989294013</v>
      </c>
      <c r="V100" s="3"/>
    </row>
    <row r="101" spans="1:22" ht="14">
      <c r="A101" s="6">
        <v>82</v>
      </c>
      <c r="B101" s="54">
        <f t="shared" si="24"/>
        <v>5.8314561971050489</v>
      </c>
      <c r="C101" s="54">
        <f t="shared" si="25"/>
        <v>28.278505420927324</v>
      </c>
      <c r="D101" s="54">
        <f t="shared" si="33"/>
        <v>0.43895345399855401</v>
      </c>
      <c r="E101" s="32">
        <f t="shared" si="26"/>
        <v>4.3895345399855401E-2</v>
      </c>
      <c r="F101" s="32">
        <f t="shared" si="27"/>
        <v>0.1097383634996385</v>
      </c>
      <c r="G101" s="32">
        <f t="shared" si="28"/>
        <v>0.28531974509906011</v>
      </c>
      <c r="H101" s="32">
        <f t="shared" si="34"/>
        <v>0.2196962037262763</v>
      </c>
      <c r="I101" s="32">
        <f t="shared" si="40"/>
        <v>35.896608036825874</v>
      </c>
      <c r="J101" s="32">
        <f t="shared" si="35"/>
        <v>6.5623541372783811E-2</v>
      </c>
      <c r="K101" s="32">
        <f t="shared" si="29"/>
        <v>0.10951888677263921</v>
      </c>
      <c r="L101" s="55">
        <f t="shared" si="23"/>
        <v>28.278505420927324</v>
      </c>
      <c r="M101" s="45">
        <f t="shared" si="36"/>
        <v>100</v>
      </c>
      <c r="N101" s="33">
        <f t="shared" si="37"/>
        <v>35.896608036825874</v>
      </c>
      <c r="O101" s="33">
        <f t="shared" si="38"/>
        <v>17.894512897478634</v>
      </c>
      <c r="P101" s="33">
        <f t="shared" si="39"/>
        <v>17.930373644768171</v>
      </c>
      <c r="Q101" s="33">
        <f t="shared" si="30"/>
        <v>64.175113457753199</v>
      </c>
      <c r="R101" s="33">
        <f t="shared" si="31"/>
        <v>17.930373644768171</v>
      </c>
      <c r="S101" s="55">
        <f t="shared" si="32"/>
        <v>82.105487102521366</v>
      </c>
      <c r="V101" s="3"/>
    </row>
    <row r="102" spans="1:22" ht="14">
      <c r="A102" s="6">
        <v>83</v>
      </c>
      <c r="B102" s="54">
        <f t="shared" si="24"/>
        <v>5.6328153913176866</v>
      </c>
      <c r="C102" s="54">
        <f t="shared" si="25"/>
        <v>27.846261478923424</v>
      </c>
      <c r="D102" s="54">
        <f t="shared" si="33"/>
        <v>0.43224394200390037</v>
      </c>
      <c r="E102" s="32">
        <f t="shared" si="26"/>
        <v>4.3224394200390037E-2</v>
      </c>
      <c r="F102" s="32">
        <f t="shared" si="27"/>
        <v>0.10806098550097509</v>
      </c>
      <c r="G102" s="32">
        <f t="shared" si="28"/>
        <v>0.28095856230253524</v>
      </c>
      <c r="H102" s="32">
        <f t="shared" si="34"/>
        <v>0.21633809297295215</v>
      </c>
      <c r="I102" s="32">
        <f t="shared" si="40"/>
        <v>36.112946129798829</v>
      </c>
      <c r="J102" s="32">
        <f t="shared" si="35"/>
        <v>6.4620469329583097E-2</v>
      </c>
      <c r="K102" s="32">
        <f t="shared" si="29"/>
        <v>0.10784486352997313</v>
      </c>
      <c r="L102" s="55">
        <f t="shared" si="23"/>
        <v>27.846261478923424</v>
      </c>
      <c r="M102" s="45">
        <f t="shared" si="36"/>
        <v>100</v>
      </c>
      <c r="N102" s="33">
        <f t="shared" si="37"/>
        <v>36.112946129798829</v>
      </c>
      <c r="O102" s="33">
        <f t="shared" si="38"/>
        <v>18.002357761008607</v>
      </c>
      <c r="P102" s="33">
        <f t="shared" si="39"/>
        <v>18.038434630269144</v>
      </c>
      <c r="Q102" s="33">
        <f t="shared" si="30"/>
        <v>63.959207608722252</v>
      </c>
      <c r="R102" s="33">
        <f t="shared" si="31"/>
        <v>18.038434630269144</v>
      </c>
      <c r="S102" s="55">
        <f t="shared" si="32"/>
        <v>81.997642238991403</v>
      </c>
      <c r="V102" s="3"/>
    </row>
    <row r="103" spans="1:22" ht="14">
      <c r="A103" s="6">
        <v>84</v>
      </c>
      <c r="B103" s="54">
        <f t="shared" si="24"/>
        <v>5.4409410206007767</v>
      </c>
      <c r="C103" s="54">
        <f t="shared" si="25"/>
        <v>27.420624492365647</v>
      </c>
      <c r="D103" s="54">
        <f t="shared" si="33"/>
        <v>0.42563698655777671</v>
      </c>
      <c r="E103" s="32">
        <f t="shared" si="26"/>
        <v>4.2563698655777672E-2</v>
      </c>
      <c r="F103" s="32">
        <f t="shared" si="27"/>
        <v>0.10640924663944418</v>
      </c>
      <c r="G103" s="32">
        <f t="shared" si="28"/>
        <v>0.27666404126255489</v>
      </c>
      <c r="H103" s="32">
        <f t="shared" si="34"/>
        <v>0.21303131177216728</v>
      </c>
      <c r="I103" s="32">
        <f t="shared" si="40"/>
        <v>36.325977441570998</v>
      </c>
      <c r="J103" s="32">
        <f t="shared" si="35"/>
        <v>6.3632729490387618E-2</v>
      </c>
      <c r="K103" s="32">
        <f t="shared" si="29"/>
        <v>0.10619642814616528</v>
      </c>
      <c r="L103" s="55">
        <f t="shared" si="23"/>
        <v>27.420624492365647</v>
      </c>
      <c r="M103" s="45">
        <f t="shared" si="36"/>
        <v>100</v>
      </c>
      <c r="N103" s="33">
        <f t="shared" si="37"/>
        <v>36.325977441570998</v>
      </c>
      <c r="O103" s="33">
        <f t="shared" si="38"/>
        <v>18.108554189154773</v>
      </c>
      <c r="P103" s="33">
        <f t="shared" si="39"/>
        <v>18.144843876908588</v>
      </c>
      <c r="Q103" s="33">
        <f t="shared" si="30"/>
        <v>63.746601933936645</v>
      </c>
      <c r="R103" s="33">
        <f t="shared" si="31"/>
        <v>18.144843876908588</v>
      </c>
      <c r="S103" s="55">
        <f t="shared" si="32"/>
        <v>81.891445810845227</v>
      </c>
      <c r="V103" s="3"/>
    </row>
    <row r="104" spans="1:22" ht="14">
      <c r="A104" s="6">
        <v>85</v>
      </c>
      <c r="B104" s="54">
        <f t="shared" si="24"/>
        <v>5.2556025953357164</v>
      </c>
      <c r="C104" s="54">
        <f t="shared" si="25"/>
        <v>27.001493472307654</v>
      </c>
      <c r="D104" s="54">
        <f t="shared" si="33"/>
        <v>0.41913102005799274</v>
      </c>
      <c r="E104" s="32">
        <f t="shared" si="26"/>
        <v>4.1913102005799278E-2</v>
      </c>
      <c r="F104" s="32">
        <f t="shared" si="27"/>
        <v>0.10478275501449819</v>
      </c>
      <c r="G104" s="32">
        <f t="shared" si="28"/>
        <v>0.27243516303769527</v>
      </c>
      <c r="H104" s="32">
        <f t="shared" si="34"/>
        <v>0.20977507553902536</v>
      </c>
      <c r="I104" s="32">
        <f t="shared" si="40"/>
        <v>36.535752517110026</v>
      </c>
      <c r="J104" s="32">
        <f t="shared" si="35"/>
        <v>6.2660087498669914E-2</v>
      </c>
      <c r="K104" s="32">
        <f t="shared" si="29"/>
        <v>0.1045731895044692</v>
      </c>
      <c r="L104" s="55">
        <f t="shared" si="23"/>
        <v>27.001493472307654</v>
      </c>
      <c r="M104" s="45">
        <f t="shared" si="36"/>
        <v>100</v>
      </c>
      <c r="N104" s="33">
        <f t="shared" si="37"/>
        <v>36.535752517110026</v>
      </c>
      <c r="O104" s="33">
        <f t="shared" si="38"/>
        <v>18.213127378659241</v>
      </c>
      <c r="P104" s="33">
        <f t="shared" si="39"/>
        <v>18.249626631923086</v>
      </c>
      <c r="Q104" s="33">
        <f t="shared" si="30"/>
        <v>63.537245989417684</v>
      </c>
      <c r="R104" s="33">
        <f t="shared" si="31"/>
        <v>18.249626631923086</v>
      </c>
      <c r="S104" s="55">
        <f t="shared" si="32"/>
        <v>81.786872621340763</v>
      </c>
      <c r="V104" s="3"/>
    </row>
    <row r="105" spans="1:22" ht="14">
      <c r="A105" s="6">
        <v>86</v>
      </c>
      <c r="B105" s="54">
        <f t="shared" si="24"/>
        <v>5.076577477226472</v>
      </c>
      <c r="C105" s="54">
        <f t="shared" si="25"/>
        <v>26.588768973444093</v>
      </c>
      <c r="D105" s="54">
        <f t="shared" si="33"/>
        <v>0.412724498863561</v>
      </c>
      <c r="E105" s="32">
        <f t="shared" si="26"/>
        <v>4.1272449886356102E-2</v>
      </c>
      <c r="F105" s="32">
        <f t="shared" si="27"/>
        <v>0.10318112471589025</v>
      </c>
      <c r="G105" s="32">
        <f t="shared" si="28"/>
        <v>0.26827092426131466</v>
      </c>
      <c r="H105" s="32">
        <f t="shared" si="34"/>
        <v>0.20656861168121229</v>
      </c>
      <c r="I105" s="32">
        <f t="shared" si="40"/>
        <v>36.742321128791239</v>
      </c>
      <c r="J105" s="32">
        <f t="shared" si="35"/>
        <v>6.1702312580102364E-2</v>
      </c>
      <c r="K105" s="32">
        <f t="shared" si="29"/>
        <v>0.10297476246645847</v>
      </c>
      <c r="L105" s="55">
        <f t="shared" si="23"/>
        <v>26.588768973444093</v>
      </c>
      <c r="M105" s="45">
        <f t="shared" si="36"/>
        <v>100</v>
      </c>
      <c r="N105" s="33">
        <f t="shared" si="37"/>
        <v>36.742321128791239</v>
      </c>
      <c r="O105" s="33">
        <f t="shared" si="38"/>
        <v>18.3161021411257</v>
      </c>
      <c r="P105" s="33">
        <f t="shared" si="39"/>
        <v>18.352807756638974</v>
      </c>
      <c r="Q105" s="33">
        <f t="shared" si="30"/>
        <v>63.331090102235336</v>
      </c>
      <c r="R105" s="33">
        <f t="shared" si="31"/>
        <v>18.352807756638974</v>
      </c>
      <c r="S105" s="55">
        <f t="shared" si="32"/>
        <v>81.683897858874303</v>
      </c>
      <c r="V105" s="3"/>
    </row>
    <row r="106" spans="1:22" ht="14">
      <c r="A106" s="6">
        <v>87</v>
      </c>
      <c r="B106" s="54">
        <f t="shared" si="24"/>
        <v>4.9036506118546948</v>
      </c>
      <c r="C106" s="54">
        <f t="shared" si="25"/>
        <v>26.182353070515674</v>
      </c>
      <c r="D106" s="54">
        <f t="shared" si="33"/>
        <v>0.40641590292841911</v>
      </c>
      <c r="E106" s="32">
        <f t="shared" si="26"/>
        <v>4.0641590292841916E-2</v>
      </c>
      <c r="F106" s="32">
        <f t="shared" si="27"/>
        <v>0.10160397573210478</v>
      </c>
      <c r="G106" s="32">
        <f t="shared" si="28"/>
        <v>0.26417033690347241</v>
      </c>
      <c r="H106" s="32">
        <f t="shared" si="34"/>
        <v>0.20341115941567375</v>
      </c>
      <c r="I106" s="32">
        <f t="shared" si="40"/>
        <v>36.945732288206912</v>
      </c>
      <c r="J106" s="32">
        <f t="shared" si="35"/>
        <v>6.075917748779866E-2</v>
      </c>
      <c r="K106" s="32">
        <f t="shared" si="29"/>
        <v>0.10140076778064058</v>
      </c>
      <c r="L106" s="55">
        <f t="shared" si="23"/>
        <v>26.182353070515674</v>
      </c>
      <c r="M106" s="45">
        <f t="shared" si="36"/>
        <v>100</v>
      </c>
      <c r="N106" s="33">
        <f t="shared" si="37"/>
        <v>36.945732288206912</v>
      </c>
      <c r="O106" s="33">
        <f t="shared" si="38"/>
        <v>18.417502908906339</v>
      </c>
      <c r="P106" s="33">
        <f t="shared" si="39"/>
        <v>18.454411732371078</v>
      </c>
      <c r="Q106" s="33">
        <f t="shared" si="30"/>
        <v>63.128085358722586</v>
      </c>
      <c r="R106" s="33">
        <f t="shared" si="31"/>
        <v>18.454411732371078</v>
      </c>
      <c r="S106" s="55">
        <f t="shared" si="32"/>
        <v>81.582497091093671</v>
      </c>
      <c r="V106" s="3"/>
    </row>
    <row r="107" spans="1:22" ht="14">
      <c r="A107" s="6">
        <v>88</v>
      </c>
      <c r="B107" s="54">
        <f t="shared" si="24"/>
        <v>4.7366142703449947</v>
      </c>
      <c r="C107" s="54">
        <f t="shared" si="25"/>
        <v>25.782149335074887</v>
      </c>
      <c r="D107" s="54">
        <f t="shared" si="33"/>
        <v>0.4002037354407868</v>
      </c>
      <c r="E107" s="32">
        <f t="shared" si="26"/>
        <v>4.0020373544078683E-2</v>
      </c>
      <c r="F107" s="32">
        <f t="shared" si="27"/>
        <v>0.1000509338601967</v>
      </c>
      <c r="G107" s="32">
        <f t="shared" si="28"/>
        <v>0.26013242803651143</v>
      </c>
      <c r="H107" s="32">
        <f t="shared" si="34"/>
        <v>0.2003019695881138</v>
      </c>
      <c r="I107" s="32">
        <f t="shared" si="40"/>
        <v>37.146034257795023</v>
      </c>
      <c r="J107" s="32">
        <f t="shared" si="35"/>
        <v>5.9830458448397628E-2</v>
      </c>
      <c r="K107" s="32">
        <f t="shared" si="29"/>
        <v>9.985083199247631E-2</v>
      </c>
      <c r="L107" s="55">
        <f t="shared" si="23"/>
        <v>25.782149335074887</v>
      </c>
      <c r="M107" s="45">
        <f t="shared" si="36"/>
        <v>100</v>
      </c>
      <c r="N107" s="33">
        <f t="shared" si="37"/>
        <v>37.146034257795023</v>
      </c>
      <c r="O107" s="33">
        <f t="shared" si="38"/>
        <v>18.517353740898816</v>
      </c>
      <c r="P107" s="33">
        <f t="shared" si="39"/>
        <v>18.554462666231274</v>
      </c>
      <c r="Q107" s="33">
        <f t="shared" si="30"/>
        <v>62.928183592869914</v>
      </c>
      <c r="R107" s="33">
        <f t="shared" si="31"/>
        <v>18.554462666231274</v>
      </c>
      <c r="S107" s="55">
        <f t="shared" si="32"/>
        <v>81.482646259101188</v>
      </c>
      <c r="V107" s="3"/>
    </row>
    <row r="108" spans="1:22" ht="14">
      <c r="A108" s="6">
        <v>89</v>
      </c>
      <c r="B108" s="54">
        <f t="shared" si="24"/>
        <v>4.5752677998300797</v>
      </c>
      <c r="C108" s="54">
        <f t="shared" si="25"/>
        <v>25.388062812606876</v>
      </c>
      <c r="D108" s="54">
        <f t="shared" si="33"/>
        <v>0.39408652246801168</v>
      </c>
      <c r="E108" s="32">
        <f t="shared" si="26"/>
        <v>3.9408652246801172E-2</v>
      </c>
      <c r="F108" s="32">
        <f t="shared" si="27"/>
        <v>9.852163061700292E-2</v>
      </c>
      <c r="G108" s="32">
        <f t="shared" si="28"/>
        <v>0.25615623960420758</v>
      </c>
      <c r="H108" s="32">
        <f t="shared" si="34"/>
        <v>0.19724030449523985</v>
      </c>
      <c r="I108" s="32">
        <f t="shared" si="40"/>
        <v>37.343274562290262</v>
      </c>
      <c r="J108" s="32">
        <f t="shared" si="35"/>
        <v>5.8915935108967726E-2</v>
      </c>
      <c r="K108" s="32">
        <f t="shared" si="29"/>
        <v>9.8324587355768905E-2</v>
      </c>
      <c r="L108" s="55">
        <f t="shared" si="23"/>
        <v>25.388062812606876</v>
      </c>
      <c r="M108" s="45">
        <f t="shared" si="36"/>
        <v>100</v>
      </c>
      <c r="N108" s="33">
        <f t="shared" si="37"/>
        <v>37.343274562290262</v>
      </c>
      <c r="O108" s="33">
        <f t="shared" si="38"/>
        <v>18.615678328254585</v>
      </c>
      <c r="P108" s="33">
        <f t="shared" si="39"/>
        <v>18.652984296848278</v>
      </c>
      <c r="Q108" s="33">
        <f t="shared" si="30"/>
        <v>62.731337374897137</v>
      </c>
      <c r="R108" s="33">
        <f t="shared" si="31"/>
        <v>18.652984296848278</v>
      </c>
      <c r="S108" s="55">
        <f t="shared" si="32"/>
        <v>81.384321671745411</v>
      </c>
      <c r="V108" s="3"/>
    </row>
    <row r="109" spans="1:22" ht="14">
      <c r="A109" s="6">
        <v>90</v>
      </c>
      <c r="B109" s="54">
        <f t="shared" si="24"/>
        <v>4.4194173824159222</v>
      </c>
      <c r="C109" s="54">
        <f t="shared" si="25"/>
        <v>25</v>
      </c>
      <c r="D109" s="54">
        <f t="shared" si="33"/>
        <v>0.3880628126068757</v>
      </c>
      <c r="E109" s="32">
        <f t="shared" si="26"/>
        <v>3.8806281260687574E-2</v>
      </c>
      <c r="F109" s="32">
        <f t="shared" si="27"/>
        <v>9.7015703151718924E-2</v>
      </c>
      <c r="G109" s="32">
        <f t="shared" si="28"/>
        <v>0.25224082819446919</v>
      </c>
      <c r="H109" s="32">
        <f t="shared" si="34"/>
        <v>0.19422543770974129</v>
      </c>
      <c r="I109" s="32">
        <f t="shared" si="40"/>
        <v>37.537500000000001</v>
      </c>
      <c r="J109" s="32">
        <f t="shared" si="35"/>
        <v>5.8015390484727897E-2</v>
      </c>
      <c r="K109" s="32">
        <f t="shared" si="29"/>
        <v>9.6821671745415477E-2</v>
      </c>
      <c r="L109" s="55">
        <f t="shared" si="23"/>
        <v>25</v>
      </c>
      <c r="M109" s="45">
        <f t="shared" si="36"/>
        <v>100</v>
      </c>
      <c r="N109" s="33">
        <f t="shared" si="37"/>
        <v>37.537500000000001</v>
      </c>
      <c r="O109" s="33">
        <f t="shared" si="38"/>
        <v>18.712500000000002</v>
      </c>
      <c r="P109" s="33">
        <f t="shared" si="39"/>
        <v>18.749999999999996</v>
      </c>
      <c r="Q109" s="33">
        <f t="shared" si="30"/>
        <v>62.537500000000001</v>
      </c>
      <c r="R109" s="33">
        <f t="shared" si="31"/>
        <v>18.749999999999996</v>
      </c>
      <c r="S109" s="55">
        <f t="shared" si="32"/>
        <v>81.287499999999994</v>
      </c>
      <c r="V109" s="3"/>
    </row>
    <row r="110" spans="1:22" ht="14">
      <c r="A110" s="6">
        <v>91</v>
      </c>
      <c r="B110" s="54">
        <f t="shared" si="24"/>
        <v>4.2688758023574866</v>
      </c>
      <c r="C110" s="54">
        <f t="shared" si="25"/>
        <v>24.617868823360784</v>
      </c>
      <c r="D110" s="54">
        <f t="shared" si="33"/>
        <v>0.38213117663921636</v>
      </c>
      <c r="E110" s="32">
        <f t="shared" si="26"/>
        <v>3.8213117663921638E-2</v>
      </c>
      <c r="F110" s="32">
        <f t="shared" si="27"/>
        <v>9.5532794159804091E-2</v>
      </c>
      <c r="G110" s="32">
        <f t="shared" si="28"/>
        <v>0.24838526481549064</v>
      </c>
      <c r="H110" s="32">
        <f t="shared" si="34"/>
        <v>0.19125665390792779</v>
      </c>
      <c r="I110" s="32">
        <f t="shared" si="40"/>
        <v>37.728756653907929</v>
      </c>
      <c r="J110" s="32">
        <f t="shared" si="35"/>
        <v>5.7128610907562855E-2</v>
      </c>
      <c r="K110" s="32">
        <f t="shared" si="29"/>
        <v>9.5341728571484485E-2</v>
      </c>
      <c r="L110" s="55">
        <f t="shared" si="23"/>
        <v>24.617868823360784</v>
      </c>
      <c r="M110" s="45">
        <f t="shared" si="36"/>
        <v>100</v>
      </c>
      <c r="N110" s="33">
        <f t="shared" si="37"/>
        <v>37.728756653907929</v>
      </c>
      <c r="O110" s="33">
        <f t="shared" si="38"/>
        <v>18.807841728571486</v>
      </c>
      <c r="P110" s="33">
        <f t="shared" si="39"/>
        <v>18.845532794159801</v>
      </c>
      <c r="Q110" s="33">
        <f t="shared" si="30"/>
        <v>62.346625477268717</v>
      </c>
      <c r="R110" s="33">
        <f t="shared" si="31"/>
        <v>18.845532794159801</v>
      </c>
      <c r="S110" s="55">
        <f t="shared" si="32"/>
        <v>81.192158271428525</v>
      </c>
      <c r="V110" s="3"/>
    </row>
    <row r="111" spans="1:22" ht="14">
      <c r="A111" s="6">
        <v>92</v>
      </c>
      <c r="B111" s="54">
        <f t="shared" si="24"/>
        <v>4.1234622211652967</v>
      </c>
      <c r="C111" s="54">
        <f t="shared" si="25"/>
        <v>24.241578616167953</v>
      </c>
      <c r="D111" s="54">
        <f t="shared" si="33"/>
        <v>0.37629020719283091</v>
      </c>
      <c r="E111" s="32">
        <f t="shared" si="26"/>
        <v>3.7629020719283091E-2</v>
      </c>
      <c r="F111" s="32">
        <f t="shared" si="27"/>
        <v>9.4072551798207726E-2</v>
      </c>
      <c r="G111" s="32">
        <f t="shared" si="28"/>
        <v>0.24458863467534009</v>
      </c>
      <c r="H111" s="32">
        <f t="shared" si="34"/>
        <v>0.18833324870001186</v>
      </c>
      <c r="I111" s="32">
        <f t="shared" si="40"/>
        <v>37.917089902607941</v>
      </c>
      <c r="J111" s="32">
        <f t="shared" si="35"/>
        <v>5.6255385975328226E-2</v>
      </c>
      <c r="K111" s="32">
        <f t="shared" si="29"/>
        <v>9.3884406694611316E-2</v>
      </c>
      <c r="L111" s="55">
        <f t="shared" si="23"/>
        <v>24.241578616167953</v>
      </c>
      <c r="M111" s="45">
        <f t="shared" si="36"/>
        <v>100</v>
      </c>
      <c r="N111" s="33">
        <f t="shared" si="37"/>
        <v>37.917089902607941</v>
      </c>
      <c r="O111" s="33">
        <f t="shared" si="38"/>
        <v>18.901726135266095</v>
      </c>
      <c r="P111" s="33">
        <f t="shared" si="39"/>
        <v>18.939605345958007</v>
      </c>
      <c r="Q111" s="33">
        <f t="shared" si="30"/>
        <v>62.158668518775897</v>
      </c>
      <c r="R111" s="33">
        <f t="shared" si="31"/>
        <v>18.939605345958007</v>
      </c>
      <c r="S111" s="55">
        <f t="shared" si="32"/>
        <v>81.098273864733898</v>
      </c>
      <c r="V111" s="3"/>
    </row>
    <row r="112" spans="1:22" ht="14">
      <c r="A112" s="6">
        <v>93</v>
      </c>
      <c r="B112" s="54">
        <f t="shared" si="24"/>
        <v>3.9830019603726945</v>
      </c>
      <c r="C112" s="54">
        <f t="shared" si="25"/>
        <v>23.871040097760414</v>
      </c>
      <c r="D112" s="54">
        <f t="shared" si="33"/>
        <v>0.37053851840753893</v>
      </c>
      <c r="E112" s="32">
        <f t="shared" si="26"/>
        <v>3.7053851840753896E-2</v>
      </c>
      <c r="F112" s="32">
        <f t="shared" si="27"/>
        <v>9.2634629601884733E-2</v>
      </c>
      <c r="G112" s="32">
        <f t="shared" si="28"/>
        <v>0.24085003696490032</v>
      </c>
      <c r="H112" s="32">
        <f t="shared" si="34"/>
        <v>0.18545452846297325</v>
      </c>
      <c r="I112" s="32">
        <f t="shared" si="40"/>
        <v>38.102544431070918</v>
      </c>
      <c r="J112" s="32">
        <f t="shared" si="35"/>
        <v>5.5395508501927065E-2</v>
      </c>
      <c r="K112" s="32">
        <f t="shared" si="29"/>
        <v>9.2449360342680961E-2</v>
      </c>
      <c r="L112" s="55">
        <f t="shared" si="23"/>
        <v>23.871040097760414</v>
      </c>
      <c r="M112" s="45">
        <f t="shared" si="36"/>
        <v>100</v>
      </c>
      <c r="N112" s="33">
        <f t="shared" si="37"/>
        <v>38.102544431070918</v>
      </c>
      <c r="O112" s="33">
        <f t="shared" si="38"/>
        <v>18.994175495608776</v>
      </c>
      <c r="P112" s="33">
        <f t="shared" si="39"/>
        <v>19.032239975559893</v>
      </c>
      <c r="Q112" s="33">
        <f t="shared" si="30"/>
        <v>61.973584528831331</v>
      </c>
      <c r="R112" s="33">
        <f t="shared" si="31"/>
        <v>19.032239975559893</v>
      </c>
      <c r="S112" s="55">
        <f t="shared" si="32"/>
        <v>81.005824504391228</v>
      </c>
      <c r="V112" s="3"/>
    </row>
    <row r="113" spans="1:22" ht="14">
      <c r="A113" s="6">
        <v>94</v>
      </c>
      <c r="B113" s="54">
        <f t="shared" si="24"/>
        <v>3.8473262917028634</v>
      </c>
      <c r="C113" s="54">
        <f t="shared" si="25"/>
        <v>23.506165352154049</v>
      </c>
      <c r="D113" s="54">
        <f t="shared" si="33"/>
        <v>0.36487474560636457</v>
      </c>
      <c r="E113" s="32">
        <f t="shared" si="26"/>
        <v>3.648747456063646E-2</v>
      </c>
      <c r="F113" s="32">
        <f t="shared" si="27"/>
        <v>9.1218686401591142E-2</v>
      </c>
      <c r="G113" s="32">
        <f t="shared" si="28"/>
        <v>0.23716858464413698</v>
      </c>
      <c r="H113" s="32">
        <f t="shared" si="34"/>
        <v>0.18261981017598547</v>
      </c>
      <c r="I113" s="32">
        <f t="shared" si="40"/>
        <v>38.285164241246903</v>
      </c>
      <c r="J113" s="32">
        <f t="shared" si="35"/>
        <v>5.4548774468151512E-2</v>
      </c>
      <c r="K113" s="32">
        <f t="shared" si="29"/>
        <v>9.1036249028787972E-2</v>
      </c>
      <c r="L113" s="55">
        <f t="shared" si="23"/>
        <v>23.506165352154049</v>
      </c>
      <c r="M113" s="45">
        <f t="shared" si="36"/>
        <v>100</v>
      </c>
      <c r="N113" s="33">
        <f t="shared" si="37"/>
        <v>38.285164241246903</v>
      </c>
      <c r="O113" s="33">
        <f t="shared" si="38"/>
        <v>19.085211744637565</v>
      </c>
      <c r="P113" s="33">
        <f t="shared" si="39"/>
        <v>19.123458661961486</v>
      </c>
      <c r="Q113" s="33">
        <f t="shared" si="30"/>
        <v>61.791329593400953</v>
      </c>
      <c r="R113" s="33">
        <f t="shared" si="31"/>
        <v>19.123458661961486</v>
      </c>
      <c r="S113" s="55">
        <f t="shared" si="32"/>
        <v>80.914788255362438</v>
      </c>
      <c r="V113" s="3"/>
    </row>
    <row r="114" spans="1:22" ht="14">
      <c r="A114" s="6">
        <v>95</v>
      </c>
      <c r="B114" s="54">
        <f t="shared" si="24"/>
        <v>3.7162722343835033</v>
      </c>
      <c r="C114" s="54">
        <f t="shared" si="25"/>
        <v>23.146867807182261</v>
      </c>
      <c r="D114" s="54">
        <f t="shared" si="33"/>
        <v>0.35929754497178834</v>
      </c>
      <c r="E114" s="32">
        <f t="shared" si="26"/>
        <v>3.5929754497178834E-2</v>
      </c>
      <c r="F114" s="32">
        <f t="shared" si="27"/>
        <v>8.9824386242947085E-2</v>
      </c>
      <c r="G114" s="32">
        <f t="shared" si="28"/>
        <v>0.23354340423166242</v>
      </c>
      <c r="H114" s="32">
        <f t="shared" si="34"/>
        <v>0.17982842125838006</v>
      </c>
      <c r="I114" s="32">
        <f t="shared" si="40"/>
        <v>38.464992662505281</v>
      </c>
      <c r="J114" s="32">
        <f t="shared" si="35"/>
        <v>5.3714982973282366E-2</v>
      </c>
      <c r="K114" s="32">
        <f t="shared" si="29"/>
        <v>8.96447374704612E-2</v>
      </c>
      <c r="L114" s="55">
        <f t="shared" si="23"/>
        <v>23.146867807182261</v>
      </c>
      <c r="M114" s="45">
        <f t="shared" si="36"/>
        <v>100</v>
      </c>
      <c r="N114" s="33">
        <f t="shared" si="37"/>
        <v>38.464992662505281</v>
      </c>
      <c r="O114" s="33">
        <f t="shared" si="38"/>
        <v>19.174856482108027</v>
      </c>
      <c r="P114" s="33">
        <f t="shared" si="39"/>
        <v>19.213283048204431</v>
      </c>
      <c r="Q114" s="33">
        <f t="shared" si="30"/>
        <v>61.611860469687542</v>
      </c>
      <c r="R114" s="33">
        <f t="shared" si="31"/>
        <v>19.213283048204431</v>
      </c>
      <c r="S114" s="55">
        <f t="shared" si="32"/>
        <v>80.825143517891973</v>
      </c>
      <c r="V114" s="3"/>
    </row>
    <row r="115" spans="1:22" ht="14">
      <c r="A115" s="6">
        <v>96</v>
      </c>
      <c r="B115" s="54">
        <f t="shared" si="24"/>
        <v>3.5896823593657348</v>
      </c>
      <c r="C115" s="54">
        <f t="shared" si="25"/>
        <v>22.793062213955423</v>
      </c>
      <c r="D115" s="54">
        <f t="shared" si="33"/>
        <v>0.3538055932268378</v>
      </c>
      <c r="E115" s="32">
        <f t="shared" si="26"/>
        <v>3.5380559322683781E-2</v>
      </c>
      <c r="F115" s="32">
        <f t="shared" si="27"/>
        <v>8.845139830670945E-2</v>
      </c>
      <c r="G115" s="32">
        <f t="shared" si="28"/>
        <v>0.22997363559744458</v>
      </c>
      <c r="H115" s="32">
        <f t="shared" si="34"/>
        <v>0.17707969941003232</v>
      </c>
      <c r="I115" s="32">
        <f t="shared" si="40"/>
        <v>38.642072361915311</v>
      </c>
      <c r="J115" s="32">
        <f t="shared" si="35"/>
        <v>5.2893936187412255E-2</v>
      </c>
      <c r="K115" s="32">
        <f t="shared" si="29"/>
        <v>8.8274495510096029E-2</v>
      </c>
      <c r="L115" s="55">
        <f t="shared" si="23"/>
        <v>22.793062213955423</v>
      </c>
      <c r="M115" s="45">
        <f t="shared" si="36"/>
        <v>100</v>
      </c>
      <c r="N115" s="33">
        <f t="shared" si="37"/>
        <v>38.642072361915311</v>
      </c>
      <c r="O115" s="33">
        <f t="shared" si="38"/>
        <v>19.263130977618122</v>
      </c>
      <c r="P115" s="33">
        <f t="shared" si="39"/>
        <v>19.301734446511141</v>
      </c>
      <c r="Q115" s="33">
        <f t="shared" si="30"/>
        <v>61.435134575870734</v>
      </c>
      <c r="R115" s="33">
        <f t="shared" si="31"/>
        <v>19.301734446511141</v>
      </c>
      <c r="S115" s="55">
        <f t="shared" si="32"/>
        <v>80.736869022381882</v>
      </c>
      <c r="V115" s="3"/>
    </row>
    <row r="116" spans="1:22" ht="14">
      <c r="A116" s="6">
        <v>97</v>
      </c>
      <c r="B116" s="54">
        <f t="shared" ref="B116:B147" si="41">100*(0.5)^(A116/B$3)</f>
        <v>3.4674046002120171</v>
      </c>
      <c r="C116" s="54">
        <f t="shared" ref="C116:C147" si="42">100*(0.5)^(A116/B$4)</f>
        <v>22.444664626634236</v>
      </c>
      <c r="D116" s="54">
        <f t="shared" si="33"/>
        <v>0.34839758732118753</v>
      </c>
      <c r="E116" s="32">
        <f t="shared" ref="E116:E147" si="43">$D116*B$10</f>
        <v>3.4839758732118753E-2</v>
      </c>
      <c r="F116" s="32">
        <f t="shared" ref="F116:F147" si="44">$D116*B$11</f>
        <v>8.7099396830296882E-2</v>
      </c>
      <c r="G116" s="32">
        <f t="shared" ref="G116:G147" si="45">$D116*B$12</f>
        <v>0.22645843175877189</v>
      </c>
      <c r="H116" s="32">
        <f t="shared" si="34"/>
        <v>0.17437299245425436</v>
      </c>
      <c r="I116" s="32">
        <f t="shared" si="40"/>
        <v>38.816445354369563</v>
      </c>
      <c r="J116" s="32">
        <f t="shared" si="35"/>
        <v>5.2085439304517533E-2</v>
      </c>
      <c r="K116" s="32">
        <f t="shared" si="29"/>
        <v>8.6925198036636286E-2</v>
      </c>
      <c r="L116" s="55">
        <f t="shared" si="23"/>
        <v>22.444664626634236</v>
      </c>
      <c r="M116" s="45">
        <f t="shared" si="36"/>
        <v>100</v>
      </c>
      <c r="N116" s="33">
        <f t="shared" si="37"/>
        <v>38.816445354369563</v>
      </c>
      <c r="O116" s="33">
        <f t="shared" si="38"/>
        <v>19.350056175654757</v>
      </c>
      <c r="P116" s="33">
        <f t="shared" si="39"/>
        <v>19.388833843341438</v>
      </c>
      <c r="Q116" s="33">
        <f t="shared" si="30"/>
        <v>61.261109981003798</v>
      </c>
      <c r="R116" s="33">
        <f t="shared" si="31"/>
        <v>19.388833843341438</v>
      </c>
      <c r="S116" s="55">
        <f t="shared" si="32"/>
        <v>80.649943824345229</v>
      </c>
      <c r="V116" s="3"/>
    </row>
    <row r="117" spans="1:22" ht="14">
      <c r="A117" s="6">
        <v>98</v>
      </c>
      <c r="B117" s="54">
        <f t="shared" si="41"/>
        <v>3.3492920704259159</v>
      </c>
      <c r="C117" s="54">
        <f t="shared" si="42"/>
        <v>22.101592382512301</v>
      </c>
      <c r="D117" s="54">
        <f t="shared" si="33"/>
        <v>0.34307224412193449</v>
      </c>
      <c r="E117" s="32">
        <f t="shared" si="43"/>
        <v>3.430722441219345E-2</v>
      </c>
      <c r="F117" s="32">
        <f t="shared" si="44"/>
        <v>8.5768061030483622E-2</v>
      </c>
      <c r="G117" s="32">
        <f t="shared" si="45"/>
        <v>0.22299695867925742</v>
      </c>
      <c r="H117" s="32">
        <f t="shared" si="34"/>
        <v>0.17170765818302822</v>
      </c>
      <c r="I117" s="32">
        <f t="shared" si="40"/>
        <v>38.988153012552594</v>
      </c>
      <c r="J117" s="32">
        <f t="shared" si="35"/>
        <v>5.1289300496229207E-2</v>
      </c>
      <c r="K117" s="32">
        <f t="shared" si="29"/>
        <v>8.559652490842265E-2</v>
      </c>
      <c r="L117" s="55">
        <f t="shared" si="23"/>
        <v>22.101592382512301</v>
      </c>
      <c r="M117" s="45">
        <f t="shared" si="36"/>
        <v>100</v>
      </c>
      <c r="N117" s="33">
        <f t="shared" si="37"/>
        <v>38.988153012552594</v>
      </c>
      <c r="O117" s="33">
        <f t="shared" si="38"/>
        <v>19.435652700563178</v>
      </c>
      <c r="P117" s="33">
        <f t="shared" si="39"/>
        <v>19.474601904371923</v>
      </c>
      <c r="Q117" s="33">
        <f t="shared" si="30"/>
        <v>61.089745395064895</v>
      </c>
      <c r="R117" s="33">
        <f t="shared" si="31"/>
        <v>19.474601904371923</v>
      </c>
      <c r="S117" s="55">
        <f t="shared" si="32"/>
        <v>80.564347299436818</v>
      </c>
      <c r="V117" s="3"/>
    </row>
    <row r="118" spans="1:22" ht="14">
      <c r="A118" s="6">
        <v>99</v>
      </c>
      <c r="B118" s="54">
        <f t="shared" si="41"/>
        <v>3.2352028870043048</v>
      </c>
      <c r="C118" s="54">
        <f t="shared" si="42"/>
        <v>21.763764082403103</v>
      </c>
      <c r="D118" s="54">
        <f t="shared" si="33"/>
        <v>0.33782830010919795</v>
      </c>
      <c r="E118" s="32">
        <f t="shared" si="43"/>
        <v>3.37828300109198E-2</v>
      </c>
      <c r="F118" s="32">
        <f t="shared" si="44"/>
        <v>8.4457075027299489E-2</v>
      </c>
      <c r="G118" s="32">
        <f t="shared" si="45"/>
        <v>0.21958839507097869</v>
      </c>
      <c r="H118" s="32">
        <f t="shared" si="34"/>
        <v>0.1690830642046536</v>
      </c>
      <c r="I118" s="32">
        <f t="shared" si="40"/>
        <v>39.15723607675725</v>
      </c>
      <c r="J118" s="32">
        <f t="shared" si="35"/>
        <v>5.0505330866325082E-2</v>
      </c>
      <c r="K118" s="32">
        <f t="shared" si="29"/>
        <v>8.4288160877244889E-2</v>
      </c>
      <c r="L118" s="55">
        <f t="shared" si="23"/>
        <v>21.763764082403103</v>
      </c>
      <c r="M118" s="45">
        <f>M117</f>
        <v>100</v>
      </c>
      <c r="N118" s="33">
        <f t="shared" si="37"/>
        <v>39.15723607675725</v>
      </c>
      <c r="O118" s="33">
        <f t="shared" si="38"/>
        <v>19.519940861440425</v>
      </c>
      <c r="P118" s="33">
        <f t="shared" si="39"/>
        <v>19.559058979399222</v>
      </c>
      <c r="Q118" s="33">
        <f t="shared" si="30"/>
        <v>60.921000159160357</v>
      </c>
      <c r="R118" s="33">
        <f t="shared" si="31"/>
        <v>19.559058979399222</v>
      </c>
      <c r="S118" s="55">
        <f t="shared" si="32"/>
        <v>80.480059138559582</v>
      </c>
      <c r="V118" s="3"/>
    </row>
    <row r="119" spans="1:22" ht="14">
      <c r="A119" s="6">
        <v>100</v>
      </c>
      <c r="B119" s="54">
        <f t="shared" si="41"/>
        <v>3.125</v>
      </c>
      <c r="C119" s="54">
        <f t="shared" si="42"/>
        <v>21.431099571326822</v>
      </c>
      <c r="D119" s="54">
        <f t="shared" si="33"/>
        <v>0.33266451107628114</v>
      </c>
      <c r="E119" s="32">
        <f t="shared" si="43"/>
        <v>3.3266451107628117E-2</v>
      </c>
      <c r="F119" s="32">
        <f t="shared" si="44"/>
        <v>8.3166127769070286E-2</v>
      </c>
      <c r="G119" s="32">
        <f t="shared" si="45"/>
        <v>0.21623193219958275</v>
      </c>
      <c r="H119" s="32">
        <f t="shared" si="34"/>
        <v>0.16649858779367874</v>
      </c>
      <c r="I119" s="32">
        <f t="shared" si="40"/>
        <v>39.323734664550926</v>
      </c>
      <c r="J119" s="32">
        <f t="shared" si="35"/>
        <v>4.9733344405904018E-2</v>
      </c>
      <c r="K119" s="32">
        <f t="shared" si="29"/>
        <v>8.2999795513532135E-2</v>
      </c>
      <c r="L119" s="55">
        <f t="shared" si="23"/>
        <v>21.431099571326822</v>
      </c>
      <c r="M119" s="45">
        <v>60</v>
      </c>
      <c r="N119" s="33">
        <f t="shared" si="37"/>
        <v>39.323734664550926</v>
      </c>
      <c r="O119" s="33">
        <f t="shared" si="38"/>
        <v>19.602940656953958</v>
      </c>
      <c r="P119" s="33">
        <f t="shared" si="39"/>
        <v>19.642225107168294</v>
      </c>
      <c r="Q119" s="33">
        <f t="shared" si="30"/>
        <v>60.754834235877752</v>
      </c>
      <c r="R119" s="33">
        <f t="shared" si="31"/>
        <v>19.642225107168294</v>
      </c>
      <c r="S119" s="55">
        <f t="shared" si="32"/>
        <v>80.397059343046038</v>
      </c>
      <c r="V119" s="3"/>
    </row>
    <row r="120" spans="1:22" ht="14">
      <c r="A120">
        <f>A119+1</f>
        <v>101</v>
      </c>
      <c r="B120" s="54">
        <f t="shared" si="41"/>
        <v>3.0185510278901435</v>
      </c>
      <c r="C120" s="54">
        <f t="shared" si="42"/>
        <v>21.103519919492289</v>
      </c>
      <c r="D120" s="54">
        <f t="shared" ref="D120:D179" si="46">C119-C120</f>
        <v>0.32757965183453308</v>
      </c>
      <c r="E120" s="32">
        <f t="shared" si="43"/>
        <v>3.2757965183453308E-2</v>
      </c>
      <c r="F120" s="32">
        <f t="shared" si="44"/>
        <v>8.189491295863327E-2</v>
      </c>
      <c r="G120" s="32">
        <f t="shared" si="45"/>
        <v>0.2129267736924465</v>
      </c>
      <c r="H120" s="32">
        <f t="shared" si="34"/>
        <v>0.16395361574318382</v>
      </c>
      <c r="I120" s="32">
        <f t="shared" ref="I120:I179" si="47">I119+H120</f>
        <v>39.487688280294108</v>
      </c>
      <c r="J120" s="32">
        <f t="shared" ref="J120:J179" si="48">G120-H120</f>
        <v>4.8973157949262686E-2</v>
      </c>
      <c r="K120" s="32">
        <f t="shared" ref="K120:K179" si="49">J120+E120</f>
        <v>8.1731123132715994E-2</v>
      </c>
      <c r="L120" s="55">
        <f t="shared" ref="L120:L179" si="50">C120</f>
        <v>21.103519919492289</v>
      </c>
      <c r="M120" s="45">
        <v>60</v>
      </c>
      <c r="N120" s="33">
        <f t="shared" ref="N120:N179" si="51">N119+H120</f>
        <v>39.487688280294108</v>
      </c>
      <c r="O120" s="33">
        <f t="shared" ref="O120:O179" si="52">O119+K120</f>
        <v>19.684671780086674</v>
      </c>
      <c r="P120" s="33">
        <f t="shared" ref="P120:P179" si="53">P119+F120</f>
        <v>19.724120020126925</v>
      </c>
      <c r="Q120" s="33">
        <f t="shared" ref="Q120:Q179" si="54">L120+N120</f>
        <v>60.591208199786394</v>
      </c>
      <c r="R120" s="33">
        <f t="shared" ref="R120:R179" si="55">P120</f>
        <v>19.724120020126925</v>
      </c>
      <c r="S120" s="55">
        <f t="shared" ref="S120:S179" si="56">L120+N120+P120</f>
        <v>80.315328219913312</v>
      </c>
    </row>
    <row r="121" spans="1:22" ht="14">
      <c r="A121">
        <f t="shared" ref="A121:A179" si="57">A120+1</f>
        <v>102</v>
      </c>
      <c r="B121" s="54">
        <f t="shared" si="41"/>
        <v>2.9157280985525245</v>
      </c>
      <c r="C121" s="54">
        <f t="shared" si="42"/>
        <v>20.780947403569698</v>
      </c>
      <c r="D121" s="54">
        <f t="shared" si="46"/>
        <v>0.32257251592259095</v>
      </c>
      <c r="E121" s="32">
        <f t="shared" si="43"/>
        <v>3.2257251592259097E-2</v>
      </c>
      <c r="F121" s="32">
        <f t="shared" si="44"/>
        <v>8.0643128980647738E-2</v>
      </c>
      <c r="G121" s="32">
        <f t="shared" si="45"/>
        <v>0.20967213534968412</v>
      </c>
      <c r="H121" s="32">
        <f t="shared" si="34"/>
        <v>0.16144754421925678</v>
      </c>
      <c r="I121" s="32">
        <f t="shared" si="47"/>
        <v>39.649135824513365</v>
      </c>
      <c r="J121" s="32">
        <f t="shared" si="48"/>
        <v>4.8224591130427347E-2</v>
      </c>
      <c r="K121" s="32">
        <f t="shared" si="49"/>
        <v>8.0481842722686436E-2</v>
      </c>
      <c r="L121" s="55">
        <f t="shared" si="50"/>
        <v>20.780947403569698</v>
      </c>
      <c r="M121" s="45">
        <v>60</v>
      </c>
      <c r="N121" s="33">
        <f t="shared" si="51"/>
        <v>39.649135824513365</v>
      </c>
      <c r="O121" s="33">
        <f t="shared" si="52"/>
        <v>19.765153622809361</v>
      </c>
      <c r="P121" s="33">
        <f t="shared" si="53"/>
        <v>19.804763149107572</v>
      </c>
      <c r="Q121" s="33">
        <f t="shared" si="54"/>
        <v>60.430083228083063</v>
      </c>
      <c r="R121" s="33">
        <f t="shared" si="55"/>
        <v>19.804763149107572</v>
      </c>
      <c r="S121" s="55">
        <f t="shared" si="56"/>
        <v>80.234846377190635</v>
      </c>
    </row>
    <row r="122" spans="1:22" ht="14">
      <c r="A122">
        <f t="shared" si="57"/>
        <v>103</v>
      </c>
      <c r="B122" s="54">
        <f t="shared" si="41"/>
        <v>2.8164076956588442</v>
      </c>
      <c r="C122" s="54">
        <f t="shared" si="42"/>
        <v>20.463305488249546</v>
      </c>
      <c r="D122" s="54">
        <f t="shared" si="46"/>
        <v>0.31764191532015218</v>
      </c>
      <c r="E122" s="32">
        <f t="shared" si="43"/>
        <v>3.1764191532015221E-2</v>
      </c>
      <c r="F122" s="32">
        <f t="shared" si="44"/>
        <v>7.9410478830038045E-2</v>
      </c>
      <c r="G122" s="32">
        <f t="shared" si="45"/>
        <v>0.20646724495809893</v>
      </c>
      <c r="H122" s="32">
        <f t="shared" si="34"/>
        <v>0.15897977861773618</v>
      </c>
      <c r="I122" s="32">
        <f t="shared" si="47"/>
        <v>39.8081156031311</v>
      </c>
      <c r="J122" s="32">
        <f t="shared" si="48"/>
        <v>4.7487466340362744E-2</v>
      </c>
      <c r="K122" s="32">
        <f t="shared" si="49"/>
        <v>7.9251657872377965E-2</v>
      </c>
      <c r="L122" s="55">
        <f t="shared" si="50"/>
        <v>20.463305488249546</v>
      </c>
      <c r="M122" s="45">
        <v>60</v>
      </c>
      <c r="N122" s="33">
        <f t="shared" si="51"/>
        <v>39.8081156031311</v>
      </c>
      <c r="O122" s="33">
        <f t="shared" si="52"/>
        <v>19.844405280681737</v>
      </c>
      <c r="P122" s="33">
        <f t="shared" si="53"/>
        <v>19.88417362793761</v>
      </c>
      <c r="Q122" s="33">
        <f t="shared" si="54"/>
        <v>60.271421091380645</v>
      </c>
      <c r="R122" s="33">
        <f t="shared" si="55"/>
        <v>19.88417362793761</v>
      </c>
      <c r="S122" s="55">
        <f t="shared" si="56"/>
        <v>80.155594719318259</v>
      </c>
    </row>
    <row r="123" spans="1:22" ht="14">
      <c r="A123">
        <f t="shared" si="57"/>
        <v>104</v>
      </c>
      <c r="B123" s="54">
        <f t="shared" si="41"/>
        <v>2.7204705103003879</v>
      </c>
      <c r="C123" s="54">
        <f t="shared" si="42"/>
        <v>20.150518808083444</v>
      </c>
      <c r="D123" s="54">
        <f t="shared" si="46"/>
        <v>0.31278668016610212</v>
      </c>
      <c r="E123" s="32">
        <f t="shared" si="43"/>
        <v>3.1278668016610216E-2</v>
      </c>
      <c r="F123" s="32">
        <f t="shared" si="44"/>
        <v>7.8196670041525529E-2</v>
      </c>
      <c r="G123" s="32">
        <f t="shared" si="45"/>
        <v>0.20331134210796639</v>
      </c>
      <c r="H123" s="32">
        <f t="shared" si="34"/>
        <v>0.15654973342313414</v>
      </c>
      <c r="I123" s="32">
        <f t="shared" si="47"/>
        <v>39.964665336554233</v>
      </c>
      <c r="J123" s="32">
        <f t="shared" si="48"/>
        <v>4.6761608684832257E-2</v>
      </c>
      <c r="K123" s="32">
        <f t="shared" si="49"/>
        <v>7.8040276701442479E-2</v>
      </c>
      <c r="L123" s="55">
        <f t="shared" si="50"/>
        <v>20.150518808083444</v>
      </c>
      <c r="M123" s="45">
        <v>60</v>
      </c>
      <c r="N123" s="33">
        <f t="shared" si="51"/>
        <v>39.964665336554233</v>
      </c>
      <c r="O123" s="33">
        <f t="shared" si="52"/>
        <v>19.922445557383181</v>
      </c>
      <c r="P123" s="33">
        <f t="shared" si="53"/>
        <v>19.962370297979135</v>
      </c>
      <c r="Q123" s="33">
        <f t="shared" si="54"/>
        <v>60.115184144637681</v>
      </c>
      <c r="R123" s="33">
        <f t="shared" si="55"/>
        <v>19.962370297979135</v>
      </c>
      <c r="S123" s="55">
        <f t="shared" si="56"/>
        <v>80.077554442616815</v>
      </c>
    </row>
    <row r="124" spans="1:22" ht="14">
      <c r="A124">
        <f t="shared" si="57"/>
        <v>105</v>
      </c>
      <c r="B124" s="54">
        <f t="shared" si="41"/>
        <v>2.6278012976678577</v>
      </c>
      <c r="C124" s="54">
        <f t="shared" si="42"/>
        <v>19.842513149602492</v>
      </c>
      <c r="D124" s="54">
        <f t="shared" si="46"/>
        <v>0.30800565848095118</v>
      </c>
      <c r="E124" s="32">
        <f t="shared" si="43"/>
        <v>3.080056584809512E-2</v>
      </c>
      <c r="F124" s="32">
        <f t="shared" si="44"/>
        <v>7.7001414620237796E-2</v>
      </c>
      <c r="G124" s="32">
        <f t="shared" si="45"/>
        <v>0.20020367801261826</v>
      </c>
      <c r="H124" s="32">
        <f t="shared" si="34"/>
        <v>0.15415683206971606</v>
      </c>
      <c r="I124" s="32">
        <f t="shared" si="47"/>
        <v>40.11882216862395</v>
      </c>
      <c r="J124" s="32">
        <f t="shared" si="48"/>
        <v>4.6046845942902204E-2</v>
      </c>
      <c r="K124" s="32">
        <f t="shared" si="49"/>
        <v>7.6847411790997328E-2</v>
      </c>
      <c r="L124" s="55">
        <f t="shared" si="50"/>
        <v>19.842513149602492</v>
      </c>
      <c r="M124" s="45">
        <v>60</v>
      </c>
      <c r="N124" s="33">
        <f t="shared" si="51"/>
        <v>40.11882216862395</v>
      </c>
      <c r="O124" s="33">
        <f t="shared" si="52"/>
        <v>19.999292969174178</v>
      </c>
      <c r="P124" s="33">
        <f t="shared" si="53"/>
        <v>20.039371712599372</v>
      </c>
      <c r="Q124" s="33">
        <f t="shared" si="54"/>
        <v>59.961335318226446</v>
      </c>
      <c r="R124" s="33">
        <f t="shared" si="55"/>
        <v>20.039371712599372</v>
      </c>
      <c r="S124" s="55">
        <f t="shared" si="56"/>
        <v>80.000707030825822</v>
      </c>
    </row>
    <row r="125" spans="1:22" ht="14">
      <c r="A125">
        <f t="shared" si="57"/>
        <v>106</v>
      </c>
      <c r="B125" s="54">
        <f t="shared" si="41"/>
        <v>2.5382887386132373</v>
      </c>
      <c r="C125" s="54">
        <f t="shared" si="42"/>
        <v>19.539215433709021</v>
      </c>
      <c r="D125" s="54">
        <f t="shared" si="46"/>
        <v>0.30329771589347132</v>
      </c>
      <c r="E125" s="32">
        <f t="shared" si="43"/>
        <v>3.0329771589347132E-2</v>
      </c>
      <c r="F125" s="32">
        <f t="shared" si="44"/>
        <v>7.582442897336783E-2</v>
      </c>
      <c r="G125" s="32">
        <f t="shared" si="45"/>
        <v>0.19714351533075636</v>
      </c>
      <c r="H125" s="32">
        <f t="shared" si="34"/>
        <v>0.15180050680468241</v>
      </c>
      <c r="I125" s="32">
        <f t="shared" si="47"/>
        <v>40.270622675428633</v>
      </c>
      <c r="J125" s="32">
        <f t="shared" si="48"/>
        <v>4.5343008526073952E-2</v>
      </c>
      <c r="K125" s="32">
        <f t="shared" si="49"/>
        <v>7.5672780115421084E-2</v>
      </c>
      <c r="L125" s="55">
        <f t="shared" si="50"/>
        <v>19.539215433709021</v>
      </c>
      <c r="M125" s="45">
        <v>60</v>
      </c>
      <c r="N125" s="33">
        <f t="shared" si="51"/>
        <v>40.270622675428633</v>
      </c>
      <c r="O125" s="33">
        <f t="shared" si="52"/>
        <v>20.0749657492896</v>
      </c>
      <c r="P125" s="33">
        <f t="shared" si="53"/>
        <v>20.115196141572738</v>
      </c>
      <c r="Q125" s="33">
        <f t="shared" si="54"/>
        <v>59.809838109137658</v>
      </c>
      <c r="R125" s="33">
        <f t="shared" si="55"/>
        <v>20.115196141572738</v>
      </c>
      <c r="S125" s="55">
        <f t="shared" si="56"/>
        <v>79.925034250710397</v>
      </c>
    </row>
    <row r="126" spans="1:22" ht="14">
      <c r="A126">
        <f t="shared" si="57"/>
        <v>107</v>
      </c>
      <c r="B126" s="54">
        <f t="shared" si="41"/>
        <v>2.4518253059273474</v>
      </c>
      <c r="C126" s="54">
        <f t="shared" si="42"/>
        <v>19.240553698337408</v>
      </c>
      <c r="D126" s="54">
        <f t="shared" si="46"/>
        <v>0.29866173537161345</v>
      </c>
      <c r="E126" s="32">
        <f t="shared" si="43"/>
        <v>2.9866173537161346E-2</v>
      </c>
      <c r="F126" s="32">
        <f t="shared" si="44"/>
        <v>7.4665433842903361E-2</v>
      </c>
      <c r="G126" s="32">
        <f t="shared" si="45"/>
        <v>0.19413012799154875</v>
      </c>
      <c r="H126" s="32">
        <f t="shared" si="34"/>
        <v>0.14948019855349254</v>
      </c>
      <c r="I126" s="32">
        <f t="shared" si="47"/>
        <v>40.420102873982124</v>
      </c>
      <c r="J126" s="32">
        <f t="shared" si="48"/>
        <v>4.4649929438056207E-2</v>
      </c>
      <c r="K126" s="32">
        <f t="shared" si="49"/>
        <v>7.4516102975217546E-2</v>
      </c>
      <c r="L126" s="55">
        <f t="shared" si="50"/>
        <v>19.240553698337408</v>
      </c>
      <c r="M126" s="45">
        <v>60</v>
      </c>
      <c r="N126" s="33">
        <f t="shared" si="51"/>
        <v>40.420102873982124</v>
      </c>
      <c r="O126" s="33">
        <f t="shared" si="52"/>
        <v>20.149481852264817</v>
      </c>
      <c r="P126" s="33">
        <f t="shared" si="53"/>
        <v>20.189861575415641</v>
      </c>
      <c r="Q126" s="33">
        <f t="shared" si="54"/>
        <v>59.660656572319532</v>
      </c>
      <c r="R126" s="33">
        <f t="shared" si="55"/>
        <v>20.189861575415641</v>
      </c>
      <c r="S126" s="55">
        <f t="shared" si="56"/>
        <v>79.850518147735173</v>
      </c>
    </row>
    <row r="127" spans="1:22" ht="14">
      <c r="A127">
        <f t="shared" si="57"/>
        <v>108</v>
      </c>
      <c r="B127" s="54">
        <f t="shared" si="41"/>
        <v>2.3683071351724969</v>
      </c>
      <c r="C127" s="54">
        <f t="shared" si="42"/>
        <v>18.946457081379975</v>
      </c>
      <c r="D127" s="54">
        <f t="shared" si="46"/>
        <v>0.29409661695743239</v>
      </c>
      <c r="E127" s="32">
        <f t="shared" si="43"/>
        <v>2.9409661695743241E-2</v>
      </c>
      <c r="F127" s="32">
        <f t="shared" si="44"/>
        <v>7.3524154239358097E-2</v>
      </c>
      <c r="G127" s="32">
        <f t="shared" si="45"/>
        <v>0.19116280102233105</v>
      </c>
      <c r="H127" s="32">
        <f t="shared" si="34"/>
        <v>0.14719535678719492</v>
      </c>
      <c r="I127" s="32">
        <f t="shared" si="47"/>
        <v>40.567298230769318</v>
      </c>
      <c r="J127" s="32">
        <f t="shared" si="48"/>
        <v>4.3967444235136127E-2</v>
      </c>
      <c r="K127" s="32">
        <f t="shared" si="49"/>
        <v>7.3377105930879372E-2</v>
      </c>
      <c r="L127" s="55">
        <f t="shared" si="50"/>
        <v>18.946457081379975</v>
      </c>
      <c r="M127" s="45">
        <v>60</v>
      </c>
      <c r="N127" s="33">
        <f t="shared" si="51"/>
        <v>40.567298230769318</v>
      </c>
      <c r="O127" s="33">
        <f t="shared" si="52"/>
        <v>20.222858958195697</v>
      </c>
      <c r="P127" s="33">
        <f t="shared" si="53"/>
        <v>20.263385729654999</v>
      </c>
      <c r="Q127" s="33">
        <f t="shared" si="54"/>
        <v>59.513755312149293</v>
      </c>
      <c r="R127" s="33">
        <f t="shared" si="55"/>
        <v>20.263385729654999</v>
      </c>
      <c r="S127" s="55">
        <f t="shared" si="56"/>
        <v>79.777141041804299</v>
      </c>
    </row>
    <row r="128" spans="1:22" ht="14">
      <c r="A128">
        <f t="shared" si="57"/>
        <v>109</v>
      </c>
      <c r="B128" s="54">
        <f t="shared" si="41"/>
        <v>2.2876338999150398</v>
      </c>
      <c r="C128" s="54">
        <f t="shared" si="42"/>
        <v>18.656855803873892</v>
      </c>
      <c r="D128" s="54">
        <f t="shared" si="46"/>
        <v>0.28960127750608322</v>
      </c>
      <c r="E128" s="32">
        <f t="shared" si="43"/>
        <v>2.8960127750608324E-2</v>
      </c>
      <c r="F128" s="32">
        <f t="shared" si="44"/>
        <v>7.2400319376520805E-2</v>
      </c>
      <c r="G128" s="32">
        <f t="shared" si="45"/>
        <v>0.18824083037895409</v>
      </c>
      <c r="H128" s="32">
        <f t="shared" si="34"/>
        <v>0.14494543939179466</v>
      </c>
      <c r="I128" s="32">
        <f t="shared" si="47"/>
        <v>40.712243670161115</v>
      </c>
      <c r="J128" s="32">
        <f t="shared" si="48"/>
        <v>4.3295390987159427E-2</v>
      </c>
      <c r="K128" s="32">
        <f t="shared" si="49"/>
        <v>7.2255518737767754E-2</v>
      </c>
      <c r="L128" s="55">
        <f t="shared" si="50"/>
        <v>18.656855803873892</v>
      </c>
      <c r="M128" s="45">
        <v>60</v>
      </c>
      <c r="N128" s="33">
        <f t="shared" si="51"/>
        <v>40.712243670161115</v>
      </c>
      <c r="O128" s="33">
        <f t="shared" si="52"/>
        <v>20.295114476933467</v>
      </c>
      <c r="P128" s="33">
        <f t="shared" si="53"/>
        <v>20.335786049031519</v>
      </c>
      <c r="Q128" s="33">
        <f t="shared" si="54"/>
        <v>59.369099474035011</v>
      </c>
      <c r="R128" s="33">
        <f t="shared" si="55"/>
        <v>20.335786049031519</v>
      </c>
      <c r="S128" s="55">
        <f t="shared" si="56"/>
        <v>79.704885523066537</v>
      </c>
    </row>
    <row r="129" spans="1:19" ht="14">
      <c r="A129">
        <f t="shared" si="57"/>
        <v>110</v>
      </c>
      <c r="B129" s="54">
        <f t="shared" si="41"/>
        <v>2.2097086912079607</v>
      </c>
      <c r="C129" s="54">
        <f t="shared" si="42"/>
        <v>18.371681153444982</v>
      </c>
      <c r="D129" s="54">
        <f t="shared" si="46"/>
        <v>0.28517465042891033</v>
      </c>
      <c r="E129" s="32">
        <f t="shared" si="43"/>
        <v>2.8517465042891033E-2</v>
      </c>
      <c r="F129" s="32">
        <f t="shared" si="44"/>
        <v>7.1293662607227581E-2</v>
      </c>
      <c r="G129" s="32">
        <f t="shared" si="45"/>
        <v>0.18536352277879173</v>
      </c>
      <c r="H129" s="32">
        <f t="shared" si="34"/>
        <v>0.14272991253966963</v>
      </c>
      <c r="I129" s="32">
        <f t="shared" si="47"/>
        <v>40.854973582700786</v>
      </c>
      <c r="J129" s="32">
        <f t="shared" si="48"/>
        <v>4.2633610239122099E-2</v>
      </c>
      <c r="K129" s="32">
        <f t="shared" si="49"/>
        <v>7.1151075282013129E-2</v>
      </c>
      <c r="L129" s="55">
        <f t="shared" si="50"/>
        <v>18.371681153444982</v>
      </c>
      <c r="M129" s="45">
        <v>60</v>
      </c>
      <c r="N129" s="33">
        <f t="shared" si="51"/>
        <v>40.854973582700786</v>
      </c>
      <c r="O129" s="33">
        <f t="shared" si="52"/>
        <v>20.366265552215481</v>
      </c>
      <c r="P129" s="33">
        <f t="shared" si="53"/>
        <v>20.407079711638747</v>
      </c>
      <c r="Q129" s="33">
        <f t="shared" si="54"/>
        <v>59.226654736145768</v>
      </c>
      <c r="R129" s="33">
        <f t="shared" si="55"/>
        <v>20.407079711638747</v>
      </c>
      <c r="S129" s="55">
        <f t="shared" si="56"/>
        <v>79.633734447784519</v>
      </c>
    </row>
    <row r="130" spans="1:19" ht="14">
      <c r="A130">
        <f t="shared" si="57"/>
        <v>111</v>
      </c>
      <c r="B130" s="54">
        <f t="shared" si="41"/>
        <v>2.1344379011787438</v>
      </c>
      <c r="C130" s="54">
        <f t="shared" si="42"/>
        <v>18.090865468004726</v>
      </c>
      <c r="D130" s="54">
        <f t="shared" si="46"/>
        <v>0.28081568544025615</v>
      </c>
      <c r="E130" s="32">
        <f t="shared" si="43"/>
        <v>2.8081568544025617E-2</v>
      </c>
      <c r="F130" s="32">
        <f t="shared" si="44"/>
        <v>7.0203921360064037E-2</v>
      </c>
      <c r="G130" s="32">
        <f t="shared" si="45"/>
        <v>0.18253019553616651</v>
      </c>
      <c r="H130" s="32">
        <f t="shared" si="34"/>
        <v>0.14054825056284823</v>
      </c>
      <c r="I130" s="32">
        <f t="shared" si="47"/>
        <v>40.995521833263638</v>
      </c>
      <c r="J130" s="32">
        <f t="shared" si="48"/>
        <v>4.198194497331828E-2</v>
      </c>
      <c r="K130" s="32">
        <f t="shared" si="49"/>
        <v>7.0063513517343898E-2</v>
      </c>
      <c r="L130" s="55">
        <f t="shared" si="50"/>
        <v>18.090865468004726</v>
      </c>
      <c r="M130" s="45">
        <v>60</v>
      </c>
      <c r="N130" s="33">
        <f t="shared" si="51"/>
        <v>40.995521833263638</v>
      </c>
      <c r="O130" s="33">
        <f t="shared" si="52"/>
        <v>20.436329065732824</v>
      </c>
      <c r="P130" s="33">
        <f t="shared" si="53"/>
        <v>20.477283632998812</v>
      </c>
      <c r="Q130" s="33">
        <f t="shared" si="54"/>
        <v>59.08638730126836</v>
      </c>
      <c r="R130" s="33">
        <f t="shared" si="55"/>
        <v>20.477283632998812</v>
      </c>
      <c r="S130" s="55">
        <f t="shared" si="56"/>
        <v>79.563670934267179</v>
      </c>
    </row>
    <row r="131" spans="1:19" ht="14">
      <c r="A131">
        <f t="shared" si="57"/>
        <v>112</v>
      </c>
      <c r="B131" s="54">
        <f t="shared" si="41"/>
        <v>2.0617311105826484</v>
      </c>
      <c r="C131" s="54">
        <f t="shared" si="42"/>
        <v>17.81434211969631</v>
      </c>
      <c r="D131" s="54">
        <f t="shared" si="46"/>
        <v>0.27652334830841596</v>
      </c>
      <c r="E131" s="32">
        <f t="shared" si="43"/>
        <v>2.7652334830841598E-2</v>
      </c>
      <c r="F131" s="32">
        <f t="shared" si="44"/>
        <v>6.913083707710399E-2</v>
      </c>
      <c r="G131" s="32">
        <f t="shared" si="45"/>
        <v>0.17974017640047038</v>
      </c>
      <c r="H131" s="32">
        <f t="shared" si="34"/>
        <v>0.13839993582836219</v>
      </c>
      <c r="I131" s="32">
        <f t="shared" si="47"/>
        <v>41.133921769091998</v>
      </c>
      <c r="J131" s="32">
        <f t="shared" si="48"/>
        <v>4.1340240572108194E-2</v>
      </c>
      <c r="K131" s="32">
        <f t="shared" si="49"/>
        <v>6.8992575402949785E-2</v>
      </c>
      <c r="L131" s="55">
        <f t="shared" si="50"/>
        <v>17.81434211969631</v>
      </c>
      <c r="M131" s="45">
        <v>60</v>
      </c>
      <c r="N131" s="33">
        <f t="shared" si="51"/>
        <v>41.133921769091998</v>
      </c>
      <c r="O131" s="33">
        <f t="shared" si="52"/>
        <v>20.505321641135772</v>
      </c>
      <c r="P131" s="33">
        <f t="shared" si="53"/>
        <v>20.546414470075916</v>
      </c>
      <c r="Q131" s="33">
        <f t="shared" si="54"/>
        <v>58.948263888788304</v>
      </c>
      <c r="R131" s="33">
        <f t="shared" si="55"/>
        <v>20.546414470075916</v>
      </c>
      <c r="S131" s="55">
        <f t="shared" si="56"/>
        <v>79.494678358864221</v>
      </c>
    </row>
    <row r="132" spans="1:19" ht="14">
      <c r="A132">
        <f t="shared" si="57"/>
        <v>113</v>
      </c>
      <c r="B132" s="54">
        <f t="shared" si="41"/>
        <v>1.9915009801863468</v>
      </c>
      <c r="C132" s="54">
        <f t="shared" si="42"/>
        <v>17.542045499086182</v>
      </c>
      <c r="D132" s="54">
        <f t="shared" si="46"/>
        <v>0.2722966206101276</v>
      </c>
      <c r="E132" s="32">
        <f t="shared" si="43"/>
        <v>2.7229662061012763E-2</v>
      </c>
      <c r="F132" s="32">
        <f t="shared" si="44"/>
        <v>6.8074155152531901E-2</v>
      </c>
      <c r="G132" s="32">
        <f t="shared" si="45"/>
        <v>0.17699280339658294</v>
      </c>
      <c r="H132" s="32">
        <f t="shared" si="34"/>
        <v>0.13628445861536886</v>
      </c>
      <c r="I132" s="32">
        <f t="shared" si="47"/>
        <v>41.270206227707369</v>
      </c>
      <c r="J132" s="32">
        <f t="shared" si="48"/>
        <v>4.0708344781214073E-2</v>
      </c>
      <c r="K132" s="32">
        <f t="shared" si="49"/>
        <v>6.7938006842226839E-2</v>
      </c>
      <c r="L132" s="55">
        <f t="shared" si="50"/>
        <v>17.542045499086182</v>
      </c>
      <c r="M132" s="45">
        <v>60</v>
      </c>
      <c r="N132" s="33">
        <f t="shared" si="51"/>
        <v>41.270206227707369</v>
      </c>
      <c r="O132" s="33">
        <f t="shared" si="52"/>
        <v>20.573259647977999</v>
      </c>
      <c r="P132" s="33">
        <f t="shared" si="53"/>
        <v>20.614488625228446</v>
      </c>
      <c r="Q132" s="33">
        <f t="shared" si="54"/>
        <v>58.812251726793548</v>
      </c>
      <c r="R132" s="33">
        <f t="shared" si="55"/>
        <v>20.614488625228446</v>
      </c>
      <c r="S132" s="55">
        <f t="shared" si="56"/>
        <v>79.426740352021994</v>
      </c>
    </row>
    <row r="133" spans="1:19" ht="14">
      <c r="A133">
        <f t="shared" si="57"/>
        <v>114</v>
      </c>
      <c r="B133" s="54">
        <f t="shared" si="41"/>
        <v>1.9236631458514317</v>
      </c>
      <c r="C133" s="54">
        <f t="shared" si="42"/>
        <v>17.273910999597202</v>
      </c>
      <c r="D133" s="54">
        <f t="shared" si="46"/>
        <v>0.26813449948897983</v>
      </c>
      <c r="E133" s="32">
        <f t="shared" si="43"/>
        <v>2.6813449948897984E-2</v>
      </c>
      <c r="F133" s="32">
        <f t="shared" si="44"/>
        <v>6.7033624872244957E-2</v>
      </c>
      <c r="G133" s="32">
        <f t="shared" si="45"/>
        <v>0.17428742466783689</v>
      </c>
      <c r="H133" s="32">
        <f t="shared" si="34"/>
        <v>0.1342013169942344</v>
      </c>
      <c r="I133" s="32">
        <f t="shared" si="47"/>
        <v>41.404407544701606</v>
      </c>
      <c r="J133" s="32">
        <f t="shared" si="48"/>
        <v>4.0086107673602489E-2</v>
      </c>
      <c r="K133" s="32">
        <f t="shared" si="49"/>
        <v>6.6899557622500466E-2</v>
      </c>
      <c r="L133" s="55">
        <f t="shared" si="50"/>
        <v>17.273910999597202</v>
      </c>
      <c r="M133" s="45">
        <v>60</v>
      </c>
      <c r="N133" s="33">
        <f t="shared" si="51"/>
        <v>41.404407544701606</v>
      </c>
      <c r="O133" s="33">
        <f t="shared" si="52"/>
        <v>20.640159205600501</v>
      </c>
      <c r="P133" s="33">
        <f t="shared" si="53"/>
        <v>20.681522250100691</v>
      </c>
      <c r="Q133" s="33">
        <f t="shared" si="54"/>
        <v>58.678318544298804</v>
      </c>
      <c r="R133" s="33">
        <f t="shared" si="55"/>
        <v>20.681522250100691</v>
      </c>
      <c r="S133" s="55">
        <f t="shared" si="56"/>
        <v>79.359840794399503</v>
      </c>
    </row>
    <row r="134" spans="1:19" ht="14">
      <c r="A134">
        <f t="shared" si="57"/>
        <v>115</v>
      </c>
      <c r="B134" s="54">
        <f t="shared" si="41"/>
        <v>1.8581361171917516</v>
      </c>
      <c r="C134" s="54">
        <f t="shared" si="42"/>
        <v>17.009875002179715</v>
      </c>
      <c r="D134" s="54">
        <f t="shared" si="46"/>
        <v>0.26403599741748707</v>
      </c>
      <c r="E134" s="32">
        <f t="shared" si="43"/>
        <v>2.6403599741748707E-2</v>
      </c>
      <c r="F134" s="32">
        <f t="shared" si="44"/>
        <v>6.6008999354371767E-2</v>
      </c>
      <c r="G134" s="32">
        <f t="shared" si="45"/>
        <v>0.17162339832136661</v>
      </c>
      <c r="H134" s="32">
        <f t="shared" si="34"/>
        <v>0.1321500167074523</v>
      </c>
      <c r="I134" s="32">
        <f t="shared" si="47"/>
        <v>41.536557561409055</v>
      </c>
      <c r="J134" s="32">
        <f t="shared" si="48"/>
        <v>3.947338161391431E-2</v>
      </c>
      <c r="K134" s="32">
        <f t="shared" si="49"/>
        <v>6.5876981355663014E-2</v>
      </c>
      <c r="L134" s="55">
        <f t="shared" si="50"/>
        <v>17.009875002179715</v>
      </c>
      <c r="M134" s="45">
        <v>60</v>
      </c>
      <c r="N134" s="33">
        <f t="shared" si="51"/>
        <v>41.536557561409055</v>
      </c>
      <c r="O134" s="33">
        <f t="shared" si="52"/>
        <v>20.706036186956165</v>
      </c>
      <c r="P134" s="33">
        <f t="shared" si="53"/>
        <v>20.747531249455065</v>
      </c>
      <c r="Q134" s="33">
        <f t="shared" si="54"/>
        <v>58.546432563588766</v>
      </c>
      <c r="R134" s="33">
        <f t="shared" si="55"/>
        <v>20.747531249455065</v>
      </c>
      <c r="S134" s="55">
        <f t="shared" si="56"/>
        <v>79.293963813043831</v>
      </c>
    </row>
    <row r="135" spans="1:19" ht="14">
      <c r="A135">
        <f t="shared" si="57"/>
        <v>116</v>
      </c>
      <c r="B135" s="54">
        <f t="shared" si="41"/>
        <v>1.794841179682868</v>
      </c>
      <c r="C135" s="54">
        <f t="shared" si="42"/>
        <v>16.749874860216952</v>
      </c>
      <c r="D135" s="54">
        <f t="shared" si="46"/>
        <v>0.26000014196276311</v>
      </c>
      <c r="E135" s="32">
        <f t="shared" si="43"/>
        <v>2.6000014196276313E-2</v>
      </c>
      <c r="F135" s="32">
        <f t="shared" si="44"/>
        <v>6.5000035490690777E-2</v>
      </c>
      <c r="G135" s="32">
        <f t="shared" si="45"/>
        <v>0.16900009227579602</v>
      </c>
      <c r="H135" s="32">
        <f t="shared" si="34"/>
        <v>0.13013007105236293</v>
      </c>
      <c r="I135" s="32">
        <f t="shared" si="47"/>
        <v>41.666687632461418</v>
      </c>
      <c r="J135" s="32">
        <f t="shared" si="48"/>
        <v>3.8870021223433082E-2</v>
      </c>
      <c r="K135" s="32">
        <f t="shared" si="49"/>
        <v>6.4870035419709399E-2</v>
      </c>
      <c r="L135" s="55">
        <f t="shared" si="50"/>
        <v>16.749874860216952</v>
      </c>
      <c r="M135" s="45">
        <v>60</v>
      </c>
      <c r="N135" s="33">
        <f t="shared" si="51"/>
        <v>41.666687632461418</v>
      </c>
      <c r="O135" s="33">
        <f t="shared" si="52"/>
        <v>20.770906222375874</v>
      </c>
      <c r="P135" s="33">
        <f t="shared" si="53"/>
        <v>20.812531284945756</v>
      </c>
      <c r="Q135" s="33">
        <f t="shared" si="54"/>
        <v>58.416562492678366</v>
      </c>
      <c r="R135" s="33">
        <f t="shared" si="55"/>
        <v>20.812531284945756</v>
      </c>
      <c r="S135" s="55">
        <f t="shared" si="56"/>
        <v>79.229093777624115</v>
      </c>
    </row>
    <row r="136" spans="1:19" ht="14">
      <c r="A136">
        <f t="shared" si="57"/>
        <v>117</v>
      </c>
      <c r="B136" s="54">
        <f t="shared" si="41"/>
        <v>1.7337023001060092</v>
      </c>
      <c r="C136" s="54">
        <f t="shared" si="42"/>
        <v>16.493848884661176</v>
      </c>
      <c r="D136" s="54">
        <f t="shared" si="46"/>
        <v>0.25602597555577589</v>
      </c>
      <c r="E136" s="32">
        <f t="shared" si="43"/>
        <v>2.5602597555577589E-2</v>
      </c>
      <c r="F136" s="32">
        <f t="shared" si="44"/>
        <v>6.4006493888943972E-2</v>
      </c>
      <c r="G136" s="32">
        <f t="shared" si="45"/>
        <v>0.16641688411125433</v>
      </c>
      <c r="H136" s="32">
        <f t="shared" si="34"/>
        <v>0.12814100076566584</v>
      </c>
      <c r="I136" s="32">
        <f t="shared" si="47"/>
        <v>41.794828633227084</v>
      </c>
      <c r="J136" s="32">
        <f t="shared" si="48"/>
        <v>3.8275883345588485E-2</v>
      </c>
      <c r="K136" s="32">
        <f t="shared" si="49"/>
        <v>6.3878480901166074E-2</v>
      </c>
      <c r="L136" s="55">
        <f t="shared" si="50"/>
        <v>16.493848884661176</v>
      </c>
      <c r="M136" s="45">
        <v>60</v>
      </c>
      <c r="N136" s="33">
        <f t="shared" si="51"/>
        <v>41.794828633227084</v>
      </c>
      <c r="O136" s="33">
        <f t="shared" si="52"/>
        <v>20.834784703277041</v>
      </c>
      <c r="P136" s="33">
        <f t="shared" si="53"/>
        <v>20.876537778834699</v>
      </c>
      <c r="Q136" s="33">
        <f t="shared" si="54"/>
        <v>58.28867751788826</v>
      </c>
      <c r="R136" s="33">
        <f t="shared" si="55"/>
        <v>20.876537778834699</v>
      </c>
      <c r="S136" s="55">
        <f t="shared" si="56"/>
        <v>79.165215296722963</v>
      </c>
    </row>
    <row r="137" spans="1:19" ht="14">
      <c r="A137">
        <f t="shared" si="57"/>
        <v>118</v>
      </c>
      <c r="B137" s="54">
        <f t="shared" si="41"/>
        <v>1.6746460352129573</v>
      </c>
      <c r="C137" s="54">
        <f t="shared" si="42"/>
        <v>16.241736329396979</v>
      </c>
      <c r="D137" s="54">
        <f t="shared" si="46"/>
        <v>0.25211255526419762</v>
      </c>
      <c r="E137" s="32">
        <f t="shared" si="43"/>
        <v>2.5211255526419764E-2</v>
      </c>
      <c r="F137" s="32">
        <f t="shared" si="44"/>
        <v>6.3028138816049406E-2</v>
      </c>
      <c r="G137" s="32">
        <f t="shared" si="45"/>
        <v>0.16387316092172846</v>
      </c>
      <c r="H137" s="32">
        <f t="shared" si="34"/>
        <v>0.12618233390973091</v>
      </c>
      <c r="I137" s="32">
        <f t="shared" si="47"/>
        <v>41.921010967136816</v>
      </c>
      <c r="J137" s="32">
        <f t="shared" si="48"/>
        <v>3.7690827011997552E-2</v>
      </c>
      <c r="K137" s="32">
        <f t="shared" si="49"/>
        <v>6.2902082538417309E-2</v>
      </c>
      <c r="L137" s="55">
        <f t="shared" si="50"/>
        <v>16.241736329396979</v>
      </c>
      <c r="M137" s="45">
        <v>60</v>
      </c>
      <c r="N137" s="33">
        <f t="shared" si="51"/>
        <v>41.921010967136816</v>
      </c>
      <c r="O137" s="33">
        <f t="shared" si="52"/>
        <v>20.897686785815459</v>
      </c>
      <c r="P137" s="33">
        <f t="shared" si="53"/>
        <v>20.939565917650746</v>
      </c>
      <c r="Q137" s="33">
        <f t="shared" si="54"/>
        <v>58.162747296533794</v>
      </c>
      <c r="R137" s="33">
        <f t="shared" si="55"/>
        <v>20.939565917650746</v>
      </c>
      <c r="S137" s="55">
        <f t="shared" si="56"/>
        <v>79.102313214184534</v>
      </c>
    </row>
    <row r="138" spans="1:19" ht="14">
      <c r="A138">
        <f t="shared" si="57"/>
        <v>119</v>
      </c>
      <c r="B138" s="54">
        <f t="shared" si="41"/>
        <v>1.6176014435021522</v>
      </c>
      <c r="C138" s="54">
        <f t="shared" si="42"/>
        <v>15.993477376828322</v>
      </c>
      <c r="D138" s="54">
        <f t="shared" si="46"/>
        <v>0.24825895256865671</v>
      </c>
      <c r="E138" s="32">
        <f t="shared" si="43"/>
        <v>2.4825895256865672E-2</v>
      </c>
      <c r="F138" s="32">
        <f t="shared" si="44"/>
        <v>6.2064738142164178E-2</v>
      </c>
      <c r="G138" s="32">
        <f t="shared" si="45"/>
        <v>0.16136831916962688</v>
      </c>
      <c r="H138" s="32">
        <f t="shared" si="34"/>
        <v>0.1242536057606127</v>
      </c>
      <c r="I138" s="32">
        <f t="shared" si="47"/>
        <v>42.04526457289743</v>
      </c>
      <c r="J138" s="32">
        <f t="shared" si="48"/>
        <v>3.7114713409014177E-2</v>
      </c>
      <c r="K138" s="32">
        <f t="shared" si="49"/>
        <v>6.1940608665879845E-2</v>
      </c>
      <c r="L138" s="55">
        <f t="shared" si="50"/>
        <v>15.993477376828322</v>
      </c>
      <c r="M138" s="45">
        <v>60</v>
      </c>
      <c r="N138" s="33">
        <f t="shared" si="51"/>
        <v>42.04526457289743</v>
      </c>
      <c r="O138" s="33">
        <f t="shared" si="52"/>
        <v>20.959627394481338</v>
      </c>
      <c r="P138" s="33">
        <f t="shared" si="53"/>
        <v>21.001630655792912</v>
      </c>
      <c r="Q138" s="33">
        <f t="shared" si="54"/>
        <v>58.038741949725754</v>
      </c>
      <c r="R138" s="33">
        <f t="shared" si="55"/>
        <v>21.001630655792912</v>
      </c>
      <c r="S138" s="55">
        <f t="shared" si="56"/>
        <v>79.04037260551867</v>
      </c>
    </row>
    <row r="139" spans="1:19" ht="14">
      <c r="A139">
        <f t="shared" si="57"/>
        <v>120</v>
      </c>
      <c r="B139" s="54">
        <f t="shared" si="41"/>
        <v>1.5625</v>
      </c>
      <c r="C139" s="54">
        <f t="shared" si="42"/>
        <v>15.749013123685918</v>
      </c>
      <c r="D139" s="54">
        <f t="shared" si="46"/>
        <v>0.24446425314240372</v>
      </c>
      <c r="E139" s="32">
        <f t="shared" si="43"/>
        <v>2.4446425314240374E-2</v>
      </c>
      <c r="F139" s="32">
        <f t="shared" si="44"/>
        <v>6.111606328560093E-2</v>
      </c>
      <c r="G139" s="32">
        <f t="shared" si="45"/>
        <v>0.15890176454256241</v>
      </c>
      <c r="H139" s="32">
        <f t="shared" si="34"/>
        <v>0.12235435869777306</v>
      </c>
      <c r="I139" s="32">
        <f t="shared" si="47"/>
        <v>42.1676189315952</v>
      </c>
      <c r="J139" s="32">
        <f t="shared" si="48"/>
        <v>3.6547405844789355E-2</v>
      </c>
      <c r="K139" s="32">
        <f t="shared" si="49"/>
        <v>6.0993831159029732E-2</v>
      </c>
      <c r="L139" s="55">
        <f t="shared" si="50"/>
        <v>15.749013123685918</v>
      </c>
      <c r="M139" s="45">
        <v>60</v>
      </c>
      <c r="N139" s="33">
        <f t="shared" si="51"/>
        <v>42.1676189315952</v>
      </c>
      <c r="O139" s="33">
        <f t="shared" si="52"/>
        <v>21.020621225640369</v>
      </c>
      <c r="P139" s="33">
        <f t="shared" si="53"/>
        <v>21.062746719078511</v>
      </c>
      <c r="Q139" s="33">
        <f t="shared" si="54"/>
        <v>57.91663205528112</v>
      </c>
      <c r="R139" s="33">
        <f t="shared" si="55"/>
        <v>21.062746719078511</v>
      </c>
      <c r="S139" s="55">
        <f t="shared" si="56"/>
        <v>78.979378774359631</v>
      </c>
    </row>
    <row r="140" spans="1:19" ht="14">
      <c r="A140">
        <f t="shared" si="57"/>
        <v>121</v>
      </c>
      <c r="B140" s="54">
        <f t="shared" si="41"/>
        <v>1.5092755139450711</v>
      </c>
      <c r="C140" s="54">
        <f t="shared" si="42"/>
        <v>15.508285567051491</v>
      </c>
      <c r="D140" s="54">
        <f t="shared" si="46"/>
        <v>0.24072755663442713</v>
      </c>
      <c r="E140" s="32">
        <f t="shared" si="43"/>
        <v>2.4072755663442715E-2</v>
      </c>
      <c r="F140" s="32">
        <f t="shared" si="44"/>
        <v>6.0181889158606783E-2</v>
      </c>
      <c r="G140" s="32">
        <f t="shared" si="45"/>
        <v>0.15647291181237763</v>
      </c>
      <c r="H140" s="32">
        <f t="shared" si="34"/>
        <v>0.12048414209553078</v>
      </c>
      <c r="I140" s="32">
        <f t="shared" si="47"/>
        <v>42.288103073690728</v>
      </c>
      <c r="J140" s="32">
        <f t="shared" si="48"/>
        <v>3.598876971684685E-2</v>
      </c>
      <c r="K140" s="32">
        <f t="shared" si="49"/>
        <v>6.0061525380289568E-2</v>
      </c>
      <c r="L140" s="55">
        <f t="shared" si="50"/>
        <v>15.508285567051491</v>
      </c>
      <c r="M140" s="45">
        <v>60</v>
      </c>
      <c r="N140" s="33">
        <f t="shared" si="51"/>
        <v>42.288103073690728</v>
      </c>
      <c r="O140" s="33">
        <f t="shared" si="52"/>
        <v>21.080682751020657</v>
      </c>
      <c r="P140" s="33">
        <f t="shared" si="53"/>
        <v>21.122928608237117</v>
      </c>
      <c r="Q140" s="33">
        <f t="shared" si="54"/>
        <v>57.796388640742222</v>
      </c>
      <c r="R140" s="33">
        <f t="shared" si="55"/>
        <v>21.122928608237117</v>
      </c>
      <c r="S140" s="55">
        <f t="shared" si="56"/>
        <v>78.91931724897934</v>
      </c>
    </row>
    <row r="141" spans="1:19" ht="14">
      <c r="A141">
        <f t="shared" si="57"/>
        <v>122</v>
      </c>
      <c r="B141" s="54">
        <f t="shared" si="41"/>
        <v>1.457864049276262</v>
      </c>
      <c r="C141" s="54">
        <f t="shared" si="42"/>
        <v>15.271237590595716</v>
      </c>
      <c r="D141" s="54">
        <f t="shared" si="46"/>
        <v>0.23704797645577536</v>
      </c>
      <c r="E141" s="32">
        <f t="shared" si="43"/>
        <v>2.3704797645577536E-2</v>
      </c>
      <c r="F141" s="32">
        <f t="shared" si="44"/>
        <v>5.9261994113943839E-2</v>
      </c>
      <c r="G141" s="32">
        <f t="shared" si="45"/>
        <v>0.15408118469625398</v>
      </c>
      <c r="H141" s="32">
        <f t="shared" si="34"/>
        <v>0.11864251221611556</v>
      </c>
      <c r="I141" s="32">
        <f t="shared" si="47"/>
        <v>42.40674558590684</v>
      </c>
      <c r="J141" s="32">
        <f t="shared" si="48"/>
        <v>3.543867248013842E-2</v>
      </c>
      <c r="K141" s="32">
        <f t="shared" si="49"/>
        <v>5.9143470125715955E-2</v>
      </c>
      <c r="L141" s="55">
        <f t="shared" si="50"/>
        <v>15.271237590595716</v>
      </c>
      <c r="M141" s="45">
        <v>60</v>
      </c>
      <c r="N141" s="33">
        <f t="shared" si="51"/>
        <v>42.40674558590684</v>
      </c>
      <c r="O141" s="33">
        <f t="shared" si="52"/>
        <v>21.139826221146372</v>
      </c>
      <c r="P141" s="33">
        <f t="shared" si="53"/>
        <v>21.18219060235106</v>
      </c>
      <c r="Q141" s="33">
        <f t="shared" si="54"/>
        <v>57.677983176502558</v>
      </c>
      <c r="R141" s="33">
        <f t="shared" si="55"/>
        <v>21.18219060235106</v>
      </c>
      <c r="S141" s="55">
        <f t="shared" si="56"/>
        <v>78.860173778853621</v>
      </c>
    </row>
    <row r="142" spans="1:19" ht="14">
      <c r="A142">
        <f t="shared" si="57"/>
        <v>123</v>
      </c>
      <c r="B142" s="54">
        <f t="shared" si="41"/>
        <v>1.4082038478294221</v>
      </c>
      <c r="C142" s="54">
        <f t="shared" si="42"/>
        <v>15.037812951026458</v>
      </c>
      <c r="D142" s="54">
        <f t="shared" si="46"/>
        <v>0.23342463956925741</v>
      </c>
      <c r="E142" s="32">
        <f t="shared" si="43"/>
        <v>2.3342463956925741E-2</v>
      </c>
      <c r="F142" s="32">
        <f t="shared" si="44"/>
        <v>5.8356159892314352E-2</v>
      </c>
      <c r="G142" s="32">
        <f t="shared" si="45"/>
        <v>0.15172601572001732</v>
      </c>
      <c r="H142" s="32">
        <f t="shared" si="34"/>
        <v>0.11682903210441334</v>
      </c>
      <c r="I142" s="32">
        <f t="shared" si="47"/>
        <v>42.523574618011253</v>
      </c>
      <c r="J142" s="32">
        <f t="shared" si="48"/>
        <v>3.4896983615603977E-2</v>
      </c>
      <c r="K142" s="32">
        <f t="shared" si="49"/>
        <v>5.8239447572529718E-2</v>
      </c>
      <c r="L142" s="55">
        <f t="shared" si="50"/>
        <v>15.037812951026458</v>
      </c>
      <c r="M142" s="45">
        <v>60</v>
      </c>
      <c r="N142" s="33">
        <f t="shared" si="51"/>
        <v>42.523574618011253</v>
      </c>
      <c r="O142" s="33">
        <f t="shared" si="52"/>
        <v>21.1980656687189</v>
      </c>
      <c r="P142" s="33">
        <f t="shared" si="53"/>
        <v>21.240546762243376</v>
      </c>
      <c r="Q142" s="33">
        <f t="shared" si="54"/>
        <v>57.561387569037713</v>
      </c>
      <c r="R142" s="33">
        <f t="shared" si="55"/>
        <v>21.240546762243376</v>
      </c>
      <c r="S142" s="55">
        <f t="shared" si="56"/>
        <v>78.801934331281089</v>
      </c>
    </row>
    <row r="143" spans="1:19" ht="14">
      <c r="A143">
        <f t="shared" si="57"/>
        <v>124</v>
      </c>
      <c r="B143" s="54">
        <f t="shared" si="41"/>
        <v>1.3602352551501944</v>
      </c>
      <c r="C143" s="54">
        <f t="shared" si="42"/>
        <v>14.80795626474421</v>
      </c>
      <c r="D143" s="54">
        <f t="shared" si="46"/>
        <v>0.22985668628224865</v>
      </c>
      <c r="E143" s="32">
        <f t="shared" si="43"/>
        <v>2.2985668628224865E-2</v>
      </c>
      <c r="F143" s="32">
        <f t="shared" si="44"/>
        <v>5.7464171570562161E-2</v>
      </c>
      <c r="G143" s="32">
        <f t="shared" si="45"/>
        <v>0.14940684608346164</v>
      </c>
      <c r="H143" s="32">
        <f t="shared" si="34"/>
        <v>0.11504327148426546</v>
      </c>
      <c r="I143" s="32">
        <f t="shared" si="47"/>
        <v>42.638617889495521</v>
      </c>
      <c r="J143" s="32">
        <f t="shared" si="48"/>
        <v>3.4363574599196173E-2</v>
      </c>
      <c r="K143" s="32">
        <f t="shared" si="49"/>
        <v>5.7349243227421035E-2</v>
      </c>
      <c r="L143" s="55">
        <f t="shared" si="50"/>
        <v>14.80795626474421</v>
      </c>
      <c r="M143" s="45">
        <v>60</v>
      </c>
      <c r="N143" s="33">
        <f t="shared" si="51"/>
        <v>42.638617889495521</v>
      </c>
      <c r="O143" s="33">
        <f t="shared" si="52"/>
        <v>21.255414911946321</v>
      </c>
      <c r="P143" s="33">
        <f t="shared" si="53"/>
        <v>21.298010933813938</v>
      </c>
      <c r="Q143" s="33">
        <f t="shared" si="54"/>
        <v>57.446574154239727</v>
      </c>
      <c r="R143" s="33">
        <f t="shared" si="55"/>
        <v>21.298010933813938</v>
      </c>
      <c r="S143" s="55">
        <f t="shared" si="56"/>
        <v>78.744585088053668</v>
      </c>
    </row>
    <row r="144" spans="1:19" ht="14">
      <c r="A144">
        <f t="shared" si="57"/>
        <v>125</v>
      </c>
      <c r="B144" s="54">
        <f t="shared" si="41"/>
        <v>1.3139006488339289</v>
      </c>
      <c r="C144" s="54">
        <f t="shared" si="42"/>
        <v>14.581612994701459</v>
      </c>
      <c r="D144" s="54">
        <f t="shared" si="46"/>
        <v>0.22634327004275079</v>
      </c>
      <c r="E144" s="32">
        <f t="shared" si="43"/>
        <v>2.263432700427508E-2</v>
      </c>
      <c r="F144" s="32">
        <f t="shared" si="44"/>
        <v>5.6585817510687697E-2</v>
      </c>
      <c r="G144" s="32">
        <f t="shared" si="45"/>
        <v>0.14712312552778803</v>
      </c>
      <c r="H144" s="32">
        <f t="shared" si="34"/>
        <v>0.11328480665639679</v>
      </c>
      <c r="I144" s="32">
        <f t="shared" si="47"/>
        <v>42.751902696151916</v>
      </c>
      <c r="J144" s="32">
        <f t="shared" si="48"/>
        <v>3.3838318871391243E-2</v>
      </c>
      <c r="K144" s="32">
        <f t="shared" si="49"/>
        <v>5.6472645875666319E-2</v>
      </c>
      <c r="L144" s="55">
        <f t="shared" si="50"/>
        <v>14.581612994701459</v>
      </c>
      <c r="M144" s="45">
        <v>60</v>
      </c>
      <c r="N144" s="33">
        <f t="shared" si="51"/>
        <v>42.751902696151916</v>
      </c>
      <c r="O144" s="33">
        <f t="shared" si="52"/>
        <v>21.311887557821986</v>
      </c>
      <c r="P144" s="33">
        <f t="shared" si="53"/>
        <v>21.354596751324625</v>
      </c>
      <c r="Q144" s="33">
        <f t="shared" si="54"/>
        <v>57.333515690853375</v>
      </c>
      <c r="R144" s="33">
        <f t="shared" si="55"/>
        <v>21.354596751324625</v>
      </c>
      <c r="S144" s="55">
        <f t="shared" si="56"/>
        <v>78.688112442177996</v>
      </c>
    </row>
    <row r="145" spans="1:19" ht="14">
      <c r="A145">
        <f t="shared" si="57"/>
        <v>126</v>
      </c>
      <c r="B145" s="54">
        <f t="shared" si="41"/>
        <v>1.2691443693066184</v>
      </c>
      <c r="C145" s="54">
        <f t="shared" si="42"/>
        <v>14.358729437462941</v>
      </c>
      <c r="D145" s="54">
        <f t="shared" si="46"/>
        <v>0.22288355723851794</v>
      </c>
      <c r="E145" s="32">
        <f t="shared" si="43"/>
        <v>2.2288355723851794E-2</v>
      </c>
      <c r="F145" s="32">
        <f t="shared" si="44"/>
        <v>5.5720889309629484E-2</v>
      </c>
      <c r="G145" s="32">
        <f t="shared" si="45"/>
        <v>0.14487431220503666</v>
      </c>
      <c r="H145" s="32">
        <f t="shared" si="34"/>
        <v>0.11155322039787822</v>
      </c>
      <c r="I145" s="32">
        <f t="shared" si="47"/>
        <v>42.863455916549796</v>
      </c>
      <c r="J145" s="32">
        <f t="shared" si="48"/>
        <v>3.3321091807158434E-2</v>
      </c>
      <c r="K145" s="32">
        <f t="shared" si="49"/>
        <v>5.5609447531010228E-2</v>
      </c>
      <c r="L145" s="55">
        <f t="shared" si="50"/>
        <v>14.358729437462941</v>
      </c>
      <c r="M145" s="45">
        <v>60</v>
      </c>
      <c r="N145" s="33">
        <f t="shared" si="51"/>
        <v>42.863455916549796</v>
      </c>
      <c r="O145" s="33">
        <f t="shared" si="52"/>
        <v>21.367497005352998</v>
      </c>
      <c r="P145" s="33">
        <f t="shared" si="53"/>
        <v>21.410317640634254</v>
      </c>
      <c r="Q145" s="33">
        <f t="shared" si="54"/>
        <v>57.222185354012737</v>
      </c>
      <c r="R145" s="33">
        <f t="shared" si="55"/>
        <v>21.410317640634254</v>
      </c>
      <c r="S145" s="55">
        <f t="shared" si="56"/>
        <v>78.632502994646984</v>
      </c>
    </row>
    <row r="146" spans="1:19" ht="14">
      <c r="A146">
        <f t="shared" si="57"/>
        <v>127</v>
      </c>
      <c r="B146" s="54">
        <f t="shared" si="41"/>
        <v>1.2259126529636739</v>
      </c>
      <c r="C146" s="54">
        <f t="shared" si="42"/>
        <v>14.139252710463662</v>
      </c>
      <c r="D146" s="54">
        <f t="shared" si="46"/>
        <v>0.21947672699927878</v>
      </c>
      <c r="E146" s="32">
        <f t="shared" si="43"/>
        <v>2.1947672699927881E-2</v>
      </c>
      <c r="F146" s="32">
        <f t="shared" si="44"/>
        <v>5.4869181749819695E-2</v>
      </c>
      <c r="G146" s="32">
        <f t="shared" si="45"/>
        <v>0.14265987254953122</v>
      </c>
      <c r="H146" s="32">
        <f t="shared" si="34"/>
        <v>0.10984810186313904</v>
      </c>
      <c r="I146" s="32">
        <f t="shared" si="47"/>
        <v>42.973304018412932</v>
      </c>
      <c r="J146" s="32">
        <f t="shared" si="48"/>
        <v>3.2811770686392183E-2</v>
      </c>
      <c r="K146" s="32">
        <f t="shared" si="49"/>
        <v>5.4759443386320064E-2</v>
      </c>
      <c r="L146" s="55">
        <f t="shared" si="50"/>
        <v>14.139252710463662</v>
      </c>
      <c r="M146" s="45">
        <v>60</v>
      </c>
      <c r="N146" s="33">
        <f t="shared" si="51"/>
        <v>42.973304018412932</v>
      </c>
      <c r="O146" s="33">
        <f t="shared" si="52"/>
        <v>21.422256448739319</v>
      </c>
      <c r="P146" s="33">
        <f t="shared" si="53"/>
        <v>21.465186822384073</v>
      </c>
      <c r="Q146" s="33">
        <f t="shared" si="54"/>
        <v>57.112556728876598</v>
      </c>
      <c r="R146" s="33">
        <f t="shared" si="55"/>
        <v>21.465186822384073</v>
      </c>
      <c r="S146" s="55">
        <f t="shared" si="56"/>
        <v>78.577743551260667</v>
      </c>
    </row>
    <row r="147" spans="1:19" ht="14">
      <c r="A147">
        <f t="shared" si="57"/>
        <v>128</v>
      </c>
      <c r="B147" s="54">
        <f t="shared" si="41"/>
        <v>1.1841535675862489</v>
      </c>
      <c r="C147" s="54">
        <f t="shared" si="42"/>
        <v>13.923130739461712</v>
      </c>
      <c r="D147" s="54">
        <f t="shared" si="46"/>
        <v>0.21612197100195019</v>
      </c>
      <c r="E147" s="32">
        <f t="shared" si="43"/>
        <v>2.1612197100195019E-2</v>
      </c>
      <c r="F147" s="32">
        <f t="shared" si="44"/>
        <v>5.4030492750487547E-2</v>
      </c>
      <c r="G147" s="32">
        <f t="shared" si="45"/>
        <v>0.14047928115126762</v>
      </c>
      <c r="H147" s="32">
        <f t="shared" si="34"/>
        <v>0.10816904648647607</v>
      </c>
      <c r="I147" s="32">
        <f t="shared" si="47"/>
        <v>43.081473064899406</v>
      </c>
      <c r="J147" s="32">
        <f t="shared" si="48"/>
        <v>3.2310234664791548E-2</v>
      </c>
      <c r="K147" s="32">
        <f t="shared" si="49"/>
        <v>5.3922431764986567E-2</v>
      </c>
      <c r="L147" s="55">
        <f t="shared" si="50"/>
        <v>13.923130739461712</v>
      </c>
      <c r="M147" s="45">
        <v>60</v>
      </c>
      <c r="N147" s="33">
        <f t="shared" si="51"/>
        <v>43.081473064899406</v>
      </c>
      <c r="O147" s="33">
        <f t="shared" si="52"/>
        <v>21.476178880504307</v>
      </c>
      <c r="P147" s="33">
        <f t="shared" si="53"/>
        <v>21.519217315134561</v>
      </c>
      <c r="Q147" s="33">
        <f t="shared" si="54"/>
        <v>57.004603804361118</v>
      </c>
      <c r="R147" s="33">
        <f t="shared" si="55"/>
        <v>21.519217315134561</v>
      </c>
      <c r="S147" s="55">
        <f t="shared" si="56"/>
        <v>78.523821119495679</v>
      </c>
    </row>
    <row r="148" spans="1:19" ht="14">
      <c r="A148">
        <f t="shared" si="57"/>
        <v>129</v>
      </c>
      <c r="B148" s="54">
        <f t="shared" ref="B148:B179" si="58">100*(0.5)^(A148/B$3)</f>
        <v>1.1438169499575197</v>
      </c>
      <c r="C148" s="54">
        <f t="shared" ref="C148:C179" si="59">100*(0.5)^(A148/B$4)</f>
        <v>13.710312246182827</v>
      </c>
      <c r="D148" s="54">
        <f t="shared" si="46"/>
        <v>0.2128184932788848</v>
      </c>
      <c r="E148" s="32">
        <f t="shared" ref="E148:E179" si="60">$D148*B$10</f>
        <v>2.1281849327888482E-2</v>
      </c>
      <c r="F148" s="32">
        <f t="shared" ref="F148:F179" si="61">$D148*B$11</f>
        <v>5.32046233197212E-2</v>
      </c>
      <c r="G148" s="32">
        <f t="shared" ref="G148:G179" si="62">$D148*B$12</f>
        <v>0.13833202063127512</v>
      </c>
      <c r="H148" s="32">
        <f t="shared" si="34"/>
        <v>0.10651565588608185</v>
      </c>
      <c r="I148" s="32">
        <f t="shared" si="47"/>
        <v>43.187988720785491</v>
      </c>
      <c r="J148" s="32">
        <f t="shared" si="48"/>
        <v>3.1816364745193268E-2</v>
      </c>
      <c r="K148" s="32">
        <f t="shared" si="49"/>
        <v>5.3098214073081754E-2</v>
      </c>
      <c r="L148" s="55">
        <f t="shared" si="50"/>
        <v>13.710312246182827</v>
      </c>
      <c r="M148" s="45">
        <v>60</v>
      </c>
      <c r="N148" s="33">
        <f t="shared" si="51"/>
        <v>43.187988720785491</v>
      </c>
      <c r="O148" s="33">
        <f t="shared" si="52"/>
        <v>21.529277094577388</v>
      </c>
      <c r="P148" s="33">
        <f t="shared" si="53"/>
        <v>21.572421938454283</v>
      </c>
      <c r="Q148" s="33">
        <f t="shared" si="54"/>
        <v>56.898300966968321</v>
      </c>
      <c r="R148" s="33">
        <f t="shared" si="55"/>
        <v>21.572421938454283</v>
      </c>
      <c r="S148" s="55">
        <f t="shared" si="56"/>
        <v>78.470722905422605</v>
      </c>
    </row>
    <row r="149" spans="1:19" ht="14">
      <c r="A149">
        <f t="shared" si="57"/>
        <v>130</v>
      </c>
      <c r="B149" s="54">
        <f t="shared" si="58"/>
        <v>1.104854345603981</v>
      </c>
      <c r="C149" s="54">
        <f t="shared" si="59"/>
        <v>13.500746736153827</v>
      </c>
      <c r="D149" s="54">
        <f t="shared" si="46"/>
        <v>0.20956551002899992</v>
      </c>
      <c r="E149" s="32">
        <f t="shared" si="60"/>
        <v>2.0956551002899993E-2</v>
      </c>
      <c r="F149" s="32">
        <f t="shared" si="61"/>
        <v>5.2391377507249981E-2</v>
      </c>
      <c r="G149" s="32">
        <f t="shared" si="62"/>
        <v>0.13621758151884997</v>
      </c>
      <c r="H149" s="32">
        <f t="shared" ref="H149:H179" si="63">G149*$B$13</f>
        <v>0.10488753776951448</v>
      </c>
      <c r="I149" s="32">
        <f t="shared" si="47"/>
        <v>43.292876258555005</v>
      </c>
      <c r="J149" s="32">
        <f t="shared" si="48"/>
        <v>3.1330043749335484E-2</v>
      </c>
      <c r="K149" s="32">
        <f t="shared" si="49"/>
        <v>5.2286594752235474E-2</v>
      </c>
      <c r="L149" s="55">
        <f t="shared" si="50"/>
        <v>13.500746736153827</v>
      </c>
      <c r="M149" s="45">
        <v>60</v>
      </c>
      <c r="N149" s="33">
        <f t="shared" si="51"/>
        <v>43.292876258555005</v>
      </c>
      <c r="O149" s="33">
        <f t="shared" si="52"/>
        <v>21.581563689329624</v>
      </c>
      <c r="P149" s="33">
        <f t="shared" si="53"/>
        <v>21.624813315961532</v>
      </c>
      <c r="Q149" s="33">
        <f t="shared" si="54"/>
        <v>56.793622994708834</v>
      </c>
      <c r="R149" s="33">
        <f t="shared" si="55"/>
        <v>21.624813315961532</v>
      </c>
      <c r="S149" s="55">
        <f t="shared" si="56"/>
        <v>78.418436310670359</v>
      </c>
    </row>
    <row r="150" spans="1:19" ht="14">
      <c r="A150">
        <f t="shared" si="57"/>
        <v>131</v>
      </c>
      <c r="B150" s="54">
        <f t="shared" si="58"/>
        <v>1.0672189505893714</v>
      </c>
      <c r="C150" s="54">
        <f t="shared" si="59"/>
        <v>13.294384486722045</v>
      </c>
      <c r="D150" s="54">
        <f t="shared" si="46"/>
        <v>0.20636224943178227</v>
      </c>
      <c r="E150" s="32">
        <f t="shared" si="60"/>
        <v>2.0636224943178228E-2</v>
      </c>
      <c r="F150" s="32">
        <f t="shared" si="61"/>
        <v>5.1590562357945569E-2</v>
      </c>
      <c r="G150" s="32">
        <f t="shared" si="62"/>
        <v>0.13413546213065849</v>
      </c>
      <c r="H150" s="32">
        <f t="shared" si="63"/>
        <v>0.10328430584060705</v>
      </c>
      <c r="I150" s="32">
        <f t="shared" si="47"/>
        <v>43.396160564395615</v>
      </c>
      <c r="J150" s="32">
        <f t="shared" si="48"/>
        <v>3.0851156290051446E-2</v>
      </c>
      <c r="K150" s="32">
        <f t="shared" si="49"/>
        <v>5.148738123322967E-2</v>
      </c>
      <c r="L150" s="55">
        <f t="shared" si="50"/>
        <v>13.294384486722045</v>
      </c>
      <c r="M150" s="45">
        <v>60</v>
      </c>
      <c r="N150" s="33">
        <f t="shared" si="51"/>
        <v>43.396160564395615</v>
      </c>
      <c r="O150" s="33">
        <f t="shared" si="52"/>
        <v>21.633051070562853</v>
      </c>
      <c r="P150" s="33">
        <f t="shared" si="53"/>
        <v>21.676403878319476</v>
      </c>
      <c r="Q150" s="33">
        <f t="shared" si="54"/>
        <v>56.69054505111766</v>
      </c>
      <c r="R150" s="33">
        <f t="shared" si="55"/>
        <v>21.676403878319476</v>
      </c>
      <c r="S150" s="55">
        <f t="shared" si="56"/>
        <v>78.366948929437143</v>
      </c>
    </row>
    <row r="151" spans="1:19" ht="14">
      <c r="A151">
        <f t="shared" si="57"/>
        <v>132</v>
      </c>
      <c r="B151" s="54">
        <f t="shared" si="58"/>
        <v>1.030865555291324</v>
      </c>
      <c r="C151" s="54">
        <f t="shared" si="59"/>
        <v>13.091176535257834</v>
      </c>
      <c r="D151" s="54">
        <f t="shared" si="46"/>
        <v>0.20320795146421133</v>
      </c>
      <c r="E151" s="32">
        <f t="shared" si="60"/>
        <v>2.0320795146421135E-2</v>
      </c>
      <c r="F151" s="32">
        <f t="shared" si="61"/>
        <v>5.0801987866052833E-2</v>
      </c>
      <c r="G151" s="32">
        <f t="shared" si="62"/>
        <v>0.13208516845173737</v>
      </c>
      <c r="H151" s="32">
        <f t="shared" si="63"/>
        <v>0.10170557970783778</v>
      </c>
      <c r="I151" s="32">
        <f t="shared" si="47"/>
        <v>43.497866144103455</v>
      </c>
      <c r="J151" s="32">
        <f t="shared" si="48"/>
        <v>3.0379588743899594E-2</v>
      </c>
      <c r="K151" s="32">
        <f t="shared" si="49"/>
        <v>5.0700383890320729E-2</v>
      </c>
      <c r="L151" s="55">
        <f t="shared" si="50"/>
        <v>13.091176535257834</v>
      </c>
      <c r="M151" s="45">
        <v>60</v>
      </c>
      <c r="N151" s="33">
        <f t="shared" si="51"/>
        <v>43.497866144103455</v>
      </c>
      <c r="O151" s="33">
        <f t="shared" si="52"/>
        <v>21.683751454453173</v>
      </c>
      <c r="P151" s="33">
        <f t="shared" si="53"/>
        <v>21.727205866185528</v>
      </c>
      <c r="Q151" s="33">
        <f t="shared" si="54"/>
        <v>56.589042679361285</v>
      </c>
      <c r="R151" s="33">
        <f t="shared" si="55"/>
        <v>21.727205866185528</v>
      </c>
      <c r="S151" s="55">
        <f t="shared" si="56"/>
        <v>78.316248545546813</v>
      </c>
    </row>
    <row r="152" spans="1:19" ht="14">
      <c r="A152">
        <f t="shared" si="57"/>
        <v>133</v>
      </c>
      <c r="B152" s="54">
        <f t="shared" si="58"/>
        <v>0.9957504900931734</v>
      </c>
      <c r="C152" s="54">
        <f t="shared" si="59"/>
        <v>12.891074667537442</v>
      </c>
      <c r="D152" s="54">
        <f t="shared" si="46"/>
        <v>0.20010186772039162</v>
      </c>
      <c r="E152" s="32">
        <f t="shared" si="60"/>
        <v>2.0010186772039164E-2</v>
      </c>
      <c r="F152" s="32">
        <f t="shared" si="61"/>
        <v>5.0025466930097906E-2</v>
      </c>
      <c r="G152" s="32">
        <f t="shared" si="62"/>
        <v>0.13006621401825455</v>
      </c>
      <c r="H152" s="32">
        <f t="shared" si="63"/>
        <v>0.100150984794056</v>
      </c>
      <c r="I152" s="32">
        <f t="shared" si="47"/>
        <v>43.59801712889751</v>
      </c>
      <c r="J152" s="32">
        <f t="shared" si="48"/>
        <v>2.991522922419855E-2</v>
      </c>
      <c r="K152" s="32">
        <f t="shared" si="49"/>
        <v>4.9925415996237718E-2</v>
      </c>
      <c r="L152" s="55">
        <f t="shared" si="50"/>
        <v>12.891074667537442</v>
      </c>
      <c r="M152" s="45">
        <v>60</v>
      </c>
      <c r="N152" s="33">
        <f t="shared" si="51"/>
        <v>43.59801712889751</v>
      </c>
      <c r="O152" s="33">
        <f t="shared" si="52"/>
        <v>21.733676870449411</v>
      </c>
      <c r="P152" s="33">
        <f t="shared" si="53"/>
        <v>21.777231333115626</v>
      </c>
      <c r="Q152" s="33">
        <f t="shared" si="54"/>
        <v>56.489091796434948</v>
      </c>
      <c r="R152" s="33">
        <f t="shared" si="55"/>
        <v>21.777231333115626</v>
      </c>
      <c r="S152" s="55">
        <f t="shared" si="56"/>
        <v>78.266323129550571</v>
      </c>
    </row>
    <row r="153" spans="1:19" ht="14">
      <c r="A153">
        <f t="shared" si="57"/>
        <v>134</v>
      </c>
      <c r="B153" s="54">
        <f t="shared" si="58"/>
        <v>0.96183157292571619</v>
      </c>
      <c r="C153" s="54">
        <f t="shared" si="59"/>
        <v>12.694031406303438</v>
      </c>
      <c r="D153" s="54">
        <f t="shared" si="46"/>
        <v>0.19704326123400406</v>
      </c>
      <c r="E153" s="32">
        <f t="shared" si="60"/>
        <v>1.9704326123400409E-2</v>
      </c>
      <c r="F153" s="32">
        <f t="shared" si="61"/>
        <v>4.9260815308501016E-2</v>
      </c>
      <c r="G153" s="32">
        <f t="shared" si="62"/>
        <v>0.12807811980210265</v>
      </c>
      <c r="H153" s="32">
        <f t="shared" si="63"/>
        <v>9.8620152247619039E-2</v>
      </c>
      <c r="I153" s="32">
        <f t="shared" si="47"/>
        <v>43.696637281145129</v>
      </c>
      <c r="J153" s="32">
        <f t="shared" si="48"/>
        <v>2.9457967554483613E-2</v>
      </c>
      <c r="K153" s="32">
        <f t="shared" si="49"/>
        <v>4.9162293677884022E-2</v>
      </c>
      <c r="L153" s="55">
        <f t="shared" si="50"/>
        <v>12.694031406303438</v>
      </c>
      <c r="M153" s="45">
        <v>60</v>
      </c>
      <c r="N153" s="33">
        <f t="shared" si="51"/>
        <v>43.696637281145129</v>
      </c>
      <c r="O153" s="33">
        <f t="shared" si="52"/>
        <v>21.782839164127296</v>
      </c>
      <c r="P153" s="33">
        <f t="shared" si="53"/>
        <v>21.826492148424126</v>
      </c>
      <c r="Q153" s="33">
        <f t="shared" si="54"/>
        <v>56.390668687448567</v>
      </c>
      <c r="R153" s="33">
        <f t="shared" si="55"/>
        <v>21.826492148424126</v>
      </c>
      <c r="S153" s="55">
        <f t="shared" si="56"/>
        <v>78.21716083587269</v>
      </c>
    </row>
    <row r="154" spans="1:19" ht="14">
      <c r="A154">
        <f t="shared" si="57"/>
        <v>135</v>
      </c>
      <c r="B154" s="54">
        <f t="shared" si="58"/>
        <v>0.9290680585958756</v>
      </c>
      <c r="C154" s="54">
        <f t="shared" si="59"/>
        <v>12.5</v>
      </c>
      <c r="D154" s="54">
        <f t="shared" si="46"/>
        <v>0.19403140630343785</v>
      </c>
      <c r="E154" s="32">
        <f t="shared" si="60"/>
        <v>1.9403140630343787E-2</v>
      </c>
      <c r="F154" s="32">
        <f t="shared" si="61"/>
        <v>4.8507851575859462E-2</v>
      </c>
      <c r="G154" s="32">
        <f t="shared" si="62"/>
        <v>0.1261204140972346</v>
      </c>
      <c r="H154" s="32">
        <f t="shared" si="63"/>
        <v>9.7112718854870647E-2</v>
      </c>
      <c r="I154" s="32">
        <f t="shared" si="47"/>
        <v>43.793750000000003</v>
      </c>
      <c r="J154" s="32">
        <f t="shared" si="48"/>
        <v>2.9007695242363948E-2</v>
      </c>
      <c r="K154" s="32">
        <f t="shared" si="49"/>
        <v>4.8410835872707739E-2</v>
      </c>
      <c r="L154" s="55">
        <f t="shared" si="50"/>
        <v>12.5</v>
      </c>
      <c r="M154" s="45">
        <v>60</v>
      </c>
      <c r="N154" s="33">
        <f t="shared" si="51"/>
        <v>43.793750000000003</v>
      </c>
      <c r="O154" s="33">
        <f t="shared" si="52"/>
        <v>21.831250000000004</v>
      </c>
      <c r="P154" s="33">
        <f t="shared" si="53"/>
        <v>21.874999999999986</v>
      </c>
      <c r="Q154" s="33">
        <f t="shared" si="54"/>
        <v>56.293750000000003</v>
      </c>
      <c r="R154" s="33">
        <f t="shared" si="55"/>
        <v>21.874999999999986</v>
      </c>
      <c r="S154" s="55">
        <f t="shared" si="56"/>
        <v>78.168749999999989</v>
      </c>
    </row>
    <row r="155" spans="1:19" ht="14">
      <c r="A155">
        <f t="shared" si="57"/>
        <v>136</v>
      </c>
      <c r="B155" s="54">
        <f t="shared" si="58"/>
        <v>0.8974205898414338</v>
      </c>
      <c r="C155" s="54">
        <f t="shared" si="59"/>
        <v>12.308934411680394</v>
      </c>
      <c r="D155" s="54">
        <f t="shared" si="46"/>
        <v>0.19106558831960641</v>
      </c>
      <c r="E155" s="32">
        <f t="shared" si="60"/>
        <v>1.9106558831960642E-2</v>
      </c>
      <c r="F155" s="32">
        <f t="shared" si="61"/>
        <v>4.7766397079901601E-2</v>
      </c>
      <c r="G155" s="32">
        <f t="shared" si="62"/>
        <v>0.12419263240774417</v>
      </c>
      <c r="H155" s="32">
        <f t="shared" si="63"/>
        <v>9.5628326953963005E-2</v>
      </c>
      <c r="I155" s="32">
        <f t="shared" si="47"/>
        <v>43.889378326953967</v>
      </c>
      <c r="J155" s="32">
        <f t="shared" si="48"/>
        <v>2.8564305453781164E-2</v>
      </c>
      <c r="K155" s="32">
        <f t="shared" si="49"/>
        <v>4.7670864285741806E-2</v>
      </c>
      <c r="L155" s="55">
        <f t="shared" si="50"/>
        <v>12.308934411680394</v>
      </c>
      <c r="M155" s="45">
        <v>60</v>
      </c>
      <c r="N155" s="33">
        <f t="shared" si="51"/>
        <v>43.889378326953967</v>
      </c>
      <c r="O155" s="33">
        <f t="shared" si="52"/>
        <v>21.878920864285746</v>
      </c>
      <c r="P155" s="33">
        <f t="shared" si="53"/>
        <v>21.922766397079887</v>
      </c>
      <c r="Q155" s="33">
        <f t="shared" si="54"/>
        <v>56.198312738634357</v>
      </c>
      <c r="R155" s="33">
        <f t="shared" si="55"/>
        <v>21.922766397079887</v>
      </c>
      <c r="S155" s="55">
        <f t="shared" si="56"/>
        <v>78.12107913571424</v>
      </c>
    </row>
    <row r="156" spans="1:19" ht="14">
      <c r="A156">
        <f t="shared" si="57"/>
        <v>137</v>
      </c>
      <c r="B156" s="54">
        <f t="shared" si="58"/>
        <v>0.8668511500530045</v>
      </c>
      <c r="C156" s="54">
        <f t="shared" si="59"/>
        <v>12.120789308083978</v>
      </c>
      <c r="D156" s="54">
        <f t="shared" si="46"/>
        <v>0.18814510359641545</v>
      </c>
      <c r="E156" s="32">
        <f t="shared" si="60"/>
        <v>1.8814510359641545E-2</v>
      </c>
      <c r="F156" s="32">
        <f t="shared" si="61"/>
        <v>4.7036275899103863E-2</v>
      </c>
      <c r="G156" s="32">
        <f t="shared" si="62"/>
        <v>0.12229431733767004</v>
      </c>
      <c r="H156" s="32">
        <f t="shared" si="63"/>
        <v>9.4166624350005931E-2</v>
      </c>
      <c r="I156" s="32">
        <f t="shared" si="47"/>
        <v>43.983544951303976</v>
      </c>
      <c r="J156" s="32">
        <f t="shared" si="48"/>
        <v>2.8127692987664113E-2</v>
      </c>
      <c r="K156" s="32">
        <f t="shared" si="49"/>
        <v>4.6942203347305658E-2</v>
      </c>
      <c r="L156" s="55">
        <f t="shared" si="50"/>
        <v>12.120789308083978</v>
      </c>
      <c r="M156" s="45">
        <v>60</v>
      </c>
      <c r="N156" s="33">
        <f t="shared" si="51"/>
        <v>43.983544951303976</v>
      </c>
      <c r="O156" s="33">
        <f t="shared" si="52"/>
        <v>21.925863067633053</v>
      </c>
      <c r="P156" s="33">
        <f t="shared" si="53"/>
        <v>21.969802672978989</v>
      </c>
      <c r="Q156" s="33">
        <f t="shared" si="54"/>
        <v>56.104334259387954</v>
      </c>
      <c r="R156" s="33">
        <f t="shared" si="55"/>
        <v>21.969802672978989</v>
      </c>
      <c r="S156" s="55">
        <f t="shared" si="56"/>
        <v>78.07413693236694</v>
      </c>
    </row>
    <row r="157" spans="1:19" ht="14">
      <c r="A157">
        <f t="shared" si="57"/>
        <v>138</v>
      </c>
      <c r="B157" s="54">
        <f t="shared" si="58"/>
        <v>0.83732301760647931</v>
      </c>
      <c r="C157" s="54">
        <f t="shared" si="59"/>
        <v>11.935520048880205</v>
      </c>
      <c r="D157" s="54">
        <f t="shared" si="46"/>
        <v>0.18526925920377302</v>
      </c>
      <c r="E157" s="32">
        <f t="shared" si="60"/>
        <v>1.8526925920377302E-2</v>
      </c>
      <c r="F157" s="32">
        <f t="shared" si="61"/>
        <v>4.6317314800943254E-2</v>
      </c>
      <c r="G157" s="32">
        <f t="shared" si="62"/>
        <v>0.12042501848245246</v>
      </c>
      <c r="H157" s="32">
        <f t="shared" si="63"/>
        <v>9.2727264231488402E-2</v>
      </c>
      <c r="I157" s="32">
        <f t="shared" si="47"/>
        <v>44.076272215535468</v>
      </c>
      <c r="J157" s="32">
        <f t="shared" si="48"/>
        <v>2.769775425096406E-2</v>
      </c>
      <c r="K157" s="32">
        <f t="shared" si="49"/>
        <v>4.6224680171341362E-2</v>
      </c>
      <c r="L157" s="55">
        <f t="shared" si="50"/>
        <v>11.935520048880205</v>
      </c>
      <c r="M157" s="45">
        <v>60</v>
      </c>
      <c r="N157" s="33">
        <f t="shared" si="51"/>
        <v>44.076272215535468</v>
      </c>
      <c r="O157" s="33">
        <f t="shared" si="52"/>
        <v>21.972087747804395</v>
      </c>
      <c r="P157" s="33">
        <f t="shared" si="53"/>
        <v>22.016119987779934</v>
      </c>
      <c r="Q157" s="33">
        <f t="shared" si="54"/>
        <v>56.011792264415675</v>
      </c>
      <c r="R157" s="33">
        <f t="shared" si="55"/>
        <v>22.016119987779934</v>
      </c>
      <c r="S157" s="55">
        <f t="shared" si="56"/>
        <v>78.027912252195605</v>
      </c>
    </row>
    <row r="158" spans="1:19" ht="14">
      <c r="A158">
        <f t="shared" si="57"/>
        <v>139</v>
      </c>
      <c r="B158" s="54">
        <f t="shared" si="58"/>
        <v>0.80880072175107609</v>
      </c>
      <c r="C158" s="54">
        <f t="shared" si="59"/>
        <v>11.753082676077023</v>
      </c>
      <c r="D158" s="54">
        <f t="shared" si="46"/>
        <v>0.18243737280318228</v>
      </c>
      <c r="E158" s="32">
        <f t="shared" si="60"/>
        <v>1.824373728031823E-2</v>
      </c>
      <c r="F158" s="32">
        <f t="shared" si="61"/>
        <v>4.5609343200795571E-2</v>
      </c>
      <c r="G158" s="32">
        <f t="shared" si="62"/>
        <v>0.11858429232206849</v>
      </c>
      <c r="H158" s="32">
        <f t="shared" si="63"/>
        <v>9.1309905087992735E-2</v>
      </c>
      <c r="I158" s="32">
        <f t="shared" si="47"/>
        <v>44.167582120623457</v>
      </c>
      <c r="J158" s="32">
        <f t="shared" si="48"/>
        <v>2.7274387234075756E-2</v>
      </c>
      <c r="K158" s="32">
        <f t="shared" si="49"/>
        <v>4.5518124514393986E-2</v>
      </c>
      <c r="L158" s="55">
        <f t="shared" si="50"/>
        <v>11.753082676077023</v>
      </c>
      <c r="M158" s="45">
        <v>60</v>
      </c>
      <c r="N158" s="33">
        <f t="shared" si="51"/>
        <v>44.167582120623457</v>
      </c>
      <c r="O158" s="33">
        <f t="shared" si="52"/>
        <v>22.017605872318789</v>
      </c>
      <c r="P158" s="33">
        <f t="shared" si="53"/>
        <v>22.061729330980729</v>
      </c>
      <c r="Q158" s="33">
        <f t="shared" si="54"/>
        <v>55.920664796700478</v>
      </c>
      <c r="R158" s="33">
        <f t="shared" si="55"/>
        <v>22.061729330980729</v>
      </c>
      <c r="S158" s="55">
        <f t="shared" si="56"/>
        <v>77.982394127681204</v>
      </c>
    </row>
    <row r="159" spans="1:19" ht="14">
      <c r="A159">
        <f t="shared" si="57"/>
        <v>140</v>
      </c>
      <c r="B159" s="54">
        <f t="shared" si="58"/>
        <v>0.78125</v>
      </c>
      <c r="C159" s="54">
        <f t="shared" si="59"/>
        <v>11.57343390359113</v>
      </c>
      <c r="D159" s="54">
        <f t="shared" si="46"/>
        <v>0.17964877248589239</v>
      </c>
      <c r="E159" s="32">
        <f t="shared" si="60"/>
        <v>1.796487724858924E-2</v>
      </c>
      <c r="F159" s="32">
        <f t="shared" si="61"/>
        <v>4.4912193121473099E-2</v>
      </c>
      <c r="G159" s="32">
        <f t="shared" si="62"/>
        <v>0.11677170211583006</v>
      </c>
      <c r="H159" s="32">
        <f t="shared" si="63"/>
        <v>8.9914210629189154E-2</v>
      </c>
      <c r="I159" s="32">
        <f t="shared" si="47"/>
        <v>44.257496331252646</v>
      </c>
      <c r="J159" s="32">
        <f t="shared" si="48"/>
        <v>2.6857491486640905E-2</v>
      </c>
      <c r="K159" s="32">
        <f t="shared" si="49"/>
        <v>4.4822368735230142E-2</v>
      </c>
      <c r="L159" s="55">
        <f t="shared" si="50"/>
        <v>11.57343390359113</v>
      </c>
      <c r="M159" s="45">
        <v>60</v>
      </c>
      <c r="N159" s="33">
        <f t="shared" si="51"/>
        <v>44.257496331252646</v>
      </c>
      <c r="O159" s="33">
        <f t="shared" si="52"/>
        <v>22.062428241054018</v>
      </c>
      <c r="P159" s="33">
        <f t="shared" si="53"/>
        <v>22.106641524102201</v>
      </c>
      <c r="Q159" s="33">
        <f t="shared" si="54"/>
        <v>55.830930234843777</v>
      </c>
      <c r="R159" s="33">
        <f t="shared" si="55"/>
        <v>22.106641524102201</v>
      </c>
      <c r="S159" s="55">
        <f t="shared" si="56"/>
        <v>77.937571758945978</v>
      </c>
    </row>
    <row r="160" spans="1:19" ht="14">
      <c r="A160">
        <f t="shared" si="57"/>
        <v>141</v>
      </c>
      <c r="B160" s="54">
        <f t="shared" si="58"/>
        <v>0.7546377569725361</v>
      </c>
      <c r="C160" s="54">
        <f t="shared" si="59"/>
        <v>11.39653110697771</v>
      </c>
      <c r="D160" s="54">
        <f t="shared" si="46"/>
        <v>0.17690279661342068</v>
      </c>
      <c r="E160" s="32">
        <f t="shared" si="60"/>
        <v>1.7690279661342068E-2</v>
      </c>
      <c r="F160" s="32">
        <f t="shared" si="61"/>
        <v>4.4225699153355169E-2</v>
      </c>
      <c r="G160" s="32">
        <f t="shared" si="62"/>
        <v>0.11498681779872344</v>
      </c>
      <c r="H160" s="32">
        <f t="shared" si="63"/>
        <v>8.8539849705017049E-2</v>
      </c>
      <c r="I160" s="32">
        <f t="shared" si="47"/>
        <v>44.346036180957661</v>
      </c>
      <c r="J160" s="32">
        <f t="shared" si="48"/>
        <v>2.6446968093706391E-2</v>
      </c>
      <c r="K160" s="32">
        <f t="shared" si="49"/>
        <v>4.4137247755048459E-2</v>
      </c>
      <c r="L160" s="55">
        <f t="shared" si="50"/>
        <v>11.39653110697771</v>
      </c>
      <c r="M160" s="45">
        <v>60</v>
      </c>
      <c r="N160" s="33">
        <f t="shared" si="51"/>
        <v>44.346036180957661</v>
      </c>
      <c r="O160" s="33">
        <f t="shared" si="52"/>
        <v>22.106565488809068</v>
      </c>
      <c r="P160" s="33">
        <f t="shared" si="53"/>
        <v>22.150867223255556</v>
      </c>
      <c r="Q160" s="33">
        <f t="shared" si="54"/>
        <v>55.742567287935373</v>
      </c>
      <c r="R160" s="33">
        <f t="shared" si="55"/>
        <v>22.150867223255556</v>
      </c>
      <c r="S160" s="55">
        <f t="shared" si="56"/>
        <v>77.893434511190932</v>
      </c>
    </row>
    <row r="161" spans="1:19" ht="14">
      <c r="A161">
        <f t="shared" si="57"/>
        <v>142</v>
      </c>
      <c r="B161" s="54">
        <f t="shared" si="58"/>
        <v>0.728932024638131</v>
      </c>
      <c r="C161" s="54">
        <f t="shared" si="59"/>
        <v>11.222332313317116</v>
      </c>
      <c r="D161" s="54">
        <f t="shared" si="46"/>
        <v>0.17419879366059376</v>
      </c>
      <c r="E161" s="32">
        <f t="shared" si="60"/>
        <v>1.7419879366059376E-2</v>
      </c>
      <c r="F161" s="32">
        <f t="shared" si="61"/>
        <v>4.3549698415148441E-2</v>
      </c>
      <c r="G161" s="32">
        <f t="shared" si="62"/>
        <v>0.11322921587938595</v>
      </c>
      <c r="H161" s="32">
        <f t="shared" si="63"/>
        <v>8.718649622712718E-2</v>
      </c>
      <c r="I161" s="32">
        <f t="shared" si="47"/>
        <v>44.433222677184787</v>
      </c>
      <c r="J161" s="32">
        <f t="shared" si="48"/>
        <v>2.6042719652258767E-2</v>
      </c>
      <c r="K161" s="32">
        <f t="shared" si="49"/>
        <v>4.3462599018318143E-2</v>
      </c>
      <c r="L161" s="55">
        <f t="shared" si="50"/>
        <v>11.222332313317116</v>
      </c>
      <c r="M161" s="45">
        <v>60</v>
      </c>
      <c r="N161" s="33">
        <f t="shared" si="51"/>
        <v>44.433222677184787</v>
      </c>
      <c r="O161" s="33">
        <f t="shared" si="52"/>
        <v>22.150028087827387</v>
      </c>
      <c r="P161" s="33">
        <f t="shared" si="53"/>
        <v>22.194416921670705</v>
      </c>
      <c r="Q161" s="33">
        <f t="shared" si="54"/>
        <v>55.655554990501905</v>
      </c>
      <c r="R161" s="33">
        <f t="shared" si="55"/>
        <v>22.194416921670705</v>
      </c>
      <c r="S161" s="55">
        <f t="shared" si="56"/>
        <v>77.849971912172606</v>
      </c>
    </row>
    <row r="162" spans="1:19" ht="14">
      <c r="A162">
        <f t="shared" si="57"/>
        <v>143</v>
      </c>
      <c r="B162" s="54">
        <f t="shared" si="58"/>
        <v>0.70410192391471105</v>
      </c>
      <c r="C162" s="54">
        <f t="shared" si="59"/>
        <v>11.050796191256151</v>
      </c>
      <c r="D162" s="54">
        <f t="shared" si="46"/>
        <v>0.17153612206096547</v>
      </c>
      <c r="E162" s="32">
        <f t="shared" si="60"/>
        <v>1.7153612206096548E-2</v>
      </c>
      <c r="F162" s="32">
        <f t="shared" si="61"/>
        <v>4.2884030515241367E-2</v>
      </c>
      <c r="G162" s="32">
        <f t="shared" si="62"/>
        <v>0.11149847933962756</v>
      </c>
      <c r="H162" s="32">
        <f t="shared" si="63"/>
        <v>8.585382909151322E-2</v>
      </c>
      <c r="I162" s="32">
        <f t="shared" si="47"/>
        <v>44.519076506276299</v>
      </c>
      <c r="J162" s="32">
        <f t="shared" si="48"/>
        <v>2.564465024811434E-2</v>
      </c>
      <c r="K162" s="32">
        <f t="shared" si="49"/>
        <v>4.2798262454210888E-2</v>
      </c>
      <c r="L162" s="55">
        <f t="shared" si="50"/>
        <v>11.050796191256151</v>
      </c>
      <c r="M162" s="45">
        <v>60</v>
      </c>
      <c r="N162" s="33">
        <f t="shared" si="51"/>
        <v>44.519076506276299</v>
      </c>
      <c r="O162" s="33">
        <f t="shared" si="52"/>
        <v>22.192826350281599</v>
      </c>
      <c r="P162" s="33">
        <f t="shared" si="53"/>
        <v>22.237300952185947</v>
      </c>
      <c r="Q162" s="33">
        <f t="shared" si="54"/>
        <v>55.569872697532446</v>
      </c>
      <c r="R162" s="33">
        <f t="shared" si="55"/>
        <v>22.237300952185947</v>
      </c>
      <c r="S162" s="55">
        <f t="shared" si="56"/>
        <v>77.807173649718393</v>
      </c>
    </row>
    <row r="163" spans="1:19" ht="14">
      <c r="A163">
        <f t="shared" si="57"/>
        <v>144</v>
      </c>
      <c r="B163" s="54">
        <f t="shared" si="58"/>
        <v>0.68011762757509719</v>
      </c>
      <c r="C163" s="54">
        <f t="shared" si="59"/>
        <v>10.881882041201553</v>
      </c>
      <c r="D163" s="54">
        <f t="shared" si="46"/>
        <v>0.1689141500545972</v>
      </c>
      <c r="E163" s="32">
        <f t="shared" si="60"/>
        <v>1.6891415005459719E-2</v>
      </c>
      <c r="F163" s="32">
        <f t="shared" si="61"/>
        <v>4.22285375136493E-2</v>
      </c>
      <c r="G163" s="32">
        <f t="shared" si="62"/>
        <v>0.10979419753548818</v>
      </c>
      <c r="H163" s="32">
        <f t="shared" si="63"/>
        <v>8.45415321023259E-2</v>
      </c>
      <c r="I163" s="32">
        <f t="shared" si="47"/>
        <v>44.603618038378627</v>
      </c>
      <c r="J163" s="32">
        <f t="shared" si="48"/>
        <v>2.5252665433162277E-2</v>
      </c>
      <c r="K163" s="32">
        <f t="shared" si="49"/>
        <v>4.2144080438622E-2</v>
      </c>
      <c r="L163" s="55">
        <f t="shared" si="50"/>
        <v>10.881882041201553</v>
      </c>
      <c r="M163" s="45">
        <v>60</v>
      </c>
      <c r="N163" s="33">
        <f t="shared" si="51"/>
        <v>44.603618038378627</v>
      </c>
      <c r="O163" s="33">
        <f t="shared" si="52"/>
        <v>22.234970430720221</v>
      </c>
      <c r="P163" s="33">
        <f t="shared" si="53"/>
        <v>22.279529489699598</v>
      </c>
      <c r="Q163" s="33">
        <f t="shared" si="54"/>
        <v>55.485500079580177</v>
      </c>
      <c r="R163" s="33">
        <f t="shared" si="55"/>
        <v>22.279529489699598</v>
      </c>
      <c r="S163" s="55">
        <f t="shared" si="56"/>
        <v>77.765029569279776</v>
      </c>
    </row>
    <row r="164" spans="1:19" ht="14">
      <c r="A164">
        <f t="shared" si="57"/>
        <v>145</v>
      </c>
      <c r="B164" s="54">
        <f t="shared" si="58"/>
        <v>0.65695032441696433</v>
      </c>
      <c r="C164" s="54">
        <f t="shared" si="59"/>
        <v>10.715549785663413</v>
      </c>
      <c r="D164" s="54">
        <f t="shared" si="46"/>
        <v>0.16633225553814057</v>
      </c>
      <c r="E164" s="32">
        <f t="shared" si="60"/>
        <v>1.6633225553814059E-2</v>
      </c>
      <c r="F164" s="32">
        <f t="shared" si="61"/>
        <v>4.1583063884535143E-2</v>
      </c>
      <c r="G164" s="32">
        <f t="shared" si="62"/>
        <v>0.10811596609979138</v>
      </c>
      <c r="H164" s="32">
        <f t="shared" si="63"/>
        <v>8.3249293896839369E-2</v>
      </c>
      <c r="I164" s="32">
        <f t="shared" si="47"/>
        <v>44.686867332275469</v>
      </c>
      <c r="J164" s="32">
        <f t="shared" si="48"/>
        <v>2.4866672202952009E-2</v>
      </c>
      <c r="K164" s="32">
        <f t="shared" si="49"/>
        <v>4.1499897756766067E-2</v>
      </c>
      <c r="L164" s="55">
        <f t="shared" si="50"/>
        <v>10.715549785663413</v>
      </c>
      <c r="M164" s="45">
        <v>60</v>
      </c>
      <c r="N164" s="33">
        <f t="shared" si="51"/>
        <v>44.686867332275469</v>
      </c>
      <c r="O164" s="33">
        <f t="shared" si="52"/>
        <v>22.276470328476986</v>
      </c>
      <c r="P164" s="33">
        <f t="shared" si="53"/>
        <v>22.321112553584133</v>
      </c>
      <c r="Q164" s="33">
        <f t="shared" si="54"/>
        <v>55.402417117938882</v>
      </c>
      <c r="R164" s="33">
        <f t="shared" si="55"/>
        <v>22.321112553584133</v>
      </c>
      <c r="S164" s="55">
        <f t="shared" si="56"/>
        <v>77.723529671523011</v>
      </c>
    </row>
    <row r="165" spans="1:19" ht="14">
      <c r="A165">
        <f t="shared" si="57"/>
        <v>146</v>
      </c>
      <c r="B165" s="54">
        <f t="shared" si="58"/>
        <v>0.63457218465330911</v>
      </c>
      <c r="C165" s="54">
        <f t="shared" si="59"/>
        <v>10.551759959746146</v>
      </c>
      <c r="D165" s="54">
        <f t="shared" si="46"/>
        <v>0.16378982591726654</v>
      </c>
      <c r="E165" s="32">
        <f t="shared" si="60"/>
        <v>1.6378982591726654E-2</v>
      </c>
      <c r="F165" s="32">
        <f t="shared" si="61"/>
        <v>4.0947456479316635E-2</v>
      </c>
      <c r="G165" s="32">
        <f t="shared" si="62"/>
        <v>0.10646338684622325</v>
      </c>
      <c r="H165" s="32">
        <f t="shared" si="63"/>
        <v>8.1976807871591909E-2</v>
      </c>
      <c r="I165" s="32">
        <f t="shared" si="47"/>
        <v>44.76884414014706</v>
      </c>
      <c r="J165" s="32">
        <f t="shared" si="48"/>
        <v>2.4486578974631343E-2</v>
      </c>
      <c r="K165" s="32">
        <f t="shared" si="49"/>
        <v>4.0865561566357997E-2</v>
      </c>
      <c r="L165" s="55">
        <f t="shared" si="50"/>
        <v>10.551759959746146</v>
      </c>
      <c r="M165" s="45">
        <v>60</v>
      </c>
      <c r="N165" s="33">
        <f t="shared" si="51"/>
        <v>44.76884414014706</v>
      </c>
      <c r="O165" s="33">
        <f t="shared" si="52"/>
        <v>22.317335890043342</v>
      </c>
      <c r="P165" s="33">
        <f t="shared" si="53"/>
        <v>22.362060010063448</v>
      </c>
      <c r="Q165" s="33">
        <f t="shared" si="54"/>
        <v>55.320604099893202</v>
      </c>
      <c r="R165" s="33">
        <f t="shared" si="55"/>
        <v>22.362060010063448</v>
      </c>
      <c r="S165" s="55">
        <f t="shared" si="56"/>
        <v>77.682664109956647</v>
      </c>
    </row>
    <row r="166" spans="1:19" ht="14">
      <c r="A166">
        <f t="shared" si="57"/>
        <v>147</v>
      </c>
      <c r="B166" s="54">
        <f t="shared" si="58"/>
        <v>0.61295632648183696</v>
      </c>
      <c r="C166" s="54">
        <f t="shared" si="59"/>
        <v>10.390473701784849</v>
      </c>
      <c r="D166" s="54">
        <f t="shared" si="46"/>
        <v>0.16128625796129725</v>
      </c>
      <c r="E166" s="32">
        <f t="shared" si="60"/>
        <v>1.6128625796129725E-2</v>
      </c>
      <c r="F166" s="32">
        <f t="shared" si="61"/>
        <v>4.0321564490324313E-2</v>
      </c>
      <c r="G166" s="32">
        <f t="shared" si="62"/>
        <v>0.10483606767484321</v>
      </c>
      <c r="H166" s="32">
        <f t="shared" si="63"/>
        <v>8.0723772109629277E-2</v>
      </c>
      <c r="I166" s="32">
        <f t="shared" si="47"/>
        <v>44.849567912256688</v>
      </c>
      <c r="J166" s="32">
        <f t="shared" si="48"/>
        <v>2.4112295565213937E-2</v>
      </c>
      <c r="K166" s="32">
        <f t="shared" si="49"/>
        <v>4.0240921361343662E-2</v>
      </c>
      <c r="L166" s="55">
        <f t="shared" si="50"/>
        <v>10.390473701784849</v>
      </c>
      <c r="M166" s="45">
        <v>60</v>
      </c>
      <c r="N166" s="33">
        <f t="shared" si="51"/>
        <v>44.849567912256688</v>
      </c>
      <c r="O166" s="33">
        <f t="shared" si="52"/>
        <v>22.357576811404687</v>
      </c>
      <c r="P166" s="33">
        <f t="shared" si="53"/>
        <v>22.402381574553772</v>
      </c>
      <c r="Q166" s="33">
        <f t="shared" si="54"/>
        <v>55.240041614041537</v>
      </c>
      <c r="R166" s="33">
        <f t="shared" si="55"/>
        <v>22.402381574553772</v>
      </c>
      <c r="S166" s="55">
        <f t="shared" si="56"/>
        <v>77.642423188595302</v>
      </c>
    </row>
    <row r="167" spans="1:19" ht="14">
      <c r="A167">
        <f t="shared" si="57"/>
        <v>148</v>
      </c>
      <c r="B167" s="54">
        <f t="shared" si="58"/>
        <v>0.59207678379312434</v>
      </c>
      <c r="C167" s="54">
        <f t="shared" si="59"/>
        <v>10.231652744124775</v>
      </c>
      <c r="D167" s="54">
        <f t="shared" si="46"/>
        <v>0.15882095766007431</v>
      </c>
      <c r="E167" s="32">
        <f t="shared" si="60"/>
        <v>1.5882095766007433E-2</v>
      </c>
      <c r="F167" s="32">
        <f t="shared" si="61"/>
        <v>3.9705239415018578E-2</v>
      </c>
      <c r="G167" s="32">
        <f t="shared" si="62"/>
        <v>0.10323362247904831</v>
      </c>
      <c r="H167" s="32">
        <f t="shared" si="63"/>
        <v>7.9489889308867204E-2</v>
      </c>
      <c r="I167" s="32">
        <f t="shared" si="47"/>
        <v>44.929057801565556</v>
      </c>
      <c r="J167" s="32">
        <f t="shared" si="48"/>
        <v>2.3743733170181108E-2</v>
      </c>
      <c r="K167" s="32">
        <f t="shared" si="49"/>
        <v>3.9625828936188545E-2</v>
      </c>
      <c r="L167" s="55">
        <f t="shared" si="50"/>
        <v>10.231652744124775</v>
      </c>
      <c r="M167" s="45">
        <v>60</v>
      </c>
      <c r="N167" s="33">
        <f t="shared" si="51"/>
        <v>44.929057801565556</v>
      </c>
      <c r="O167" s="33">
        <f t="shared" si="52"/>
        <v>22.397202640340875</v>
      </c>
      <c r="P167" s="33">
        <f t="shared" si="53"/>
        <v>22.442086813968789</v>
      </c>
      <c r="Q167" s="33">
        <f t="shared" si="54"/>
        <v>55.160710545690328</v>
      </c>
      <c r="R167" s="33">
        <f t="shared" si="55"/>
        <v>22.442086813968789</v>
      </c>
      <c r="S167" s="55">
        <f t="shared" si="56"/>
        <v>77.602797359659121</v>
      </c>
    </row>
    <row r="168" spans="1:19" ht="14">
      <c r="A168">
        <f t="shared" si="57"/>
        <v>149</v>
      </c>
      <c r="B168" s="54">
        <f t="shared" si="58"/>
        <v>0.57190847497875985</v>
      </c>
      <c r="C168" s="54">
        <f t="shared" si="59"/>
        <v>10.075259404041724</v>
      </c>
      <c r="D168" s="54">
        <f t="shared" si="46"/>
        <v>0.15639334008305106</v>
      </c>
      <c r="E168" s="32">
        <f t="shared" si="60"/>
        <v>1.5639334008305108E-2</v>
      </c>
      <c r="F168" s="32">
        <f t="shared" si="61"/>
        <v>3.9098335020762764E-2</v>
      </c>
      <c r="G168" s="32">
        <f t="shared" si="62"/>
        <v>0.1016556710539832</v>
      </c>
      <c r="H168" s="32">
        <f t="shared" si="63"/>
        <v>7.8274866711567068E-2</v>
      </c>
      <c r="I168" s="32">
        <f t="shared" si="47"/>
        <v>45.007332668277122</v>
      </c>
      <c r="J168" s="32">
        <f t="shared" si="48"/>
        <v>2.3380804342416128E-2</v>
      </c>
      <c r="K168" s="32">
        <f t="shared" si="49"/>
        <v>3.902013835072124E-2</v>
      </c>
      <c r="L168" s="55">
        <f t="shared" si="50"/>
        <v>10.075259404041724</v>
      </c>
      <c r="M168" s="45">
        <v>60</v>
      </c>
      <c r="N168" s="33">
        <f t="shared" si="51"/>
        <v>45.007332668277122</v>
      </c>
      <c r="O168" s="33">
        <f t="shared" si="52"/>
        <v>22.436222778691597</v>
      </c>
      <c r="P168" s="33">
        <f t="shared" si="53"/>
        <v>22.481185148989553</v>
      </c>
      <c r="Q168" s="33">
        <f t="shared" si="54"/>
        <v>55.082592072318846</v>
      </c>
      <c r="R168" s="33">
        <f t="shared" si="55"/>
        <v>22.481185148989553</v>
      </c>
      <c r="S168" s="55">
        <f t="shared" si="56"/>
        <v>77.563777221308399</v>
      </c>
    </row>
    <row r="169" spans="1:19" ht="14">
      <c r="A169">
        <f t="shared" si="57"/>
        <v>150</v>
      </c>
      <c r="B169" s="54">
        <f t="shared" si="58"/>
        <v>0.55242717280199038</v>
      </c>
      <c r="C169" s="54">
        <f t="shared" si="59"/>
        <v>9.921256574801248</v>
      </c>
      <c r="D169" s="54">
        <f t="shared" si="46"/>
        <v>0.15400282924047559</v>
      </c>
      <c r="E169" s="32">
        <f t="shared" si="60"/>
        <v>1.540028292404756E-2</v>
      </c>
      <c r="F169" s="32">
        <f t="shared" si="61"/>
        <v>3.8500707310118898E-2</v>
      </c>
      <c r="G169" s="32">
        <f t="shared" si="62"/>
        <v>0.10010183900630913</v>
      </c>
      <c r="H169" s="32">
        <f t="shared" si="63"/>
        <v>7.707841603485803E-2</v>
      </c>
      <c r="I169" s="32">
        <f t="shared" si="47"/>
        <v>45.084411084311981</v>
      </c>
      <c r="J169" s="32">
        <f t="shared" si="48"/>
        <v>2.3023422971451102E-2</v>
      </c>
      <c r="K169" s="32">
        <f t="shared" si="49"/>
        <v>3.8423705895498664E-2</v>
      </c>
      <c r="L169" s="55">
        <f t="shared" si="50"/>
        <v>9.921256574801248</v>
      </c>
      <c r="M169" s="45">
        <v>60</v>
      </c>
      <c r="N169" s="33">
        <f t="shared" si="51"/>
        <v>45.084411084311981</v>
      </c>
      <c r="O169" s="33">
        <f t="shared" si="52"/>
        <v>22.474646484587097</v>
      </c>
      <c r="P169" s="33">
        <f t="shared" si="53"/>
        <v>22.519685856299674</v>
      </c>
      <c r="Q169" s="33">
        <f t="shared" si="54"/>
        <v>55.005667659113229</v>
      </c>
      <c r="R169" s="33">
        <f t="shared" si="55"/>
        <v>22.519685856299674</v>
      </c>
      <c r="S169" s="55">
        <f t="shared" si="56"/>
        <v>77.525353515412903</v>
      </c>
    </row>
    <row r="170" spans="1:19" ht="14">
      <c r="A170">
        <f t="shared" si="57"/>
        <v>151</v>
      </c>
      <c r="B170" s="54">
        <f t="shared" si="58"/>
        <v>0.53360947529468605</v>
      </c>
      <c r="C170" s="54">
        <f t="shared" si="59"/>
        <v>9.7696077168545123</v>
      </c>
      <c r="D170" s="54">
        <f t="shared" si="46"/>
        <v>0.15164885794673566</v>
      </c>
      <c r="E170" s="32">
        <f t="shared" si="60"/>
        <v>1.5164885794673566E-2</v>
      </c>
      <c r="F170" s="32">
        <f t="shared" si="61"/>
        <v>3.7912214486683915E-2</v>
      </c>
      <c r="G170" s="32">
        <f t="shared" si="62"/>
        <v>9.8571757665378179E-2</v>
      </c>
      <c r="H170" s="32">
        <f t="shared" si="63"/>
        <v>7.5900253402341203E-2</v>
      </c>
      <c r="I170" s="32">
        <f t="shared" si="47"/>
        <v>45.160311337714319</v>
      </c>
      <c r="J170" s="32">
        <f t="shared" si="48"/>
        <v>2.2671504263036976E-2</v>
      </c>
      <c r="K170" s="32">
        <f t="shared" si="49"/>
        <v>3.7836390057710542E-2</v>
      </c>
      <c r="L170" s="55">
        <f t="shared" si="50"/>
        <v>9.7696077168545123</v>
      </c>
      <c r="M170" s="45">
        <v>60</v>
      </c>
      <c r="N170" s="33">
        <f t="shared" si="51"/>
        <v>45.160311337714319</v>
      </c>
      <c r="O170" s="33">
        <f t="shared" si="52"/>
        <v>22.512482874644807</v>
      </c>
      <c r="P170" s="33">
        <f t="shared" si="53"/>
        <v>22.557598070786359</v>
      </c>
      <c r="Q170" s="33">
        <f t="shared" si="54"/>
        <v>54.929919054568828</v>
      </c>
      <c r="R170" s="33">
        <f t="shared" si="55"/>
        <v>22.557598070786359</v>
      </c>
      <c r="S170" s="55">
        <f t="shared" si="56"/>
        <v>77.487517125355183</v>
      </c>
    </row>
    <row r="171" spans="1:19" ht="14">
      <c r="A171">
        <f t="shared" si="57"/>
        <v>152</v>
      </c>
      <c r="B171" s="54">
        <f t="shared" si="58"/>
        <v>0.51543277764566198</v>
      </c>
      <c r="C171" s="54">
        <f t="shared" si="59"/>
        <v>9.6202768491687038</v>
      </c>
      <c r="D171" s="54">
        <f t="shared" si="46"/>
        <v>0.1493308676858085</v>
      </c>
      <c r="E171" s="32">
        <f t="shared" si="60"/>
        <v>1.493308676858085E-2</v>
      </c>
      <c r="F171" s="32">
        <f t="shared" si="61"/>
        <v>3.7332716921452125E-2</v>
      </c>
      <c r="G171" s="32">
        <f t="shared" si="62"/>
        <v>9.7065063995775525E-2</v>
      </c>
      <c r="H171" s="32">
        <f t="shared" si="63"/>
        <v>7.4740099276747157E-2</v>
      </c>
      <c r="I171" s="32">
        <f t="shared" si="47"/>
        <v>45.235051436991064</v>
      </c>
      <c r="J171" s="32">
        <f t="shared" si="48"/>
        <v>2.2324964719028367E-2</v>
      </c>
      <c r="K171" s="32">
        <f t="shared" si="49"/>
        <v>3.7258051487609217E-2</v>
      </c>
      <c r="L171" s="55">
        <f t="shared" si="50"/>
        <v>9.6202768491687038</v>
      </c>
      <c r="M171" s="45">
        <v>60</v>
      </c>
      <c r="N171" s="33">
        <f t="shared" si="51"/>
        <v>45.235051436991064</v>
      </c>
      <c r="O171" s="33">
        <f t="shared" si="52"/>
        <v>22.549740926132415</v>
      </c>
      <c r="P171" s="33">
        <f t="shared" si="53"/>
        <v>22.59493078770781</v>
      </c>
      <c r="Q171" s="33">
        <f t="shared" si="54"/>
        <v>54.855328286159768</v>
      </c>
      <c r="R171" s="33">
        <f t="shared" si="55"/>
        <v>22.59493078770781</v>
      </c>
      <c r="S171" s="55">
        <f t="shared" si="56"/>
        <v>77.450259073867585</v>
      </c>
    </row>
    <row r="172" spans="1:19" ht="14">
      <c r="A172">
        <f t="shared" si="57"/>
        <v>153</v>
      </c>
      <c r="B172" s="54">
        <f t="shared" si="58"/>
        <v>0.49787524504658665</v>
      </c>
      <c r="C172" s="54">
        <f t="shared" si="59"/>
        <v>9.4732285406899894</v>
      </c>
      <c r="D172" s="54">
        <f t="shared" si="46"/>
        <v>0.14704830847871442</v>
      </c>
      <c r="E172" s="32">
        <f t="shared" si="60"/>
        <v>1.4704830847871442E-2</v>
      </c>
      <c r="F172" s="32">
        <f t="shared" si="61"/>
        <v>3.6762077119678604E-2</v>
      </c>
      <c r="G172" s="32">
        <f t="shared" si="62"/>
        <v>9.5581400511164372E-2</v>
      </c>
      <c r="H172" s="32">
        <f t="shared" si="63"/>
        <v>7.3597678393596572E-2</v>
      </c>
      <c r="I172" s="32">
        <f t="shared" si="47"/>
        <v>45.308649115384661</v>
      </c>
      <c r="J172" s="32">
        <f t="shared" si="48"/>
        <v>2.19837221175678E-2</v>
      </c>
      <c r="K172" s="32">
        <f t="shared" si="49"/>
        <v>3.6688552965439242E-2</v>
      </c>
      <c r="L172" s="55">
        <f t="shared" si="50"/>
        <v>9.4732285406899894</v>
      </c>
      <c r="M172" s="45">
        <v>60</v>
      </c>
      <c r="N172" s="33">
        <f t="shared" si="51"/>
        <v>45.308649115384661</v>
      </c>
      <c r="O172" s="33">
        <f t="shared" si="52"/>
        <v>22.586429479097855</v>
      </c>
      <c r="P172" s="33">
        <f t="shared" si="53"/>
        <v>22.631692864827489</v>
      </c>
      <c r="Q172" s="33">
        <f t="shared" si="54"/>
        <v>54.781877656074649</v>
      </c>
      <c r="R172" s="33">
        <f t="shared" si="55"/>
        <v>22.631692864827489</v>
      </c>
      <c r="S172" s="55">
        <f t="shared" si="56"/>
        <v>77.413570520902141</v>
      </c>
    </row>
    <row r="173" spans="1:19" ht="14">
      <c r="A173">
        <f t="shared" si="57"/>
        <v>154</v>
      </c>
      <c r="B173" s="54">
        <f t="shared" si="58"/>
        <v>0.48091578646285804</v>
      </c>
      <c r="C173" s="54">
        <f t="shared" si="59"/>
        <v>9.328427901936946</v>
      </c>
      <c r="D173" s="54">
        <f t="shared" si="46"/>
        <v>0.14480063875304339</v>
      </c>
      <c r="E173" s="32">
        <f t="shared" si="60"/>
        <v>1.4480063875304339E-2</v>
      </c>
      <c r="F173" s="32">
        <f t="shared" si="61"/>
        <v>3.6200159688260847E-2</v>
      </c>
      <c r="G173" s="32">
        <f t="shared" si="62"/>
        <v>9.412041518947821E-2</v>
      </c>
      <c r="H173" s="32">
        <f t="shared" si="63"/>
        <v>7.2472719695898219E-2</v>
      </c>
      <c r="I173" s="32">
        <f t="shared" si="47"/>
        <v>45.381121835080556</v>
      </c>
      <c r="J173" s="32">
        <f t="shared" si="48"/>
        <v>2.1647695493579991E-2</v>
      </c>
      <c r="K173" s="32">
        <f t="shared" si="49"/>
        <v>3.6127759368884328E-2</v>
      </c>
      <c r="L173" s="55">
        <f t="shared" si="50"/>
        <v>9.328427901936946</v>
      </c>
      <c r="M173" s="45">
        <v>60</v>
      </c>
      <c r="N173" s="33">
        <f t="shared" si="51"/>
        <v>45.381121835080556</v>
      </c>
      <c r="O173" s="33">
        <f t="shared" si="52"/>
        <v>22.62255723846674</v>
      </c>
      <c r="P173" s="33">
        <f t="shared" si="53"/>
        <v>22.667893024515749</v>
      </c>
      <c r="Q173" s="33">
        <f t="shared" si="54"/>
        <v>54.709549737017504</v>
      </c>
      <c r="R173" s="33">
        <f t="shared" si="55"/>
        <v>22.667893024515749</v>
      </c>
      <c r="S173" s="55">
        <f t="shared" si="56"/>
        <v>77.377442761533246</v>
      </c>
    </row>
    <row r="174" spans="1:19" ht="14">
      <c r="A174">
        <f t="shared" si="57"/>
        <v>155</v>
      </c>
      <c r="B174" s="54">
        <f t="shared" si="58"/>
        <v>0.4645340292979378</v>
      </c>
      <c r="C174" s="54">
        <f t="shared" si="59"/>
        <v>9.1858405767224909</v>
      </c>
      <c r="D174" s="54">
        <f t="shared" si="46"/>
        <v>0.14258732521445516</v>
      </c>
      <c r="E174" s="32">
        <f t="shared" si="60"/>
        <v>1.4258732521445517E-2</v>
      </c>
      <c r="F174" s="32">
        <f t="shared" si="61"/>
        <v>3.5646831303613791E-2</v>
      </c>
      <c r="G174" s="32">
        <f t="shared" si="62"/>
        <v>9.2681761389395864E-2</v>
      </c>
      <c r="H174" s="32">
        <f t="shared" si="63"/>
        <v>7.1364956269834814E-2</v>
      </c>
      <c r="I174" s="32">
        <f t="shared" si="47"/>
        <v>45.452486791350388</v>
      </c>
      <c r="J174" s="32">
        <f t="shared" si="48"/>
        <v>2.131680511956105E-2</v>
      </c>
      <c r="K174" s="32">
        <f t="shared" si="49"/>
        <v>3.5575537641006565E-2</v>
      </c>
      <c r="L174" s="55">
        <f t="shared" si="50"/>
        <v>9.1858405767224909</v>
      </c>
      <c r="M174" s="45">
        <v>60</v>
      </c>
      <c r="N174" s="33">
        <f t="shared" si="51"/>
        <v>45.452486791350388</v>
      </c>
      <c r="O174" s="33">
        <f t="shared" si="52"/>
        <v>22.658132776107745</v>
      </c>
      <c r="P174" s="33">
        <f t="shared" si="53"/>
        <v>22.703539855819361</v>
      </c>
      <c r="Q174" s="33">
        <f t="shared" si="54"/>
        <v>54.638327368072879</v>
      </c>
      <c r="R174" s="33">
        <f t="shared" si="55"/>
        <v>22.703539855819361</v>
      </c>
      <c r="S174" s="55">
        <f t="shared" si="56"/>
        <v>77.341867223892237</v>
      </c>
    </row>
    <row r="175" spans="1:19" ht="14">
      <c r="A175">
        <f t="shared" si="57"/>
        <v>156</v>
      </c>
      <c r="B175" s="54">
        <f t="shared" si="58"/>
        <v>0.4487102949207169</v>
      </c>
      <c r="C175" s="54">
        <f t="shared" si="59"/>
        <v>9.0454327340023628</v>
      </c>
      <c r="D175" s="54">
        <f t="shared" si="46"/>
        <v>0.14040784272012807</v>
      </c>
      <c r="E175" s="32">
        <f t="shared" si="60"/>
        <v>1.4040784272012809E-2</v>
      </c>
      <c r="F175" s="32">
        <f t="shared" si="61"/>
        <v>3.5101960680032018E-2</v>
      </c>
      <c r="G175" s="32">
        <f t="shared" si="62"/>
        <v>9.1265097768083253E-2</v>
      </c>
      <c r="H175" s="32">
        <f t="shared" si="63"/>
        <v>7.0274125281424113E-2</v>
      </c>
      <c r="I175" s="32">
        <f t="shared" si="47"/>
        <v>45.52276091663181</v>
      </c>
      <c r="J175" s="32">
        <f t="shared" si="48"/>
        <v>2.099097248665914E-2</v>
      </c>
      <c r="K175" s="32">
        <f t="shared" si="49"/>
        <v>3.5031756758671949E-2</v>
      </c>
      <c r="L175" s="55">
        <f t="shared" si="50"/>
        <v>9.0454327340023628</v>
      </c>
      <c r="M175" s="45">
        <v>60</v>
      </c>
      <c r="N175" s="33">
        <f t="shared" si="51"/>
        <v>45.52276091663181</v>
      </c>
      <c r="O175" s="33">
        <f t="shared" si="52"/>
        <v>22.693164532866419</v>
      </c>
      <c r="P175" s="33">
        <f t="shared" si="53"/>
        <v>22.738641816499392</v>
      </c>
      <c r="Q175" s="33">
        <f t="shared" si="54"/>
        <v>54.568193650634171</v>
      </c>
      <c r="R175" s="33">
        <f t="shared" si="55"/>
        <v>22.738641816499392</v>
      </c>
      <c r="S175" s="55">
        <f t="shared" si="56"/>
        <v>77.306835467133567</v>
      </c>
    </row>
    <row r="176" spans="1:19" ht="14">
      <c r="A176">
        <f t="shared" si="57"/>
        <v>157</v>
      </c>
      <c r="B176" s="54">
        <f t="shared" si="58"/>
        <v>0.43342557502650225</v>
      </c>
      <c r="C176" s="54">
        <f t="shared" si="59"/>
        <v>8.907171059848153</v>
      </c>
      <c r="D176" s="54">
        <f t="shared" si="46"/>
        <v>0.13826167415420976</v>
      </c>
      <c r="E176" s="32">
        <f t="shared" si="60"/>
        <v>1.3826167415420976E-2</v>
      </c>
      <c r="F176" s="32">
        <f t="shared" si="61"/>
        <v>3.4565418538552439E-2</v>
      </c>
      <c r="G176" s="32">
        <f t="shared" si="62"/>
        <v>8.9870088200236342E-2</v>
      </c>
      <c r="H176" s="32">
        <f t="shared" si="63"/>
        <v>6.9199967914181981E-2</v>
      </c>
      <c r="I176" s="32">
        <f t="shared" si="47"/>
        <v>45.59196088454599</v>
      </c>
      <c r="J176" s="32">
        <f t="shared" si="48"/>
        <v>2.0670120286054361E-2</v>
      </c>
      <c r="K176" s="32">
        <f t="shared" si="49"/>
        <v>3.4496287701475337E-2</v>
      </c>
      <c r="L176" s="55">
        <f t="shared" si="50"/>
        <v>8.907171059848153</v>
      </c>
      <c r="M176" s="45">
        <v>60</v>
      </c>
      <c r="N176" s="33">
        <f t="shared" si="51"/>
        <v>45.59196088454599</v>
      </c>
      <c r="O176" s="33">
        <f t="shared" si="52"/>
        <v>22.727660820567895</v>
      </c>
      <c r="P176" s="33">
        <f t="shared" si="53"/>
        <v>22.773207235037944</v>
      </c>
      <c r="Q176" s="33">
        <f t="shared" si="54"/>
        <v>54.499131944394144</v>
      </c>
      <c r="R176" s="33">
        <f t="shared" si="55"/>
        <v>22.773207235037944</v>
      </c>
      <c r="S176" s="55">
        <f t="shared" si="56"/>
        <v>77.272339179432095</v>
      </c>
    </row>
    <row r="177" spans="1:19" ht="14">
      <c r="A177">
        <f t="shared" si="57"/>
        <v>158</v>
      </c>
      <c r="B177" s="54">
        <f t="shared" si="58"/>
        <v>0.4186615088032396</v>
      </c>
      <c r="C177" s="54">
        <f t="shared" si="59"/>
        <v>8.771022749543091</v>
      </c>
      <c r="D177" s="54">
        <f t="shared" si="46"/>
        <v>0.13614831030506203</v>
      </c>
      <c r="E177" s="32">
        <f t="shared" si="60"/>
        <v>1.3614831030506203E-2</v>
      </c>
      <c r="F177" s="32">
        <f t="shared" si="61"/>
        <v>3.4037077576265506E-2</v>
      </c>
      <c r="G177" s="32">
        <f t="shared" si="62"/>
        <v>8.8496401698290317E-2</v>
      </c>
      <c r="H177" s="32">
        <f t="shared" si="63"/>
        <v>6.8142229307683544E-2</v>
      </c>
      <c r="I177" s="32">
        <f t="shared" si="47"/>
        <v>45.660103113853673</v>
      </c>
      <c r="J177" s="32">
        <f t="shared" si="48"/>
        <v>2.0354172390606773E-2</v>
      </c>
      <c r="K177" s="32">
        <f t="shared" si="49"/>
        <v>3.3969003421112975E-2</v>
      </c>
      <c r="L177" s="55">
        <f t="shared" si="50"/>
        <v>8.771022749543091</v>
      </c>
      <c r="M177" s="45">
        <v>60</v>
      </c>
      <c r="N177" s="33">
        <f t="shared" si="51"/>
        <v>45.660103113853673</v>
      </c>
      <c r="O177" s="33">
        <f t="shared" si="52"/>
        <v>22.761629823989008</v>
      </c>
      <c r="P177" s="33">
        <f t="shared" si="53"/>
        <v>22.807244312614209</v>
      </c>
      <c r="Q177" s="33">
        <f t="shared" si="54"/>
        <v>54.431125863396765</v>
      </c>
      <c r="R177" s="33">
        <f t="shared" si="55"/>
        <v>22.807244312614209</v>
      </c>
      <c r="S177" s="55">
        <f t="shared" si="56"/>
        <v>77.238370176010974</v>
      </c>
    </row>
    <row r="178" spans="1:19" ht="14">
      <c r="A178">
        <f t="shared" si="57"/>
        <v>159</v>
      </c>
      <c r="B178" s="54">
        <f t="shared" si="58"/>
        <v>0.40440036087553793</v>
      </c>
      <c r="C178" s="54">
        <f t="shared" si="59"/>
        <v>8.6369554997985993</v>
      </c>
      <c r="D178" s="54">
        <f t="shared" si="46"/>
        <v>0.13406724974449169</v>
      </c>
      <c r="E178" s="32">
        <f t="shared" si="60"/>
        <v>1.3406724974449169E-2</v>
      </c>
      <c r="F178" s="32">
        <f t="shared" si="61"/>
        <v>3.3516812436122922E-2</v>
      </c>
      <c r="G178" s="32">
        <f t="shared" si="62"/>
        <v>8.7143712333919598E-2</v>
      </c>
      <c r="H178" s="32">
        <f t="shared" si="63"/>
        <v>6.710065849711809E-2</v>
      </c>
      <c r="I178" s="32">
        <f t="shared" si="47"/>
        <v>45.727203772350791</v>
      </c>
      <c r="J178" s="32">
        <f t="shared" si="48"/>
        <v>2.0043053836801508E-2</v>
      </c>
      <c r="K178" s="32">
        <f t="shared" si="49"/>
        <v>3.3449778811250677E-2</v>
      </c>
      <c r="L178" s="55">
        <f t="shared" si="50"/>
        <v>8.6369554997985993</v>
      </c>
      <c r="M178" s="45">
        <v>60</v>
      </c>
      <c r="N178" s="33">
        <f t="shared" si="51"/>
        <v>45.727203772350791</v>
      </c>
      <c r="O178" s="33">
        <f t="shared" si="52"/>
        <v>22.795079602800257</v>
      </c>
      <c r="P178" s="33">
        <f t="shared" si="53"/>
        <v>22.840761125050332</v>
      </c>
      <c r="Q178" s="33">
        <f t="shared" si="54"/>
        <v>54.364159272149394</v>
      </c>
      <c r="R178" s="33">
        <f t="shared" si="55"/>
        <v>22.840761125050332</v>
      </c>
      <c r="S178" s="55">
        <f t="shared" si="56"/>
        <v>77.204920397199729</v>
      </c>
    </row>
    <row r="179" spans="1:19" ht="14">
      <c r="A179">
        <f t="shared" si="57"/>
        <v>160</v>
      </c>
      <c r="B179" s="54">
        <f t="shared" si="58"/>
        <v>0.390625</v>
      </c>
      <c r="C179" s="54">
        <f t="shared" si="59"/>
        <v>8.5049375010898558</v>
      </c>
      <c r="D179" s="54">
        <f t="shared" si="46"/>
        <v>0.13201799870874353</v>
      </c>
      <c r="E179" s="32">
        <f t="shared" si="60"/>
        <v>1.3201799870874354E-2</v>
      </c>
      <c r="F179" s="32">
        <f t="shared" si="61"/>
        <v>3.3004499677185883E-2</v>
      </c>
      <c r="G179" s="32">
        <f t="shared" si="62"/>
        <v>8.5811699160683305E-2</v>
      </c>
      <c r="H179" s="32">
        <f t="shared" si="63"/>
        <v>6.607500835372615E-2</v>
      </c>
      <c r="I179" s="32">
        <f t="shared" si="47"/>
        <v>45.793278780704519</v>
      </c>
      <c r="J179" s="32">
        <f t="shared" si="48"/>
        <v>1.9736690806957155E-2</v>
      </c>
      <c r="K179" s="32">
        <f t="shared" si="49"/>
        <v>3.2938490677831507E-2</v>
      </c>
      <c r="L179" s="55">
        <f t="shared" si="50"/>
        <v>8.5049375010898558</v>
      </c>
      <c r="M179" s="45">
        <v>60</v>
      </c>
      <c r="N179" s="33">
        <f t="shared" si="51"/>
        <v>45.793278780704519</v>
      </c>
      <c r="O179" s="33">
        <f t="shared" si="52"/>
        <v>22.828018093478089</v>
      </c>
      <c r="P179" s="33">
        <f t="shared" si="53"/>
        <v>22.873765624727518</v>
      </c>
      <c r="Q179" s="33">
        <f t="shared" si="54"/>
        <v>54.298216281794375</v>
      </c>
      <c r="R179" s="33">
        <f t="shared" si="55"/>
        <v>22.873765624727518</v>
      </c>
      <c r="S179" s="55">
        <f t="shared" si="56"/>
        <v>77.171981906521893</v>
      </c>
    </row>
  </sheetData>
  <mergeCells count="13">
    <mergeCell ref="C9:S9"/>
    <mergeCell ref="C16:S16"/>
    <mergeCell ref="C13:S13"/>
    <mergeCell ref="A15:S15"/>
    <mergeCell ref="A1:S1"/>
    <mergeCell ref="C2:S2"/>
    <mergeCell ref="C3:S3"/>
    <mergeCell ref="C4:S4"/>
    <mergeCell ref="C6:S6"/>
    <mergeCell ref="C10:S10"/>
    <mergeCell ref="C11:S11"/>
    <mergeCell ref="C12:S12"/>
    <mergeCell ref="C5:S5"/>
  </mergeCells>
  <phoneticPr fontId="2" type="noConversion"/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 enableFormatConditionsCalculation="0"/>
  <dimension ref="A1:AO323"/>
  <sheetViews>
    <sheetView topLeftCell="A217" workbookViewId="0">
      <selection activeCell="N74" sqref="N74"/>
    </sheetView>
  </sheetViews>
  <sheetFormatPr baseColWidth="10" defaultColWidth="11.5" defaultRowHeight="12" x14ac:dyDescent="0"/>
  <cols>
    <col min="1" max="1" width="28.6640625" customWidth="1"/>
    <col min="2" max="2" width="9" style="19" customWidth="1"/>
    <col min="3" max="3" width="8.83203125" customWidth="1"/>
    <col min="4" max="4" width="12" customWidth="1"/>
    <col min="17" max="17" width="9" customWidth="1"/>
    <col min="18" max="18" width="7.5" customWidth="1"/>
    <col min="19" max="19" width="8.1640625" customWidth="1"/>
    <col min="20" max="20" width="5.33203125" customWidth="1"/>
    <col min="21" max="21" width="6.1640625" customWidth="1"/>
    <col min="22" max="22" width="7.33203125" customWidth="1"/>
    <col min="23" max="23" width="5.83203125" customWidth="1"/>
    <col min="24" max="24" width="5.1640625" customWidth="1"/>
    <col min="30" max="30" width="2.33203125" customWidth="1"/>
  </cols>
  <sheetData>
    <row r="1" spans="1:25">
      <c r="A1" t="s">
        <v>244</v>
      </c>
    </row>
    <row r="2" spans="1:25">
      <c r="A2" s="65" t="s">
        <v>22</v>
      </c>
      <c r="B2" s="65"/>
      <c r="C2" s="65"/>
      <c r="D2" s="65"/>
      <c r="E2" s="65"/>
      <c r="G2" s="306" t="s">
        <v>72</v>
      </c>
      <c r="H2" s="307"/>
      <c r="I2" s="307"/>
      <c r="J2" s="308"/>
    </row>
    <row r="3" spans="1:25" ht="14">
      <c r="A3" s="65" t="s">
        <v>101</v>
      </c>
      <c r="B3" s="66"/>
      <c r="C3" s="65"/>
      <c r="D3" s="65"/>
      <c r="E3" s="65"/>
      <c r="G3" s="61" t="s">
        <v>68</v>
      </c>
      <c r="H3" s="303" t="s">
        <v>100</v>
      </c>
      <c r="I3" s="304"/>
      <c r="J3" s="305"/>
      <c r="Q3" s="4"/>
    </row>
    <row r="4" spans="1:25" ht="14">
      <c r="A4" t="s">
        <v>107</v>
      </c>
      <c r="C4" s="15" t="s">
        <v>106</v>
      </c>
      <c r="E4" s="65"/>
      <c r="G4" s="67" t="s">
        <v>69</v>
      </c>
      <c r="H4" s="183" t="s">
        <v>99</v>
      </c>
      <c r="I4" s="184"/>
      <c r="J4" s="185"/>
      <c r="Q4" s="4"/>
    </row>
    <row r="5" spans="1:25" ht="14">
      <c r="A5" s="19"/>
      <c r="B5" s="76" t="s">
        <v>23</v>
      </c>
      <c r="C5" t="s">
        <v>24</v>
      </c>
      <c r="D5" t="s">
        <v>211</v>
      </c>
      <c r="G5" s="68" t="s">
        <v>70</v>
      </c>
      <c r="H5" s="183" t="s">
        <v>98</v>
      </c>
      <c r="I5" s="184"/>
      <c r="J5" s="185"/>
      <c r="Q5" s="4"/>
    </row>
    <row r="6" spans="1:25" ht="14">
      <c r="A6" s="117" t="s">
        <v>138</v>
      </c>
      <c r="B6" s="118">
        <v>121.4</v>
      </c>
      <c r="C6" s="117">
        <v>84.4</v>
      </c>
      <c r="G6" s="69" t="s">
        <v>71</v>
      </c>
      <c r="H6" s="183" t="s">
        <v>97</v>
      </c>
      <c r="I6" s="184"/>
      <c r="J6" s="185"/>
      <c r="Q6" s="4"/>
    </row>
    <row r="7" spans="1:25" ht="14">
      <c r="A7" s="116" t="s">
        <v>140</v>
      </c>
      <c r="B7" s="76"/>
      <c r="G7" s="70" t="s">
        <v>103</v>
      </c>
      <c r="H7" s="303" t="s">
        <v>96</v>
      </c>
      <c r="I7" s="304"/>
      <c r="J7" s="305"/>
      <c r="Q7" s="4"/>
    </row>
    <row r="8" spans="1:25" ht="14">
      <c r="A8" s="116" t="s">
        <v>6</v>
      </c>
      <c r="B8" s="27">
        <v>168.03</v>
      </c>
      <c r="C8" s="27">
        <v>110.94</v>
      </c>
      <c r="D8" s="160">
        <v>39.64</v>
      </c>
      <c r="Q8" s="4"/>
    </row>
    <row r="9" spans="1:25" ht="14">
      <c r="A9" s="116" t="s">
        <v>7</v>
      </c>
      <c r="B9" s="27">
        <v>0.02</v>
      </c>
      <c r="C9" s="27">
        <v>0.04</v>
      </c>
      <c r="D9" s="160">
        <v>0.04</v>
      </c>
      <c r="Q9" s="4"/>
    </row>
    <row r="10" spans="1:25" ht="14">
      <c r="A10" s="116" t="s">
        <v>8</v>
      </c>
      <c r="B10" s="27">
        <v>120.14</v>
      </c>
      <c r="C10" s="48">
        <v>77.91</v>
      </c>
      <c r="D10" s="160">
        <v>27.97</v>
      </c>
      <c r="Q10" s="4"/>
    </row>
    <row r="11" spans="1:25" s="40" customFormat="1" ht="14">
      <c r="A11" s="64" t="s">
        <v>132</v>
      </c>
      <c r="B11" s="27">
        <v>1374</v>
      </c>
      <c r="C11" s="48">
        <v>351</v>
      </c>
      <c r="D11" s="161">
        <v>241</v>
      </c>
      <c r="O11" s="40" t="s">
        <v>263</v>
      </c>
      <c r="P11" s="40">
        <v>0.75</v>
      </c>
      <c r="Q11" s="59"/>
    </row>
    <row r="12" spans="1:25" s="40" customFormat="1">
      <c r="A12" s="38" t="s">
        <v>234</v>
      </c>
      <c r="B12" s="74" t="s">
        <v>108</v>
      </c>
      <c r="C12" s="40" t="s">
        <v>109</v>
      </c>
      <c r="D12" s="74" t="s">
        <v>256</v>
      </c>
      <c r="E12" s="74" t="s">
        <v>134</v>
      </c>
      <c r="O12" s="40" t="s">
        <v>264</v>
      </c>
      <c r="P12" s="40">
        <f>1-P11</f>
        <v>0.25</v>
      </c>
      <c r="Q12" s="59"/>
      <c r="X12" s="40" t="s">
        <v>276</v>
      </c>
      <c r="Y12" s="40" t="s">
        <v>279</v>
      </c>
    </row>
    <row r="13" spans="1:25" s="40" customFormat="1" ht="14">
      <c r="A13" s="24" t="s">
        <v>181</v>
      </c>
      <c r="B13" s="74">
        <v>0.72</v>
      </c>
      <c r="C13" s="77">
        <v>0.28000000000000003</v>
      </c>
      <c r="D13" s="36"/>
      <c r="E13" s="167" t="s">
        <v>161</v>
      </c>
      <c r="F13" s="168"/>
      <c r="G13" s="168"/>
      <c r="H13" s="168"/>
      <c r="I13" s="168"/>
      <c r="J13" s="168"/>
      <c r="K13" s="168"/>
      <c r="L13" s="168"/>
      <c r="Q13" s="59" t="s">
        <v>270</v>
      </c>
      <c r="R13" s="40" t="s">
        <v>271</v>
      </c>
      <c r="S13" s="40" t="s">
        <v>272</v>
      </c>
      <c r="T13" s="40" t="s">
        <v>273</v>
      </c>
      <c r="V13" s="40" t="s">
        <v>274</v>
      </c>
      <c r="W13" s="40" t="s">
        <v>275</v>
      </c>
      <c r="X13" s="40" t="s">
        <v>277</v>
      </c>
      <c r="Y13" s="40" t="s">
        <v>278</v>
      </c>
    </row>
    <row r="14" spans="1:25" s="40" customFormat="1" ht="14">
      <c r="A14" s="187" t="s">
        <v>261</v>
      </c>
      <c r="B14" s="50">
        <v>0.54</v>
      </c>
      <c r="C14" s="77">
        <v>0.21</v>
      </c>
      <c r="D14" s="50">
        <v>0.25</v>
      </c>
      <c r="E14" s="169" t="s">
        <v>262</v>
      </c>
      <c r="F14" s="168"/>
      <c r="G14" s="168"/>
      <c r="H14" s="168"/>
      <c r="I14" s="168"/>
      <c r="J14" s="168"/>
      <c r="K14" s="168"/>
      <c r="L14" s="168"/>
      <c r="O14" s="40" t="s">
        <v>265</v>
      </c>
      <c r="Q14" s="188">
        <v>0</v>
      </c>
      <c r="R14" s="188">
        <v>0</v>
      </c>
      <c r="S14" s="188">
        <v>0</v>
      </c>
      <c r="T14" s="188">
        <v>0</v>
      </c>
      <c r="V14" s="40">
        <v>79</v>
      </c>
      <c r="X14" s="40">
        <f>V14+W14</f>
        <v>79</v>
      </c>
    </row>
    <row r="15" spans="1:25" s="40" customFormat="1" ht="14">
      <c r="A15" s="36" t="s">
        <v>93</v>
      </c>
      <c r="B15" s="50">
        <v>0.24</v>
      </c>
      <c r="C15" s="61">
        <v>0.75</v>
      </c>
      <c r="D15" s="40" t="s">
        <v>159</v>
      </c>
      <c r="E15" s="169" t="s">
        <v>121</v>
      </c>
      <c r="F15" s="168"/>
      <c r="G15" s="168"/>
      <c r="H15" s="168"/>
      <c r="I15" s="168" t="s">
        <v>175</v>
      </c>
      <c r="J15" s="168"/>
      <c r="K15" s="168"/>
      <c r="L15" s="168"/>
      <c r="O15" s="40" t="s">
        <v>266</v>
      </c>
      <c r="Q15" s="188">
        <f>0.72*P11</f>
        <v>0.54</v>
      </c>
      <c r="R15" s="188">
        <f>0.28*P11</f>
        <v>0.21000000000000002</v>
      </c>
      <c r="S15" s="188">
        <f>1-R15-Q15</f>
        <v>0.25</v>
      </c>
      <c r="T15" s="188">
        <v>0</v>
      </c>
      <c r="V15" s="40">
        <v>82</v>
      </c>
      <c r="W15" s="40">
        <v>3</v>
      </c>
      <c r="X15" s="40">
        <f t="shared" ref="X15:X18" si="0">V15+W15</f>
        <v>85</v>
      </c>
      <c r="Y15" s="188">
        <f>(X15/X$14)-1</f>
        <v>7.5949367088607556E-2</v>
      </c>
    </row>
    <row r="16" spans="1:25" s="40" customFormat="1" ht="14">
      <c r="A16" s="120" t="s">
        <v>183</v>
      </c>
      <c r="B16" s="60"/>
      <c r="C16" s="30">
        <v>0.56999999999999995</v>
      </c>
      <c r="D16" s="30">
        <v>0.43</v>
      </c>
      <c r="E16" s="170" t="s">
        <v>204</v>
      </c>
      <c r="F16" s="168"/>
      <c r="G16" s="168"/>
      <c r="H16" s="168"/>
      <c r="I16" s="168"/>
      <c r="J16" s="168"/>
      <c r="K16" s="168"/>
      <c r="L16" s="168"/>
      <c r="O16" s="40" t="s">
        <v>267</v>
      </c>
      <c r="Q16" s="188">
        <f>P11*0.5</f>
        <v>0.375</v>
      </c>
      <c r="R16" s="188">
        <v>0</v>
      </c>
      <c r="S16" s="188">
        <f>1-R16-Q16</f>
        <v>0.625</v>
      </c>
      <c r="T16" s="188">
        <v>0</v>
      </c>
      <c r="V16" s="40">
        <v>80</v>
      </c>
      <c r="W16" s="40">
        <v>3</v>
      </c>
      <c r="X16" s="40">
        <f t="shared" si="0"/>
        <v>83</v>
      </c>
      <c r="Y16" s="188">
        <f t="shared" ref="Y16:Y18" si="1">(X16/X$14)-1</f>
        <v>5.0632911392405111E-2</v>
      </c>
    </row>
    <row r="17" spans="1:25" ht="14">
      <c r="A17" s="314" t="s">
        <v>90</v>
      </c>
      <c r="B17" s="316"/>
      <c r="C17" s="30"/>
      <c r="D17" s="30"/>
      <c r="E17" s="28"/>
      <c r="F17" s="28"/>
      <c r="G17" s="28"/>
      <c r="O17" s="40" t="s">
        <v>268</v>
      </c>
      <c r="Q17" s="22">
        <v>0</v>
      </c>
      <c r="R17" s="22">
        <v>0</v>
      </c>
      <c r="S17" s="22">
        <v>1</v>
      </c>
      <c r="T17" s="188">
        <v>0</v>
      </c>
      <c r="V17" s="40">
        <v>80</v>
      </c>
      <c r="W17" s="40">
        <v>3</v>
      </c>
      <c r="X17" s="40">
        <f t="shared" si="0"/>
        <v>83</v>
      </c>
      <c r="Y17" s="188">
        <f t="shared" si="1"/>
        <v>5.0632911392405111E-2</v>
      </c>
    </row>
    <row r="18" spans="1:25" ht="25">
      <c r="A18" s="57" t="s">
        <v>113</v>
      </c>
      <c r="B18" s="57" t="s">
        <v>73</v>
      </c>
      <c r="C18" s="103" t="s">
        <v>67</v>
      </c>
      <c r="D18" s="30"/>
      <c r="O18" s="40" t="s">
        <v>269</v>
      </c>
      <c r="Q18" s="22">
        <v>0</v>
      </c>
      <c r="R18" s="22">
        <v>0</v>
      </c>
      <c r="S18" s="22">
        <v>0</v>
      </c>
      <c r="T18" s="188">
        <v>1</v>
      </c>
      <c r="V18" s="40">
        <v>78</v>
      </c>
      <c r="W18" s="40">
        <v>3</v>
      </c>
      <c r="X18" s="40">
        <f t="shared" si="0"/>
        <v>81</v>
      </c>
      <c r="Y18" s="188">
        <f t="shared" si="1"/>
        <v>2.5316455696202445E-2</v>
      </c>
    </row>
    <row r="19" spans="1:25" ht="14">
      <c r="A19" s="173" t="s">
        <v>242</v>
      </c>
      <c r="B19" s="181">
        <f>SUM(C78:C198)</f>
        <v>7008.9526996531886</v>
      </c>
      <c r="C19" s="176">
        <f>B19/120</f>
        <v>58.407939163776568</v>
      </c>
      <c r="D19" s="30"/>
      <c r="Q19" s="4"/>
    </row>
    <row r="20" spans="1:25" ht="14">
      <c r="A20" s="24" t="s">
        <v>58</v>
      </c>
      <c r="B20" s="75">
        <f>SUM(C78:C238)</f>
        <v>12562.876994020155</v>
      </c>
      <c r="C20" s="56">
        <f>B20/160</f>
        <v>78.517981212625969</v>
      </c>
      <c r="D20" s="30"/>
      <c r="Q20" s="4"/>
    </row>
    <row r="21" spans="1:25" ht="14">
      <c r="A21" s="24" t="s">
        <v>59</v>
      </c>
      <c r="B21" s="75">
        <f>SUM(C78:C318)</f>
        <v>25212.989255306493</v>
      </c>
      <c r="C21" s="56">
        <f>B21/240</f>
        <v>105.05412189711039</v>
      </c>
      <c r="D21" s="30"/>
      <c r="O21" t="s">
        <v>280</v>
      </c>
      <c r="Q21" s="3">
        <f>AVERAGE(C118:C158)</f>
        <v>57.101679714921595</v>
      </c>
    </row>
    <row r="22" spans="1:25">
      <c r="B22"/>
      <c r="O22" t="s">
        <v>281</v>
      </c>
      <c r="Q22" s="3">
        <f>AVERAGE(E118:E158)</f>
        <v>50.994221961554771</v>
      </c>
    </row>
    <row r="23" spans="1:25" s="1" customFormat="1" ht="24">
      <c r="A23" s="103" t="s">
        <v>254</v>
      </c>
      <c r="B23" s="103" t="s">
        <v>73</v>
      </c>
      <c r="C23" s="103" t="s">
        <v>67</v>
      </c>
      <c r="D23" s="103" t="s">
        <v>91</v>
      </c>
      <c r="E23" s="1" t="s">
        <v>243</v>
      </c>
      <c r="Q23" s="104"/>
    </row>
    <row r="24" spans="1:25" s="1" customFormat="1" ht="48">
      <c r="A24" s="174" t="s">
        <v>241</v>
      </c>
      <c r="B24" s="179">
        <f>SUM(C78:C117)+(SUM(D78:K198))</f>
        <v>7371.691262210481</v>
      </c>
      <c r="C24" s="176">
        <f>B24/120</f>
        <v>61.430760518420676</v>
      </c>
      <c r="D24" s="177">
        <f>C24/C19</f>
        <v>1.0517536040120861</v>
      </c>
      <c r="E24" s="182">
        <f>(D24-D25)/D$25</f>
        <v>1.4493672048877142E-3</v>
      </c>
      <c r="Q24" s="104" t="s">
        <v>185</v>
      </c>
      <c r="R24" s="1" t="s">
        <v>282</v>
      </c>
      <c r="S24" s="1" t="s">
        <v>283</v>
      </c>
      <c r="T24" s="1" t="s">
        <v>269</v>
      </c>
      <c r="U24" s="1" t="s">
        <v>289</v>
      </c>
      <c r="V24" s="1" t="s">
        <v>291</v>
      </c>
      <c r="W24" s="1" t="s">
        <v>292</v>
      </c>
      <c r="X24" s="1" t="s">
        <v>290</v>
      </c>
    </row>
    <row r="25" spans="1:25" ht="14">
      <c r="A25" s="24" t="s">
        <v>111</v>
      </c>
      <c r="B25" s="75">
        <f>SUM(C78:C117)+SUM(D78:K238)</f>
        <v>13193.928308227636</v>
      </c>
      <c r="C25" s="56">
        <f>B25/160</f>
        <v>82.462051926422731</v>
      </c>
      <c r="D25" s="69">
        <f>B25/B20</f>
        <v>1.0502314330155311</v>
      </c>
      <c r="E25" s="22"/>
      <c r="P25" t="s">
        <v>284</v>
      </c>
      <c r="Q25" s="22">
        <v>0</v>
      </c>
      <c r="R25" s="22">
        <v>0</v>
      </c>
      <c r="S25" s="22">
        <v>0</v>
      </c>
      <c r="T25">
        <v>0</v>
      </c>
      <c r="U25">
        <v>79</v>
      </c>
      <c r="V25">
        <v>0</v>
      </c>
      <c r="W25">
        <v>79</v>
      </c>
      <c r="X25" s="22">
        <f>(W25-W$25)/W$25</f>
        <v>0</v>
      </c>
    </row>
    <row r="26" spans="1:25" ht="14">
      <c r="A26" s="24" t="s">
        <v>112</v>
      </c>
      <c r="B26" s="75">
        <f>SUM(C78:C117)+(SUM(D78:K318))</f>
        <v>26302.46733952063</v>
      </c>
      <c r="C26" s="56">
        <f>B26/240</f>
        <v>109.59361391466929</v>
      </c>
      <c r="D26" s="69">
        <f>B26/B21</f>
        <v>1.0432109843534256</v>
      </c>
      <c r="E26" s="22">
        <f>(D26-D25)/D$25</f>
        <v>-6.6846681992250691E-3</v>
      </c>
      <c r="F26" s="28"/>
      <c r="G26" s="28"/>
      <c r="H26" s="31"/>
      <c r="P26" t="s">
        <v>285</v>
      </c>
      <c r="Q26" s="22">
        <v>0.54</v>
      </c>
      <c r="R26" s="22">
        <v>0.21000000000000002</v>
      </c>
      <c r="S26" s="22">
        <v>0.25</v>
      </c>
      <c r="T26">
        <v>0</v>
      </c>
      <c r="U26">
        <v>82</v>
      </c>
      <c r="V26">
        <v>3</v>
      </c>
      <c r="W26">
        <v>85</v>
      </c>
      <c r="X26" s="22">
        <f t="shared" ref="X26:X29" si="2">(W26-W$25)/W$25</f>
        <v>7.5949367088607597E-2</v>
      </c>
    </row>
    <row r="27" spans="1:25" s="40" customFormat="1" ht="14">
      <c r="A27" s="28"/>
      <c r="B27" s="31"/>
      <c r="C27" s="31"/>
      <c r="D27" s="58"/>
      <c r="F27" s="28"/>
      <c r="G27" s="28"/>
      <c r="H27" s="31"/>
      <c r="P27" s="40" t="s">
        <v>286</v>
      </c>
      <c r="Q27" s="188">
        <v>0.375</v>
      </c>
      <c r="R27" s="188">
        <v>0</v>
      </c>
      <c r="S27" s="188">
        <v>0.625</v>
      </c>
      <c r="T27" s="40">
        <v>0</v>
      </c>
      <c r="U27" s="40">
        <v>80</v>
      </c>
      <c r="V27" s="40">
        <v>3</v>
      </c>
      <c r="W27" s="40">
        <v>83</v>
      </c>
      <c r="X27" s="22">
        <f t="shared" si="2"/>
        <v>5.0632911392405063E-2</v>
      </c>
    </row>
    <row r="28" spans="1:25" s="40" customFormat="1" ht="14">
      <c r="A28" s="63" t="s">
        <v>131</v>
      </c>
      <c r="B28" s="31"/>
      <c r="C28" s="62"/>
      <c r="G28" s="28"/>
      <c r="P28" s="40" t="s">
        <v>287</v>
      </c>
      <c r="Q28" s="188">
        <v>0</v>
      </c>
      <c r="R28" s="188">
        <v>0</v>
      </c>
      <c r="S28" s="188">
        <v>1</v>
      </c>
      <c r="T28" s="40">
        <v>0</v>
      </c>
      <c r="U28" s="40">
        <v>80</v>
      </c>
      <c r="V28" s="40">
        <v>3</v>
      </c>
      <c r="W28" s="40">
        <v>83</v>
      </c>
      <c r="X28" s="22">
        <f t="shared" si="2"/>
        <v>5.0632911392405063E-2</v>
      </c>
    </row>
    <row r="29" spans="1:25">
      <c r="A29" s="39"/>
      <c r="B29" s="39"/>
      <c r="C29" s="39"/>
      <c r="D29" s="39"/>
      <c r="E29" s="39"/>
      <c r="F29" s="39"/>
      <c r="G29" s="103"/>
      <c r="I29" s="28"/>
      <c r="P29" s="40" t="s">
        <v>288</v>
      </c>
      <c r="Q29" s="22">
        <v>0</v>
      </c>
      <c r="R29" s="22">
        <v>0</v>
      </c>
      <c r="S29" s="22">
        <v>0</v>
      </c>
      <c r="T29">
        <v>1</v>
      </c>
      <c r="U29" s="40">
        <v>78</v>
      </c>
      <c r="V29" s="40">
        <v>3</v>
      </c>
      <c r="W29" s="40">
        <v>81</v>
      </c>
      <c r="X29" s="22">
        <f t="shared" si="2"/>
        <v>2.5316455696202531E-2</v>
      </c>
    </row>
    <row r="30" spans="1:25" ht="15">
      <c r="A30" s="106"/>
      <c r="B30" s="186"/>
      <c r="C30" s="75"/>
      <c r="D30" s="75"/>
      <c r="E30" s="75"/>
      <c r="F30" s="75"/>
      <c r="G30" s="102"/>
      <c r="I30" s="28"/>
      <c r="S30" s="4"/>
    </row>
    <row r="31" spans="1:25" ht="14">
      <c r="A31" s="74"/>
      <c r="B31" s="75"/>
      <c r="C31" s="75"/>
      <c r="D31" s="75"/>
      <c r="E31" s="75"/>
      <c r="F31" s="75"/>
      <c r="G31" s="102"/>
      <c r="I31" s="28"/>
      <c r="J31" s="31"/>
      <c r="S31" s="4"/>
    </row>
    <row r="32" spans="1:25" ht="14">
      <c r="A32" s="74"/>
      <c r="B32" s="75"/>
      <c r="C32" s="75"/>
      <c r="D32" s="101"/>
      <c r="E32" s="101"/>
      <c r="F32" s="101"/>
      <c r="G32" s="102"/>
      <c r="I32" s="28"/>
      <c r="J32" s="31"/>
      <c r="S32" s="4"/>
    </row>
    <row r="33" spans="1:40" ht="14">
      <c r="A33" s="28"/>
      <c r="B33" s="29"/>
      <c r="C33" s="29"/>
      <c r="D33" s="30"/>
      <c r="E33" s="30"/>
      <c r="F33" s="30"/>
      <c r="G33" s="114"/>
      <c r="H33" s="28"/>
      <c r="I33" s="28"/>
      <c r="J33" s="31"/>
    </row>
    <row r="34" spans="1:40" ht="14">
      <c r="A34" s="39"/>
      <c r="B34" s="39"/>
      <c r="C34" s="39"/>
      <c r="D34" s="39"/>
      <c r="E34" s="39"/>
      <c r="F34" s="39"/>
      <c r="G34" s="103"/>
      <c r="H34" s="28"/>
      <c r="I34" s="28"/>
      <c r="J34" s="31"/>
    </row>
    <row r="35" spans="1:40" ht="14">
      <c r="A35" s="106"/>
      <c r="B35" s="105"/>
      <c r="C35" s="105"/>
      <c r="D35" s="105"/>
      <c r="E35" s="105"/>
      <c r="F35" s="105"/>
      <c r="G35" s="105"/>
      <c r="H35" s="28"/>
      <c r="I35" s="28"/>
      <c r="J35" s="31"/>
    </row>
    <row r="36" spans="1:40">
      <c r="A36" s="74"/>
      <c r="B36" s="105"/>
      <c r="C36" s="105"/>
      <c r="D36" s="105"/>
      <c r="E36" s="105"/>
      <c r="F36" s="105"/>
      <c r="G36" s="105"/>
      <c r="H36" s="28"/>
      <c r="I36" s="28"/>
      <c r="J36" s="28"/>
    </row>
    <row r="37" spans="1:40">
      <c r="A37" s="74"/>
      <c r="B37" s="105"/>
      <c r="C37" s="105"/>
      <c r="D37" s="105"/>
      <c r="E37" s="105"/>
      <c r="F37" s="105"/>
      <c r="G37" s="105"/>
    </row>
    <row r="38" spans="1:40">
      <c r="W38" s="2"/>
    </row>
    <row r="39" spans="1:40">
      <c r="A39" t="s">
        <v>162</v>
      </c>
      <c r="C39" s="22">
        <v>0.4</v>
      </c>
      <c r="W39" s="22"/>
      <c r="X39" s="22"/>
    </row>
    <row r="40" spans="1:40" ht="14">
      <c r="A40" t="s">
        <v>129</v>
      </c>
      <c r="C40" s="3"/>
      <c r="D40" s="22">
        <f>D14</f>
        <v>0.25</v>
      </c>
      <c r="E40" s="3"/>
      <c r="F40" s="22">
        <f>B14</f>
        <v>0.54</v>
      </c>
      <c r="G40" s="3"/>
      <c r="H40" s="3"/>
      <c r="I40" s="3"/>
      <c r="J40" s="3"/>
      <c r="K40" s="3"/>
      <c r="L40" s="3"/>
      <c r="M40" s="107">
        <f>D14</f>
        <v>0.25</v>
      </c>
      <c r="O40" s="107">
        <f>B14</f>
        <v>0.54</v>
      </c>
      <c r="Q40" s="3"/>
      <c r="S40" s="2"/>
      <c r="V40" s="109">
        <f>D14</f>
        <v>0.25</v>
      </c>
      <c r="X40" s="109">
        <f>B14</f>
        <v>0.54</v>
      </c>
      <c r="AG40" s="109">
        <f>D14</f>
        <v>0.25</v>
      </c>
      <c r="AI40" s="109">
        <f>B14</f>
        <v>0.54</v>
      </c>
    </row>
    <row r="41" spans="1:40" ht="14">
      <c r="A41" t="s">
        <v>130</v>
      </c>
      <c r="C41" s="3"/>
      <c r="D41" s="3"/>
      <c r="E41" s="3"/>
      <c r="F41" s="3"/>
      <c r="G41" s="22">
        <f>B15</f>
        <v>0.24</v>
      </c>
      <c r="H41" s="22">
        <f>C15</f>
        <v>0.75</v>
      </c>
      <c r="I41" s="3"/>
      <c r="J41" s="3"/>
      <c r="K41" s="3"/>
      <c r="L41" s="3"/>
      <c r="P41" s="108">
        <f>B15</f>
        <v>0.24</v>
      </c>
      <c r="Q41" s="108">
        <f>C15</f>
        <v>0.75</v>
      </c>
      <c r="S41" s="2"/>
      <c r="T41" s="2"/>
      <c r="U41" s="4"/>
      <c r="X41" s="110"/>
      <c r="Y41" s="108">
        <f>B15</f>
        <v>0.24</v>
      </c>
      <c r="Z41" s="109">
        <f>C15</f>
        <v>0.75</v>
      </c>
      <c r="AI41" s="110"/>
      <c r="AJ41" s="108">
        <f>B15</f>
        <v>0.24</v>
      </c>
      <c r="AK41" s="109">
        <f>C15</f>
        <v>0.75</v>
      </c>
    </row>
    <row r="42" spans="1:40" ht="14">
      <c r="A42" t="s">
        <v>153</v>
      </c>
      <c r="C42" s="3"/>
      <c r="D42" s="3"/>
      <c r="E42" s="3"/>
      <c r="F42" s="3"/>
      <c r="G42" s="3"/>
      <c r="H42" s="3"/>
      <c r="I42" s="3"/>
      <c r="J42" s="3"/>
      <c r="K42" s="22">
        <f>C16</f>
        <v>0.56999999999999995</v>
      </c>
      <c r="L42" s="3"/>
      <c r="P42" s="108"/>
      <c r="Q42" s="108"/>
      <c r="S42" s="2"/>
      <c r="T42" s="119">
        <f>C16</f>
        <v>0.56999999999999995</v>
      </c>
      <c r="U42" s="4"/>
      <c r="X42" s="110"/>
      <c r="Y42" s="108"/>
      <c r="Z42" s="109"/>
      <c r="AC42" s="119">
        <f>C16</f>
        <v>0.56999999999999995</v>
      </c>
      <c r="AI42" s="110"/>
      <c r="AJ42" s="108"/>
      <c r="AK42" s="109"/>
      <c r="AN42" s="119">
        <f>C16</f>
        <v>0.56999999999999995</v>
      </c>
    </row>
    <row r="43" spans="1:40" ht="14">
      <c r="C43" s="3"/>
      <c r="D43" s="3"/>
      <c r="E43" s="3"/>
      <c r="F43" s="3"/>
      <c r="G43" s="3"/>
      <c r="H43" s="3"/>
      <c r="I43" s="3"/>
      <c r="J43" s="3"/>
      <c r="K43" s="22"/>
      <c r="L43" s="3"/>
      <c r="P43" s="108"/>
      <c r="Q43" s="108"/>
      <c r="S43" s="2"/>
      <c r="T43" s="119"/>
      <c r="U43" s="4"/>
      <c r="X43" s="110"/>
      <c r="Y43" s="108"/>
      <c r="Z43" s="109"/>
      <c r="AC43" s="119"/>
      <c r="AI43" s="110"/>
      <c r="AJ43" s="108"/>
      <c r="AK43" s="109"/>
      <c r="AN43" s="119"/>
    </row>
    <row r="44" spans="1:40" ht="14">
      <c r="C44" s="3"/>
      <c r="D44" s="3"/>
      <c r="E44" s="3"/>
      <c r="F44" s="3"/>
      <c r="G44" s="3"/>
      <c r="H44" s="3"/>
      <c r="I44" s="3"/>
      <c r="J44" s="3"/>
      <c r="K44" s="22"/>
      <c r="L44" s="3"/>
      <c r="P44" s="108"/>
      <c r="Q44" s="108"/>
      <c r="S44" s="2"/>
      <c r="T44" s="119"/>
      <c r="U44" s="4"/>
      <c r="X44" s="110"/>
      <c r="Y44" s="108"/>
      <c r="Z44" s="109"/>
      <c r="AC44" s="119"/>
      <c r="AI44" s="110"/>
      <c r="AJ44" s="108"/>
      <c r="AK44" s="109"/>
      <c r="AN44" s="119"/>
    </row>
    <row r="45" spans="1:40" ht="14">
      <c r="C45" s="3"/>
      <c r="D45" s="3"/>
      <c r="E45" s="3"/>
      <c r="F45" s="3"/>
      <c r="G45" s="3"/>
      <c r="H45" s="3"/>
      <c r="I45" s="3"/>
      <c r="J45" s="3"/>
      <c r="K45" s="22"/>
      <c r="L45" s="3"/>
      <c r="P45" s="108"/>
      <c r="Q45" s="108"/>
      <c r="S45" s="2"/>
      <c r="T45" s="119"/>
      <c r="U45" s="4"/>
      <c r="X45" s="110"/>
      <c r="Y45" s="108"/>
      <c r="Z45" s="109"/>
      <c r="AC45" s="119"/>
      <c r="AI45" s="110"/>
      <c r="AJ45" s="108"/>
      <c r="AK45" s="109"/>
      <c r="AN45" s="119"/>
    </row>
    <row r="46" spans="1:40" ht="14">
      <c r="C46" s="3"/>
      <c r="D46" s="3"/>
      <c r="E46" s="3"/>
      <c r="F46" s="3"/>
      <c r="G46" s="3"/>
      <c r="H46" s="3"/>
      <c r="I46" s="3"/>
      <c r="J46" s="3"/>
      <c r="K46" s="22"/>
      <c r="L46" s="3"/>
      <c r="P46" s="108"/>
      <c r="Q46" s="108"/>
      <c r="S46" s="2"/>
      <c r="T46" s="119"/>
      <c r="U46" s="4"/>
      <c r="X46" s="110"/>
      <c r="Y46" s="108"/>
      <c r="Z46" s="109"/>
      <c r="AC46" s="119"/>
      <c r="AI46" s="110"/>
      <c r="AJ46" s="108"/>
      <c r="AK46" s="109"/>
      <c r="AN46" s="119"/>
    </row>
    <row r="47" spans="1:40" ht="14">
      <c r="C47" s="3"/>
      <c r="D47" s="3"/>
      <c r="E47" s="3"/>
      <c r="F47" s="3"/>
      <c r="G47" s="3"/>
      <c r="H47" s="3"/>
      <c r="I47" s="3"/>
      <c r="J47" s="3"/>
      <c r="K47" s="22"/>
      <c r="L47" s="3"/>
      <c r="P47" s="108"/>
      <c r="Q47" s="108"/>
      <c r="S47" s="2"/>
      <c r="T47" s="119"/>
      <c r="U47" s="4"/>
      <c r="X47" s="110"/>
      <c r="Y47" s="108"/>
      <c r="Z47" s="109"/>
      <c r="AC47" s="119"/>
      <c r="AI47" s="110"/>
      <c r="AJ47" s="108"/>
      <c r="AK47" s="109"/>
      <c r="AN47" s="119"/>
    </row>
    <row r="48" spans="1:40" ht="14">
      <c r="B48"/>
      <c r="C48" s="3"/>
      <c r="D48" s="3"/>
      <c r="E48" s="3"/>
      <c r="F48" s="3"/>
      <c r="G48" s="3"/>
      <c r="H48" s="3"/>
      <c r="I48" s="3"/>
      <c r="J48" s="3"/>
      <c r="K48" s="22"/>
      <c r="L48" s="3"/>
      <c r="P48" s="108"/>
      <c r="Q48" s="108"/>
      <c r="S48" s="2"/>
      <c r="T48" s="119"/>
      <c r="U48" s="4"/>
      <c r="X48" s="110"/>
      <c r="Y48" s="108"/>
      <c r="Z48" s="109"/>
      <c r="AC48" s="119"/>
      <c r="AI48" s="110"/>
      <c r="AJ48" s="108"/>
      <c r="AK48" s="109"/>
      <c r="AN48" s="119"/>
    </row>
    <row r="49" spans="2:40" ht="14">
      <c r="B49"/>
      <c r="C49" s="3"/>
      <c r="D49" s="3"/>
      <c r="E49" s="3"/>
      <c r="F49" s="3"/>
      <c r="G49" s="3"/>
      <c r="H49" s="3"/>
      <c r="I49" s="3"/>
      <c r="J49" s="3"/>
      <c r="K49" s="22"/>
      <c r="L49" s="3"/>
      <c r="P49" s="108"/>
      <c r="Q49" s="108"/>
      <c r="S49" s="2"/>
      <c r="T49" s="119"/>
      <c r="U49" s="4"/>
      <c r="X49" s="110"/>
      <c r="Y49" s="108"/>
      <c r="Z49" s="109"/>
      <c r="AC49" s="119"/>
      <c r="AI49" s="110"/>
      <c r="AJ49" s="108"/>
      <c r="AK49" s="109"/>
      <c r="AN49" s="119"/>
    </row>
    <row r="50" spans="2:40" ht="14">
      <c r="B50"/>
      <c r="C50" s="3"/>
      <c r="D50" s="3"/>
      <c r="E50" s="3"/>
      <c r="F50" s="3"/>
      <c r="G50" s="3"/>
      <c r="H50" s="3"/>
      <c r="I50" s="3"/>
      <c r="J50" s="3"/>
      <c r="K50" s="22"/>
      <c r="L50" s="3"/>
      <c r="P50" s="108"/>
      <c r="Q50" s="108"/>
      <c r="S50" s="2"/>
      <c r="T50" s="119"/>
      <c r="U50" s="4"/>
      <c r="X50" s="110"/>
      <c r="Y50" s="108"/>
      <c r="Z50" s="109"/>
      <c r="AC50" s="119"/>
      <c r="AI50" s="110"/>
      <c r="AJ50" s="108"/>
      <c r="AK50" s="109"/>
      <c r="AN50" s="119"/>
    </row>
    <row r="51" spans="2:40" ht="14">
      <c r="B51"/>
      <c r="C51" s="3"/>
      <c r="D51" s="3"/>
      <c r="E51" s="3"/>
      <c r="F51" s="3"/>
      <c r="G51" s="3"/>
      <c r="H51" s="3"/>
      <c r="I51" s="3"/>
      <c r="J51" s="3"/>
      <c r="K51" s="22"/>
      <c r="L51" s="3"/>
      <c r="P51" s="108"/>
      <c r="Q51" s="108"/>
      <c r="S51" s="2"/>
      <c r="T51" s="119"/>
      <c r="U51" s="4"/>
      <c r="X51" s="110"/>
      <c r="Y51" s="108"/>
      <c r="Z51" s="109"/>
      <c r="AC51" s="119"/>
      <c r="AI51" s="110"/>
      <c r="AJ51" s="108"/>
      <c r="AK51" s="109"/>
      <c r="AN51" s="119"/>
    </row>
    <row r="52" spans="2:40" ht="14">
      <c r="B52"/>
      <c r="C52" s="3"/>
      <c r="D52" s="3"/>
      <c r="E52" s="3"/>
      <c r="F52" s="3"/>
      <c r="G52" s="3"/>
      <c r="H52" s="3"/>
      <c r="I52" s="3"/>
      <c r="J52" s="3"/>
      <c r="K52" s="22"/>
      <c r="L52" s="3"/>
      <c r="P52" s="108"/>
      <c r="Q52" s="108"/>
      <c r="S52" s="2"/>
      <c r="T52" s="119"/>
      <c r="U52" s="4"/>
      <c r="X52" s="110"/>
      <c r="Y52" s="108"/>
      <c r="Z52" s="109"/>
      <c r="AC52" s="119"/>
      <c r="AI52" s="110"/>
      <c r="AJ52" s="108"/>
      <c r="AK52" s="109"/>
      <c r="AN52" s="119"/>
    </row>
    <row r="53" spans="2:40" ht="14">
      <c r="B53"/>
      <c r="C53" s="3"/>
      <c r="D53" s="3"/>
      <c r="E53" s="3"/>
      <c r="F53" s="3"/>
      <c r="G53" s="3"/>
      <c r="H53" s="3"/>
      <c r="I53" s="3"/>
      <c r="J53" s="3"/>
      <c r="K53" s="22"/>
      <c r="L53" s="3"/>
      <c r="P53" s="108"/>
      <c r="Q53" s="108"/>
      <c r="S53" s="2"/>
      <c r="T53" s="119"/>
      <c r="U53" s="4"/>
      <c r="X53" s="110"/>
      <c r="Y53" s="108"/>
      <c r="Z53" s="109"/>
      <c r="AC53" s="119"/>
      <c r="AI53" s="110"/>
      <c r="AJ53" s="108"/>
      <c r="AK53" s="109"/>
      <c r="AN53" s="119"/>
    </row>
    <row r="54" spans="2:40" ht="14">
      <c r="B54"/>
      <c r="C54" s="3"/>
      <c r="D54" s="3"/>
      <c r="E54" s="3"/>
      <c r="F54" s="3"/>
      <c r="G54" s="3"/>
      <c r="H54" s="3"/>
      <c r="I54" s="3"/>
      <c r="J54" s="3"/>
      <c r="K54" s="22"/>
      <c r="L54" s="3"/>
      <c r="P54" s="108"/>
      <c r="Q54" s="108"/>
      <c r="S54" s="2"/>
      <c r="T54" s="119"/>
      <c r="U54" s="4"/>
      <c r="X54" s="110"/>
      <c r="Y54" s="108"/>
      <c r="Z54" s="109"/>
      <c r="AC54" s="119"/>
      <c r="AI54" s="110"/>
      <c r="AJ54" s="108"/>
      <c r="AK54" s="109"/>
      <c r="AN54" s="119"/>
    </row>
    <row r="55" spans="2:40" ht="14">
      <c r="B55"/>
      <c r="C55" s="3"/>
      <c r="D55" s="3"/>
      <c r="E55" s="3"/>
      <c r="F55" s="3"/>
      <c r="G55" s="3"/>
      <c r="H55" s="3"/>
      <c r="I55" s="3"/>
      <c r="J55" s="3"/>
      <c r="K55" s="22"/>
      <c r="L55" s="3"/>
      <c r="P55" s="108"/>
      <c r="Q55" s="108"/>
      <c r="S55" s="2"/>
      <c r="T55" s="119"/>
      <c r="U55" s="4"/>
      <c r="X55" s="110"/>
      <c r="Y55" s="108"/>
      <c r="Z55" s="109"/>
      <c r="AC55" s="119"/>
      <c r="AI55" s="110"/>
      <c r="AJ55" s="108"/>
      <c r="AK55" s="109"/>
      <c r="AN55" s="119"/>
    </row>
    <row r="56" spans="2:40" ht="14">
      <c r="B56"/>
      <c r="C56" s="3"/>
      <c r="D56" s="3"/>
      <c r="E56" s="3"/>
      <c r="F56" s="3"/>
      <c r="G56" s="3"/>
      <c r="H56" s="3"/>
      <c r="I56" s="3"/>
      <c r="J56" s="3"/>
      <c r="K56" s="22"/>
      <c r="L56" s="3"/>
      <c r="P56" s="108"/>
      <c r="Q56" s="108"/>
      <c r="S56" s="2"/>
      <c r="T56" s="119"/>
      <c r="U56" s="4"/>
      <c r="X56" s="110"/>
      <c r="Y56" s="108"/>
      <c r="Z56" s="109"/>
      <c r="AC56" s="119"/>
      <c r="AI56" s="110"/>
      <c r="AJ56" s="108"/>
      <c r="AK56" s="109"/>
      <c r="AN56" s="119"/>
    </row>
    <row r="57" spans="2:40" ht="14">
      <c r="B57"/>
      <c r="C57" s="3"/>
      <c r="D57" s="3"/>
      <c r="E57" s="3"/>
      <c r="F57" s="3"/>
      <c r="G57" s="3"/>
      <c r="H57" s="3"/>
      <c r="I57" s="3"/>
      <c r="J57" s="3"/>
      <c r="K57" s="22"/>
      <c r="L57" s="3"/>
      <c r="P57" s="108"/>
      <c r="Q57" s="108"/>
      <c r="S57" s="2"/>
      <c r="T57" s="119"/>
      <c r="U57" s="4"/>
      <c r="X57" s="110"/>
      <c r="Y57" s="108"/>
      <c r="Z57" s="109"/>
      <c r="AC57" s="119"/>
      <c r="AI57" s="110"/>
      <c r="AJ57" s="108"/>
      <c r="AK57" s="109"/>
      <c r="AN57" s="119"/>
    </row>
    <row r="58" spans="2:40" ht="14">
      <c r="B58"/>
      <c r="C58" s="3"/>
      <c r="D58" s="3"/>
      <c r="E58" s="3"/>
      <c r="F58" s="3"/>
      <c r="G58" s="3"/>
      <c r="H58" s="3"/>
      <c r="I58" s="3"/>
      <c r="J58" s="3"/>
      <c r="K58" s="22"/>
      <c r="L58" s="3"/>
      <c r="P58" s="108"/>
      <c r="Q58" s="108"/>
      <c r="S58" s="2"/>
      <c r="T58" s="119"/>
      <c r="U58" s="4"/>
      <c r="X58" s="110"/>
      <c r="Y58" s="108"/>
      <c r="Z58" s="109"/>
      <c r="AC58" s="119"/>
      <c r="AI58" s="110"/>
      <c r="AJ58" s="108"/>
      <c r="AK58" s="109"/>
      <c r="AN58" s="119"/>
    </row>
    <row r="59" spans="2:40" ht="14">
      <c r="B59"/>
      <c r="C59" s="3"/>
      <c r="D59" s="3"/>
      <c r="E59" s="3"/>
      <c r="F59" s="3"/>
      <c r="G59" s="3"/>
      <c r="H59" s="3"/>
      <c r="I59" s="3"/>
      <c r="J59" s="3"/>
      <c r="K59" s="22"/>
      <c r="L59" s="3"/>
      <c r="P59" s="108"/>
      <c r="Q59" s="108"/>
      <c r="S59" s="2"/>
      <c r="T59" s="119"/>
      <c r="U59" s="4"/>
      <c r="X59" s="110"/>
      <c r="Y59" s="108"/>
      <c r="Z59" s="109"/>
      <c r="AC59" s="119"/>
      <c r="AI59" s="110"/>
      <c r="AJ59" s="108"/>
      <c r="AK59" s="109"/>
      <c r="AN59" s="119"/>
    </row>
    <row r="60" spans="2:40" ht="14">
      <c r="B60"/>
      <c r="C60" s="3"/>
      <c r="D60" s="3"/>
      <c r="E60" s="3"/>
      <c r="F60" s="3"/>
      <c r="G60" s="3"/>
      <c r="H60" s="3"/>
      <c r="I60" s="3"/>
      <c r="J60" s="3"/>
      <c r="K60" s="22"/>
      <c r="L60" s="3"/>
      <c r="P60" s="108"/>
      <c r="Q60" s="108"/>
      <c r="S60" s="2"/>
      <c r="T60" s="119"/>
      <c r="U60" s="4"/>
      <c r="X60" s="110"/>
      <c r="Y60" s="108"/>
      <c r="Z60" s="109"/>
      <c r="AC60" s="119"/>
      <c r="AI60" s="110"/>
      <c r="AJ60" s="108"/>
      <c r="AK60" s="109"/>
      <c r="AN60" s="119"/>
    </row>
    <row r="61" spans="2:40" ht="14">
      <c r="B61"/>
      <c r="C61" s="3"/>
      <c r="D61" s="3"/>
      <c r="E61" s="3"/>
      <c r="F61" s="3"/>
      <c r="G61" s="3"/>
      <c r="H61" s="3"/>
      <c r="I61" s="3"/>
      <c r="J61" s="3"/>
      <c r="K61" s="22"/>
      <c r="L61" s="3"/>
      <c r="P61" s="108"/>
      <c r="Q61" s="108"/>
      <c r="S61" s="2"/>
      <c r="T61" s="119"/>
      <c r="U61" s="4"/>
      <c r="X61" s="110"/>
      <c r="Y61" s="108"/>
      <c r="Z61" s="109"/>
      <c r="AC61" s="119"/>
      <c r="AI61" s="110"/>
      <c r="AJ61" s="108"/>
      <c r="AK61" s="109"/>
      <c r="AN61" s="119"/>
    </row>
    <row r="62" spans="2:40" ht="14">
      <c r="B62"/>
      <c r="C62" s="3"/>
      <c r="D62" s="3"/>
      <c r="E62" s="3"/>
      <c r="F62" s="3"/>
      <c r="G62" s="3"/>
      <c r="H62" s="3"/>
      <c r="I62" s="3"/>
      <c r="J62" s="3"/>
      <c r="K62" s="22"/>
      <c r="L62" s="3"/>
      <c r="P62" s="108"/>
      <c r="Q62" s="108"/>
      <c r="S62" s="2"/>
      <c r="T62" s="119"/>
      <c r="U62" s="4"/>
      <c r="X62" s="110"/>
      <c r="Y62" s="108"/>
      <c r="Z62" s="109"/>
      <c r="AC62" s="119"/>
      <c r="AI62" s="110"/>
      <c r="AJ62" s="108"/>
      <c r="AK62" s="109"/>
      <c r="AN62" s="119"/>
    </row>
    <row r="63" spans="2:40" ht="14">
      <c r="B63"/>
      <c r="C63" s="3"/>
      <c r="D63" s="3"/>
      <c r="E63" s="3"/>
      <c r="F63" s="3"/>
      <c r="G63" s="3"/>
      <c r="H63" s="3"/>
      <c r="I63" s="3"/>
      <c r="J63" s="3"/>
      <c r="K63" s="22"/>
      <c r="L63" s="3"/>
      <c r="P63" s="108"/>
      <c r="Q63" s="108"/>
      <c r="S63" s="2"/>
      <c r="T63" s="119"/>
      <c r="U63" s="4"/>
      <c r="X63" s="110"/>
      <c r="Y63" s="108"/>
      <c r="Z63" s="109"/>
      <c r="AC63" s="119"/>
      <c r="AI63" s="110"/>
      <c r="AJ63" s="108"/>
      <c r="AK63" s="109"/>
      <c r="AN63" s="119"/>
    </row>
    <row r="64" spans="2:40" ht="14">
      <c r="C64" s="3"/>
      <c r="D64" s="3"/>
      <c r="E64" s="3"/>
      <c r="F64" s="3"/>
      <c r="G64" s="3"/>
      <c r="H64" s="3"/>
      <c r="I64" s="3"/>
      <c r="J64" s="3"/>
      <c r="K64" s="22"/>
      <c r="L64" s="3"/>
      <c r="P64" s="108"/>
      <c r="Q64" s="108"/>
      <c r="S64" s="2"/>
      <c r="T64" s="119"/>
      <c r="U64" s="4"/>
      <c r="X64" s="110"/>
      <c r="Y64" s="108"/>
      <c r="Z64" s="109"/>
      <c r="AC64" s="119"/>
      <c r="AI64" s="110"/>
      <c r="AJ64" s="108"/>
      <c r="AK64" s="109"/>
      <c r="AN64" s="119"/>
    </row>
    <row r="65" spans="1:41" ht="14">
      <c r="C65" s="3"/>
      <c r="D65" s="3"/>
      <c r="E65" s="3"/>
      <c r="F65" s="3"/>
      <c r="G65" s="3"/>
      <c r="H65" s="3"/>
      <c r="I65" s="3"/>
      <c r="J65" s="3"/>
      <c r="K65" s="22"/>
      <c r="L65" s="3"/>
      <c r="P65" s="108"/>
      <c r="Q65" s="108"/>
      <c r="S65" s="2"/>
      <c r="T65" s="119"/>
      <c r="U65" s="4"/>
      <c r="X65" s="110"/>
      <c r="Y65" s="108"/>
      <c r="Z65" s="109"/>
      <c r="AC65" s="119"/>
      <c r="AI65" s="110"/>
      <c r="AJ65" s="108"/>
      <c r="AK65" s="109"/>
      <c r="AN65" s="119"/>
    </row>
    <row r="66" spans="1:41" ht="14">
      <c r="C66" s="3"/>
      <c r="D66" s="3"/>
      <c r="E66" s="3"/>
      <c r="F66" s="3"/>
      <c r="G66" s="3"/>
      <c r="H66" s="3"/>
      <c r="I66" s="3"/>
      <c r="J66" s="3"/>
      <c r="K66" s="22"/>
      <c r="L66" s="3"/>
      <c r="P66" s="108"/>
      <c r="Q66" s="108"/>
      <c r="S66" s="2"/>
      <c r="T66" s="119"/>
      <c r="U66" s="4"/>
      <c r="X66" s="110"/>
      <c r="Y66" s="108"/>
      <c r="Z66" s="109"/>
      <c r="AC66" s="119"/>
      <c r="AI66" s="110"/>
      <c r="AJ66" s="108"/>
      <c r="AK66" s="109"/>
      <c r="AN66" s="119"/>
    </row>
    <row r="67" spans="1:41" ht="14">
      <c r="C67" s="3"/>
      <c r="D67" s="3"/>
      <c r="E67" s="3"/>
      <c r="F67" s="3"/>
      <c r="G67" s="3"/>
      <c r="H67" s="3"/>
      <c r="I67" s="3"/>
      <c r="J67" s="3"/>
      <c r="K67" s="22"/>
      <c r="L67" s="3"/>
      <c r="P67" s="108"/>
      <c r="Q67" s="108"/>
      <c r="S67" s="2"/>
      <c r="T67" s="119"/>
      <c r="U67" s="4"/>
      <c r="X67" s="110"/>
      <c r="Y67" s="108"/>
      <c r="Z67" s="109"/>
      <c r="AC67" s="119"/>
      <c r="AI67" s="110"/>
      <c r="AJ67" s="108"/>
      <c r="AK67" s="109"/>
      <c r="AN67" s="119"/>
    </row>
    <row r="68" spans="1:41" ht="14">
      <c r="C68" s="3"/>
      <c r="D68" s="3"/>
      <c r="E68" s="3"/>
      <c r="F68" s="3"/>
      <c r="G68" s="3"/>
      <c r="H68" s="3"/>
      <c r="I68" s="3"/>
      <c r="J68" s="3"/>
      <c r="K68" s="22"/>
      <c r="L68" s="3"/>
      <c r="P68" s="108"/>
      <c r="Q68" s="108"/>
      <c r="S68" s="2"/>
      <c r="T68" s="119"/>
      <c r="U68" s="4"/>
      <c r="X68" s="110"/>
      <c r="Y68" s="108"/>
      <c r="Z68" s="109"/>
      <c r="AC68" s="119"/>
      <c r="AI68" s="110"/>
      <c r="AJ68" s="108"/>
      <c r="AK68" s="109"/>
      <c r="AN68" s="119"/>
    </row>
    <row r="69" spans="1:41" ht="14">
      <c r="C69" s="3"/>
      <c r="D69" s="3"/>
      <c r="E69" s="3"/>
      <c r="F69" s="3"/>
      <c r="G69" s="3"/>
      <c r="H69" s="3"/>
      <c r="I69" s="3"/>
      <c r="J69" s="3"/>
      <c r="K69" s="22"/>
      <c r="L69" s="3"/>
      <c r="P69" s="108"/>
      <c r="Q69" s="108"/>
      <c r="S69" s="2"/>
      <c r="T69" s="119"/>
      <c r="U69" s="4"/>
      <c r="X69" s="110"/>
      <c r="Y69" s="108"/>
      <c r="Z69" s="109"/>
      <c r="AC69" s="119"/>
      <c r="AI69" s="110"/>
      <c r="AJ69" s="108"/>
      <c r="AK69" s="109"/>
      <c r="AN69" s="119"/>
    </row>
    <row r="70" spans="1:41" ht="14">
      <c r="C70" s="3"/>
      <c r="D70" s="3"/>
      <c r="E70" s="3"/>
      <c r="F70" s="3"/>
      <c r="G70" s="3"/>
      <c r="H70" s="3"/>
      <c r="I70" s="3"/>
      <c r="J70" s="3"/>
      <c r="K70" s="22"/>
      <c r="L70" s="3"/>
      <c r="P70" s="108"/>
      <c r="Q70" s="108"/>
      <c r="S70" s="2"/>
      <c r="T70" s="119"/>
      <c r="U70" s="4"/>
      <c r="X70" s="110"/>
      <c r="Y70" s="108"/>
      <c r="Z70" s="109"/>
      <c r="AC70" s="119"/>
      <c r="AI70" s="110"/>
      <c r="AJ70" s="108"/>
      <c r="AK70" s="109"/>
      <c r="AN70" s="119"/>
    </row>
    <row r="71" spans="1:41" ht="14">
      <c r="C71" s="3"/>
      <c r="D71" s="3"/>
      <c r="E71" s="3"/>
      <c r="F71" s="3"/>
      <c r="G71" s="3"/>
      <c r="H71" s="3"/>
      <c r="I71" s="3"/>
      <c r="J71" s="3"/>
      <c r="K71" s="22"/>
      <c r="L71" s="3"/>
      <c r="P71" s="108"/>
      <c r="Q71" s="108"/>
      <c r="S71" s="2"/>
      <c r="T71" s="119"/>
      <c r="U71" s="4"/>
      <c r="X71" s="110"/>
      <c r="Y71" s="108"/>
      <c r="Z71" s="109"/>
      <c r="AC71" s="119"/>
      <c r="AI71" s="110"/>
      <c r="AJ71" s="108"/>
      <c r="AK71" s="109"/>
      <c r="AN71" s="119"/>
    </row>
    <row r="72" spans="1:41" ht="14">
      <c r="C72" s="3"/>
      <c r="D72" s="3"/>
      <c r="E72" s="3"/>
      <c r="F72" s="3"/>
      <c r="G72" s="3"/>
      <c r="H72" s="3"/>
      <c r="I72" s="3"/>
      <c r="J72" s="3"/>
      <c r="K72" s="22"/>
      <c r="L72" s="3"/>
      <c r="P72" s="108"/>
      <c r="Q72" s="108"/>
      <c r="S72" s="2"/>
      <c r="T72" s="119"/>
      <c r="U72" s="4"/>
      <c r="X72" s="110"/>
      <c r="Y72" s="108"/>
      <c r="Z72" s="109"/>
      <c r="AC72" s="119"/>
      <c r="AI72" s="110"/>
      <c r="AJ72" s="108"/>
      <c r="AK72" s="109"/>
      <c r="AN72" s="119"/>
    </row>
    <row r="73" spans="1:41" ht="14">
      <c r="C73" s="3"/>
      <c r="D73" s="3"/>
      <c r="E73" s="3"/>
      <c r="F73" s="3"/>
      <c r="G73" s="3"/>
      <c r="H73" s="3"/>
      <c r="I73" s="3"/>
      <c r="J73" s="3"/>
      <c r="K73" s="22"/>
      <c r="L73" s="3"/>
      <c r="P73" s="108"/>
      <c r="Q73" s="108"/>
      <c r="S73" s="2"/>
      <c r="T73" s="119"/>
      <c r="U73" s="4"/>
      <c r="X73" s="110"/>
      <c r="Y73" s="108"/>
      <c r="Z73" s="109"/>
      <c r="AC73" s="119"/>
      <c r="AI73" s="110"/>
      <c r="AJ73" s="108"/>
      <c r="AK73" s="109"/>
      <c r="AN73" s="119"/>
    </row>
    <row r="74" spans="1:41" ht="14">
      <c r="C74" s="3"/>
      <c r="D74" s="3"/>
      <c r="E74" s="3"/>
      <c r="F74" s="3"/>
      <c r="G74" s="3"/>
      <c r="H74" s="3"/>
      <c r="I74" s="3"/>
      <c r="J74" s="3"/>
      <c r="K74" s="22"/>
      <c r="L74" s="3"/>
      <c r="P74" s="108"/>
      <c r="Q74" s="108"/>
      <c r="S74" s="2"/>
      <c r="T74" s="119"/>
      <c r="U74" s="4"/>
      <c r="X74" s="110"/>
      <c r="Y74" s="108"/>
      <c r="Z74" s="109"/>
      <c r="AC74" s="119"/>
      <c r="AI74" s="110"/>
      <c r="AJ74" s="108"/>
      <c r="AK74" s="109"/>
      <c r="AN74" s="119"/>
    </row>
    <row r="75" spans="1:41" ht="14">
      <c r="C75" s="3"/>
      <c r="D75" s="3"/>
      <c r="E75" s="3"/>
      <c r="F75" s="3"/>
      <c r="G75" s="3"/>
      <c r="H75" s="3"/>
      <c r="I75" s="3"/>
      <c r="J75" s="3"/>
      <c r="K75" s="22"/>
      <c r="L75" s="3"/>
      <c r="P75" s="108"/>
      <c r="Q75" s="108"/>
      <c r="S75" s="2"/>
      <c r="T75" s="119"/>
      <c r="U75" s="4"/>
      <c r="X75" s="110"/>
      <c r="Y75" s="108"/>
      <c r="Z75" s="109"/>
      <c r="AC75" s="119"/>
      <c r="AI75" s="110"/>
      <c r="AJ75" s="108"/>
      <c r="AK75" s="109"/>
      <c r="AN75" s="119"/>
    </row>
    <row r="76" spans="1:41" ht="14">
      <c r="C76" s="3"/>
      <c r="D76" s="111" t="s">
        <v>257</v>
      </c>
      <c r="E76" s="3"/>
      <c r="F76" s="3"/>
      <c r="G76" s="3"/>
      <c r="H76" s="3"/>
      <c r="I76" s="3"/>
      <c r="J76" s="3"/>
      <c r="K76" s="3"/>
      <c r="L76" s="3"/>
      <c r="M76" s="111" t="s">
        <v>258</v>
      </c>
      <c r="S76" s="2"/>
      <c r="T76" s="2"/>
      <c r="U76" s="4"/>
      <c r="V76" s="111" t="s">
        <v>259</v>
      </c>
      <c r="X76" s="99"/>
      <c r="Z76" s="100"/>
      <c r="AG76" s="111" t="s">
        <v>260</v>
      </c>
    </row>
    <row r="77" spans="1:41" s="1" customFormat="1" ht="47" customHeight="1">
      <c r="A77" s="1" t="s">
        <v>62</v>
      </c>
      <c r="B77" s="20" t="s">
        <v>19</v>
      </c>
      <c r="C77" s="1" t="s">
        <v>255</v>
      </c>
      <c r="D77" s="78" t="s">
        <v>61</v>
      </c>
      <c r="E77" s="78" t="s">
        <v>43</v>
      </c>
      <c r="F77" s="78" t="s">
        <v>44</v>
      </c>
      <c r="G77" s="79" t="s">
        <v>45</v>
      </c>
      <c r="H77" s="92" t="s">
        <v>46</v>
      </c>
      <c r="I77" s="79" t="s">
        <v>48</v>
      </c>
      <c r="J77" s="78" t="s">
        <v>49</v>
      </c>
      <c r="K77" s="92" t="s">
        <v>47</v>
      </c>
      <c r="M77" s="78" t="s">
        <v>61</v>
      </c>
      <c r="N77" s="78" t="s">
        <v>43</v>
      </c>
      <c r="O77" s="78" t="s">
        <v>44</v>
      </c>
      <c r="P77" s="79" t="s">
        <v>45</v>
      </c>
      <c r="Q77" s="92" t="s">
        <v>46</v>
      </c>
      <c r="R77" s="79" t="s">
        <v>48</v>
      </c>
      <c r="S77" s="78" t="s">
        <v>49</v>
      </c>
      <c r="T77" s="92" t="s">
        <v>47</v>
      </c>
      <c r="U77" s="16"/>
      <c r="V77" s="86" t="s">
        <v>61</v>
      </c>
      <c r="W77" s="86" t="s">
        <v>50</v>
      </c>
      <c r="X77" s="86" t="s">
        <v>51</v>
      </c>
      <c r="Y77" s="87" t="s">
        <v>52</v>
      </c>
      <c r="Z77" s="93" t="s">
        <v>53</v>
      </c>
      <c r="AA77" s="87" t="s">
        <v>55</v>
      </c>
      <c r="AB77" s="86" t="s">
        <v>56</v>
      </c>
      <c r="AC77" s="93" t="s">
        <v>54</v>
      </c>
      <c r="AE77" s="1" t="s">
        <v>42</v>
      </c>
      <c r="AF77" s="1" t="s">
        <v>255</v>
      </c>
      <c r="AG77" s="94" t="s">
        <v>123</v>
      </c>
      <c r="AH77" s="94" t="s">
        <v>122</v>
      </c>
      <c r="AI77" s="94" t="s">
        <v>124</v>
      </c>
      <c r="AJ77" s="95" t="s">
        <v>125</v>
      </c>
      <c r="AK77" s="96" t="s">
        <v>126</v>
      </c>
      <c r="AL77" s="95" t="s">
        <v>127</v>
      </c>
      <c r="AM77" s="94" t="s">
        <v>128</v>
      </c>
      <c r="AN77" s="96" t="s">
        <v>155</v>
      </c>
      <c r="AO77" s="1" t="s">
        <v>57</v>
      </c>
    </row>
    <row r="78" spans="1:41" ht="14">
      <c r="A78">
        <f t="shared" ref="A78:A141" si="3">A79-1</f>
        <v>-80</v>
      </c>
      <c r="B78" s="21">
        <v>0</v>
      </c>
      <c r="C78" s="26">
        <f t="shared" ref="C78:C118" si="4">B$8*(1-EXP(-B$9*$B78))^3</f>
        <v>0</v>
      </c>
      <c r="D78" s="26"/>
      <c r="E78" s="26"/>
      <c r="F78" s="26"/>
      <c r="G78" s="26"/>
      <c r="H78" s="26"/>
      <c r="I78" s="26"/>
      <c r="J78" s="26"/>
      <c r="K78" s="26"/>
      <c r="L78" s="26"/>
      <c r="M78" s="80"/>
      <c r="N78" s="80"/>
      <c r="O78" s="80"/>
      <c r="P78" s="81"/>
      <c r="Q78" s="81"/>
      <c r="R78" s="81"/>
      <c r="S78" s="81"/>
      <c r="T78" s="81"/>
      <c r="U78" s="3"/>
      <c r="V78" s="88"/>
      <c r="W78" s="88"/>
      <c r="X78" s="88"/>
      <c r="Y78" s="88"/>
      <c r="Z78" s="88"/>
      <c r="AA78" s="88"/>
      <c r="AB78" s="88"/>
      <c r="AC78" s="88"/>
      <c r="AE78">
        <f t="shared" ref="AE78:AE141" si="5">A78</f>
        <v>-80</v>
      </c>
      <c r="AF78" s="113">
        <f t="shared" ref="AF78:AF118" si="6">C78</f>
        <v>0</v>
      </c>
      <c r="AG78" s="97"/>
      <c r="AH78" s="97"/>
      <c r="AI78" s="97"/>
      <c r="AJ78" s="97"/>
      <c r="AK78" s="97"/>
      <c r="AL78" s="97"/>
      <c r="AM78" s="97"/>
      <c r="AN78" s="97"/>
    </row>
    <row r="79" spans="1:41" ht="14">
      <c r="A79">
        <f t="shared" si="3"/>
        <v>-79</v>
      </c>
      <c r="B79" s="21">
        <v>1</v>
      </c>
      <c r="C79" s="26">
        <f t="shared" si="4"/>
        <v>1.304576931015696E-3</v>
      </c>
      <c r="D79" s="26"/>
      <c r="E79" s="26"/>
      <c r="F79" s="26"/>
      <c r="G79" s="26"/>
      <c r="H79" s="26"/>
      <c r="I79" s="26"/>
      <c r="J79" s="26"/>
      <c r="K79" s="26"/>
      <c r="L79" s="26"/>
      <c r="M79" s="80"/>
      <c r="N79" s="80"/>
      <c r="O79" s="80"/>
      <c r="P79" s="81"/>
      <c r="Q79" s="81"/>
      <c r="R79" s="81"/>
      <c r="S79" s="81"/>
      <c r="T79" s="81"/>
      <c r="U79" s="3"/>
      <c r="V79" s="88"/>
      <c r="W79" s="88"/>
      <c r="X79" s="88"/>
      <c r="Y79" s="88"/>
      <c r="Z79" s="88"/>
      <c r="AA79" s="88"/>
      <c r="AB79" s="88"/>
      <c r="AC79" s="88"/>
      <c r="AE79">
        <f t="shared" si="5"/>
        <v>-79</v>
      </c>
      <c r="AF79" s="113">
        <f t="shared" si="6"/>
        <v>1.304576931015696E-3</v>
      </c>
      <c r="AG79" s="97"/>
      <c r="AH79" s="97"/>
      <c r="AI79" s="97"/>
      <c r="AJ79" s="97"/>
      <c r="AK79" s="97"/>
      <c r="AL79" s="97"/>
      <c r="AM79" s="97"/>
      <c r="AN79" s="97"/>
    </row>
    <row r="80" spans="1:41" ht="14">
      <c r="A80">
        <f t="shared" si="3"/>
        <v>-78</v>
      </c>
      <c r="B80" s="21">
        <v>2</v>
      </c>
      <c r="C80" s="26">
        <f t="shared" si="4"/>
        <v>1.0129686160647853E-2</v>
      </c>
      <c r="D80" s="26"/>
      <c r="E80" s="26"/>
      <c r="F80" s="26"/>
      <c r="G80" s="26"/>
      <c r="H80" s="26"/>
      <c r="I80" s="26"/>
      <c r="J80" s="26"/>
      <c r="K80" s="26"/>
      <c r="L80" s="26"/>
      <c r="M80" s="80"/>
      <c r="N80" s="80"/>
      <c r="O80" s="80"/>
      <c r="P80" s="81"/>
      <c r="Q80" s="81"/>
      <c r="R80" s="81"/>
      <c r="S80" s="81"/>
      <c r="T80" s="81"/>
      <c r="U80" s="3"/>
      <c r="V80" s="88"/>
      <c r="W80" s="88"/>
      <c r="X80" s="88"/>
      <c r="Y80" s="88"/>
      <c r="Z80" s="88"/>
      <c r="AA80" s="88"/>
      <c r="AB80" s="88"/>
      <c r="AC80" s="88"/>
      <c r="AE80">
        <f t="shared" si="5"/>
        <v>-78</v>
      </c>
      <c r="AF80" s="113">
        <f t="shared" si="6"/>
        <v>1.0129686160647853E-2</v>
      </c>
      <c r="AG80" s="97"/>
      <c r="AH80" s="97"/>
      <c r="AI80" s="97"/>
      <c r="AJ80" s="97"/>
      <c r="AK80" s="97"/>
      <c r="AL80" s="97"/>
      <c r="AM80" s="97"/>
      <c r="AN80" s="97"/>
    </row>
    <row r="81" spans="1:40" ht="14">
      <c r="A81">
        <f t="shared" si="3"/>
        <v>-77</v>
      </c>
      <c r="B81" s="21">
        <v>3</v>
      </c>
      <c r="C81" s="26">
        <f t="shared" si="4"/>
        <v>3.3185586831962252E-2</v>
      </c>
      <c r="D81" s="26"/>
      <c r="E81" s="26"/>
      <c r="F81" s="26"/>
      <c r="G81" s="26"/>
      <c r="H81" s="26"/>
      <c r="I81" s="26"/>
      <c r="J81" s="26"/>
      <c r="K81" s="26"/>
      <c r="L81" s="26"/>
      <c r="M81" s="80"/>
      <c r="N81" s="80"/>
      <c r="O81" s="80"/>
      <c r="P81" s="81"/>
      <c r="Q81" s="81"/>
      <c r="R81" s="81"/>
      <c r="S81" s="81"/>
      <c r="T81" s="81"/>
      <c r="U81" s="3"/>
      <c r="V81" s="88"/>
      <c r="W81" s="88"/>
      <c r="X81" s="88"/>
      <c r="Y81" s="88"/>
      <c r="Z81" s="88"/>
      <c r="AA81" s="88"/>
      <c r="AB81" s="88"/>
      <c r="AC81" s="88"/>
      <c r="AE81">
        <f t="shared" si="5"/>
        <v>-77</v>
      </c>
      <c r="AF81" s="113">
        <f t="shared" si="6"/>
        <v>3.3185586831962252E-2</v>
      </c>
      <c r="AG81" s="97"/>
      <c r="AH81" s="97"/>
      <c r="AI81" s="97"/>
      <c r="AJ81" s="97"/>
      <c r="AK81" s="97"/>
      <c r="AL81" s="97"/>
      <c r="AM81" s="97"/>
      <c r="AN81" s="97"/>
    </row>
    <row r="82" spans="1:40" ht="14">
      <c r="A82">
        <f t="shared" si="3"/>
        <v>-76</v>
      </c>
      <c r="B82" s="21">
        <v>4</v>
      </c>
      <c r="C82" s="26">
        <f t="shared" si="4"/>
        <v>7.6364034925272523E-2</v>
      </c>
      <c r="D82" s="26"/>
      <c r="E82" s="26"/>
      <c r="F82" s="26"/>
      <c r="G82" s="26"/>
      <c r="H82" s="26"/>
      <c r="I82" s="26"/>
      <c r="J82" s="26"/>
      <c r="K82" s="26"/>
      <c r="L82" s="26"/>
      <c r="M82" s="80"/>
      <c r="N82" s="80"/>
      <c r="O82" s="80"/>
      <c r="P82" s="81"/>
      <c r="Q82" s="81"/>
      <c r="R82" s="81"/>
      <c r="S82" s="81"/>
      <c r="T82" s="81"/>
      <c r="U82" s="3"/>
      <c r="V82" s="88"/>
      <c r="W82" s="88"/>
      <c r="X82" s="88"/>
      <c r="Y82" s="88"/>
      <c r="Z82" s="88"/>
      <c r="AA82" s="88"/>
      <c r="AB82" s="88"/>
      <c r="AC82" s="88"/>
      <c r="AE82">
        <f t="shared" si="5"/>
        <v>-76</v>
      </c>
      <c r="AF82" s="113">
        <f t="shared" si="6"/>
        <v>7.6364034925272523E-2</v>
      </c>
      <c r="AG82" s="97"/>
      <c r="AH82" s="97"/>
      <c r="AI82" s="97"/>
      <c r="AJ82" s="97"/>
      <c r="AK82" s="97"/>
      <c r="AL82" s="97"/>
      <c r="AM82" s="97"/>
      <c r="AN82" s="97"/>
    </row>
    <row r="83" spans="1:40" ht="14">
      <c r="A83">
        <f t="shared" si="3"/>
        <v>-75</v>
      </c>
      <c r="B83" s="21">
        <v>5</v>
      </c>
      <c r="C83" s="26">
        <f t="shared" si="4"/>
        <v>0.14480564018396114</v>
      </c>
      <c r="D83" s="26"/>
      <c r="E83" s="26"/>
      <c r="F83" s="26"/>
      <c r="G83" s="26"/>
      <c r="H83" s="26"/>
      <c r="I83" s="26"/>
      <c r="J83" s="26"/>
      <c r="K83" s="26"/>
      <c r="L83" s="26"/>
      <c r="M83" s="80"/>
      <c r="N83" s="80"/>
      <c r="O83" s="80"/>
      <c r="P83" s="81"/>
      <c r="Q83" s="81"/>
      <c r="R83" s="81"/>
      <c r="S83" s="81"/>
      <c r="T83" s="81"/>
      <c r="U83" s="3"/>
      <c r="V83" s="88"/>
      <c r="W83" s="88"/>
      <c r="X83" s="88"/>
      <c r="Y83" s="88"/>
      <c r="Z83" s="88"/>
      <c r="AA83" s="88"/>
      <c r="AB83" s="88"/>
      <c r="AC83" s="88"/>
      <c r="AE83">
        <f t="shared" si="5"/>
        <v>-75</v>
      </c>
      <c r="AF83" s="113">
        <f t="shared" si="6"/>
        <v>0.14480564018396114</v>
      </c>
      <c r="AG83" s="97"/>
      <c r="AH83" s="97"/>
      <c r="AI83" s="97"/>
      <c r="AJ83" s="97"/>
      <c r="AK83" s="97"/>
      <c r="AL83" s="97"/>
      <c r="AM83" s="97"/>
      <c r="AN83" s="97"/>
    </row>
    <row r="84" spans="1:40" ht="14">
      <c r="A84">
        <f t="shared" si="3"/>
        <v>-74</v>
      </c>
      <c r="B84" s="21">
        <v>6</v>
      </c>
      <c r="C84" s="26">
        <f t="shared" si="4"/>
        <v>0.24296247057162773</v>
      </c>
      <c r="D84" s="26"/>
      <c r="E84" s="26"/>
      <c r="F84" s="26"/>
      <c r="G84" s="26"/>
      <c r="H84" s="26"/>
      <c r="I84" s="26"/>
      <c r="J84" s="26"/>
      <c r="K84" s="26"/>
      <c r="L84" s="26"/>
      <c r="M84" s="80"/>
      <c r="N84" s="80"/>
      <c r="O84" s="80"/>
      <c r="P84" s="81"/>
      <c r="Q84" s="81"/>
      <c r="R84" s="81"/>
      <c r="S84" s="81"/>
      <c r="T84" s="81"/>
      <c r="U84" s="3"/>
      <c r="V84" s="88"/>
      <c r="W84" s="88"/>
      <c r="X84" s="88"/>
      <c r="Y84" s="88"/>
      <c r="Z84" s="88"/>
      <c r="AA84" s="88"/>
      <c r="AB84" s="88"/>
      <c r="AC84" s="88"/>
      <c r="AE84">
        <f t="shared" si="5"/>
        <v>-74</v>
      </c>
      <c r="AF84" s="113">
        <f t="shared" si="6"/>
        <v>0.24296247057162773</v>
      </c>
      <c r="AG84" s="97"/>
      <c r="AH84" s="97"/>
      <c r="AI84" s="97"/>
      <c r="AJ84" s="97"/>
      <c r="AK84" s="97"/>
      <c r="AL84" s="97"/>
      <c r="AM84" s="97"/>
      <c r="AN84" s="97"/>
    </row>
    <row r="85" spans="1:40" ht="14">
      <c r="A85">
        <f t="shared" si="3"/>
        <v>-73</v>
      </c>
      <c r="B85" s="21">
        <v>7</v>
      </c>
      <c r="C85" s="26">
        <f t="shared" si="4"/>
        <v>0.3746562147086363</v>
      </c>
      <c r="D85" s="26"/>
      <c r="E85" s="26"/>
      <c r="F85" s="26"/>
      <c r="G85" s="26"/>
      <c r="H85" s="26"/>
      <c r="I85" s="26"/>
      <c r="J85" s="26"/>
      <c r="K85" s="26"/>
      <c r="L85" s="26"/>
      <c r="M85" s="80"/>
      <c r="N85" s="80"/>
      <c r="O85" s="80"/>
      <c r="P85" s="81"/>
      <c r="Q85" s="81"/>
      <c r="R85" s="81"/>
      <c r="S85" s="81"/>
      <c r="T85" s="81"/>
      <c r="U85" s="3"/>
      <c r="V85" s="88"/>
      <c r="W85" s="88"/>
      <c r="X85" s="88"/>
      <c r="Y85" s="88"/>
      <c r="Z85" s="88"/>
      <c r="AA85" s="88"/>
      <c r="AB85" s="88"/>
      <c r="AC85" s="88"/>
      <c r="AE85">
        <f t="shared" si="5"/>
        <v>-73</v>
      </c>
      <c r="AF85" s="113">
        <f t="shared" si="6"/>
        <v>0.3746562147086363</v>
      </c>
      <c r="AG85" s="97"/>
      <c r="AH85" s="97"/>
      <c r="AI85" s="97"/>
      <c r="AJ85" s="97"/>
      <c r="AK85" s="97"/>
      <c r="AL85" s="97"/>
      <c r="AM85" s="97"/>
      <c r="AN85" s="97"/>
    </row>
    <row r="86" spans="1:40" ht="14">
      <c r="A86">
        <f t="shared" si="3"/>
        <v>-72</v>
      </c>
      <c r="B86" s="21">
        <v>8</v>
      </c>
      <c r="C86" s="26">
        <f t="shared" si="4"/>
        <v>0.54313219331353713</v>
      </c>
      <c r="D86" s="26"/>
      <c r="E86" s="26"/>
      <c r="F86" s="26"/>
      <c r="G86" s="26"/>
      <c r="H86" s="26"/>
      <c r="I86" s="26"/>
      <c r="J86" s="26"/>
      <c r="K86" s="26"/>
      <c r="L86" s="26"/>
      <c r="M86" s="80"/>
      <c r="N86" s="80"/>
      <c r="O86" s="80"/>
      <c r="P86" s="81"/>
      <c r="Q86" s="81"/>
      <c r="R86" s="81"/>
      <c r="S86" s="81"/>
      <c r="T86" s="81"/>
      <c r="U86" s="3"/>
      <c r="V86" s="88"/>
      <c r="W86" s="88"/>
      <c r="X86" s="88"/>
      <c r="Y86" s="88"/>
      <c r="Z86" s="88"/>
      <c r="AA86" s="88"/>
      <c r="AB86" s="88"/>
      <c r="AC86" s="88"/>
      <c r="AE86">
        <f t="shared" si="5"/>
        <v>-72</v>
      </c>
      <c r="AF86" s="113">
        <f t="shared" si="6"/>
        <v>0.54313219331353713</v>
      </c>
      <c r="AG86" s="97"/>
      <c r="AH86" s="97"/>
      <c r="AI86" s="97"/>
      <c r="AJ86" s="97"/>
      <c r="AK86" s="97"/>
      <c r="AL86" s="97"/>
      <c r="AM86" s="97"/>
      <c r="AN86" s="97"/>
    </row>
    <row r="87" spans="1:40" ht="14">
      <c r="A87">
        <f t="shared" si="3"/>
        <v>-71</v>
      </c>
      <c r="B87" s="21">
        <v>9</v>
      </c>
      <c r="C87" s="26">
        <f t="shared" si="4"/>
        <v>0.7511094924364492</v>
      </c>
      <c r="D87" s="26"/>
      <c r="E87" s="26"/>
      <c r="F87" s="26"/>
      <c r="G87" s="26"/>
      <c r="H87" s="26"/>
      <c r="I87" s="26"/>
      <c r="J87" s="26"/>
      <c r="K87" s="26"/>
      <c r="L87" s="26"/>
      <c r="M87" s="80"/>
      <c r="N87" s="80"/>
      <c r="O87" s="80"/>
      <c r="P87" s="81"/>
      <c r="Q87" s="81"/>
      <c r="R87" s="81"/>
      <c r="S87" s="81"/>
      <c r="T87" s="81"/>
      <c r="U87" s="3"/>
      <c r="V87" s="88"/>
      <c r="W87" s="88"/>
      <c r="X87" s="88"/>
      <c r="Y87" s="88"/>
      <c r="Z87" s="88"/>
      <c r="AA87" s="88"/>
      <c r="AB87" s="88"/>
      <c r="AC87" s="88"/>
      <c r="AE87">
        <f t="shared" si="5"/>
        <v>-71</v>
      </c>
      <c r="AF87" s="113">
        <f t="shared" si="6"/>
        <v>0.7511094924364492</v>
      </c>
      <c r="AG87" s="97"/>
      <c r="AH87" s="97"/>
      <c r="AI87" s="97"/>
      <c r="AJ87" s="97"/>
      <c r="AK87" s="97"/>
      <c r="AL87" s="97"/>
      <c r="AM87" s="97"/>
      <c r="AN87" s="97"/>
    </row>
    <row r="88" spans="1:40" ht="14">
      <c r="A88">
        <f t="shared" si="3"/>
        <v>-70</v>
      </c>
      <c r="B88" s="21">
        <v>10</v>
      </c>
      <c r="C88" s="26">
        <f t="shared" si="4"/>
        <v>1.000827474146279</v>
      </c>
      <c r="D88" s="26"/>
      <c r="E88" s="26"/>
      <c r="F88" s="26"/>
      <c r="G88" s="26"/>
      <c r="H88" s="26"/>
      <c r="I88" s="26"/>
      <c r="J88" s="26"/>
      <c r="K88" s="26"/>
      <c r="L88" s="26"/>
      <c r="M88" s="80"/>
      <c r="N88" s="80"/>
      <c r="O88" s="80"/>
      <c r="P88" s="81"/>
      <c r="Q88" s="81"/>
      <c r="R88" s="81"/>
      <c r="S88" s="81"/>
      <c r="T88" s="81"/>
      <c r="U88" s="3"/>
      <c r="V88" s="88"/>
      <c r="W88" s="88"/>
      <c r="X88" s="88"/>
      <c r="Y88" s="88"/>
      <c r="Z88" s="88"/>
      <c r="AA88" s="88"/>
      <c r="AB88" s="88"/>
      <c r="AC88" s="88"/>
      <c r="AE88">
        <f t="shared" si="5"/>
        <v>-70</v>
      </c>
      <c r="AF88" s="113">
        <f t="shared" si="6"/>
        <v>1.000827474146279</v>
      </c>
      <c r="AG88" s="97"/>
      <c r="AH88" s="97"/>
      <c r="AI88" s="97"/>
      <c r="AJ88" s="97"/>
      <c r="AK88" s="97"/>
      <c r="AL88" s="97"/>
      <c r="AM88" s="97"/>
      <c r="AN88" s="97"/>
    </row>
    <row r="89" spans="1:40" ht="14">
      <c r="A89">
        <f t="shared" si="3"/>
        <v>-69</v>
      </c>
      <c r="B89" s="21">
        <v>11</v>
      </c>
      <c r="C89" s="26">
        <f t="shared" si="4"/>
        <v>1.2940889042547259</v>
      </c>
      <c r="D89" s="26"/>
      <c r="E89" s="26"/>
      <c r="F89" s="26"/>
      <c r="G89" s="26"/>
      <c r="H89" s="26"/>
      <c r="I89" s="26"/>
      <c r="J89" s="26"/>
      <c r="K89" s="26"/>
      <c r="L89" s="26"/>
      <c r="M89" s="80"/>
      <c r="N89" s="80"/>
      <c r="O89" s="80"/>
      <c r="P89" s="81"/>
      <c r="Q89" s="81"/>
      <c r="R89" s="81"/>
      <c r="S89" s="81"/>
      <c r="T89" s="81"/>
      <c r="U89" s="3"/>
      <c r="V89" s="88"/>
      <c r="W89" s="88"/>
      <c r="X89" s="88"/>
      <c r="Y89" s="88"/>
      <c r="Z89" s="88"/>
      <c r="AA89" s="88"/>
      <c r="AB89" s="88"/>
      <c r="AC89" s="88"/>
      <c r="AE89">
        <f t="shared" si="5"/>
        <v>-69</v>
      </c>
      <c r="AF89" s="113">
        <f t="shared" si="6"/>
        <v>1.2940889042547259</v>
      </c>
      <c r="AG89" s="97"/>
      <c r="AH89" s="97"/>
      <c r="AI89" s="97"/>
      <c r="AJ89" s="97"/>
      <c r="AK89" s="97"/>
      <c r="AL89" s="97"/>
      <c r="AM89" s="97"/>
      <c r="AN89" s="97"/>
    </row>
    <row r="90" spans="1:40" ht="14">
      <c r="A90">
        <f t="shared" si="3"/>
        <v>-68</v>
      </c>
      <c r="B90" s="21">
        <v>12</v>
      </c>
      <c r="C90" s="26">
        <f t="shared" si="4"/>
        <v>1.6322999215645968</v>
      </c>
      <c r="D90" s="26"/>
      <c r="E90" s="26"/>
      <c r="F90" s="26"/>
      <c r="G90" s="26"/>
      <c r="H90" s="26"/>
      <c r="I90" s="26"/>
      <c r="J90" s="26"/>
      <c r="K90" s="26"/>
      <c r="L90" s="26"/>
      <c r="M90" s="80"/>
      <c r="N90" s="80"/>
      <c r="O90" s="80"/>
      <c r="P90" s="81"/>
      <c r="Q90" s="81"/>
      <c r="R90" s="81"/>
      <c r="S90" s="81"/>
      <c r="T90" s="81"/>
      <c r="U90" s="3"/>
      <c r="V90" s="88"/>
      <c r="W90" s="88"/>
      <c r="X90" s="88"/>
      <c r="Y90" s="88"/>
      <c r="Z90" s="88"/>
      <c r="AA90" s="88"/>
      <c r="AB90" s="88"/>
      <c r="AC90" s="88"/>
      <c r="AE90">
        <f t="shared" si="5"/>
        <v>-68</v>
      </c>
      <c r="AF90" s="113">
        <f t="shared" si="6"/>
        <v>1.6322999215645968</v>
      </c>
      <c r="AG90" s="97"/>
      <c r="AH90" s="97"/>
      <c r="AI90" s="97"/>
      <c r="AJ90" s="97"/>
      <c r="AK90" s="97"/>
      <c r="AL90" s="97"/>
      <c r="AM90" s="97"/>
      <c r="AN90" s="97"/>
    </row>
    <row r="91" spans="1:40" ht="14">
      <c r="A91">
        <f t="shared" si="3"/>
        <v>-67</v>
      </c>
      <c r="B91" s="21">
        <v>13</v>
      </c>
      <c r="C91" s="26">
        <f t="shared" si="4"/>
        <v>2.0165070589588248</v>
      </c>
      <c r="D91" s="26"/>
      <c r="E91" s="26"/>
      <c r="F91" s="26"/>
      <c r="G91" s="26"/>
      <c r="H91" s="26"/>
      <c r="I91" s="26"/>
      <c r="J91" s="26"/>
      <c r="K91" s="26"/>
      <c r="L91" s="26"/>
      <c r="M91" s="80"/>
      <c r="N91" s="80"/>
      <c r="O91" s="80"/>
      <c r="P91" s="81"/>
      <c r="Q91" s="81"/>
      <c r="R91" s="81"/>
      <c r="S91" s="81"/>
      <c r="T91" s="81"/>
      <c r="U91" s="3"/>
      <c r="V91" s="88"/>
      <c r="W91" s="88"/>
      <c r="X91" s="88"/>
      <c r="Y91" s="88"/>
      <c r="Z91" s="88"/>
      <c r="AA91" s="88"/>
      <c r="AB91" s="88"/>
      <c r="AC91" s="88"/>
      <c r="AE91">
        <f t="shared" si="5"/>
        <v>-67</v>
      </c>
      <c r="AF91" s="113">
        <f t="shared" si="6"/>
        <v>2.0165070589588248</v>
      </c>
      <c r="AG91" s="97"/>
      <c r="AH91" s="97"/>
      <c r="AI91" s="97"/>
      <c r="AJ91" s="97"/>
      <c r="AK91" s="97"/>
      <c r="AL91" s="97"/>
      <c r="AM91" s="97"/>
      <c r="AN91" s="97"/>
    </row>
    <row r="92" spans="1:40" ht="14">
      <c r="A92">
        <f t="shared" si="3"/>
        <v>-66</v>
      </c>
      <c r="B92" s="21">
        <v>14</v>
      </c>
      <c r="C92" s="26">
        <f t="shared" si="4"/>
        <v>2.4474315133441817</v>
      </c>
      <c r="D92" s="26"/>
      <c r="E92" s="26"/>
      <c r="F92" s="26"/>
      <c r="G92" s="26"/>
      <c r="H92" s="26"/>
      <c r="I92" s="26"/>
      <c r="J92" s="26"/>
      <c r="K92" s="26"/>
      <c r="L92" s="26"/>
      <c r="M92" s="80"/>
      <c r="N92" s="80"/>
      <c r="O92" s="80"/>
      <c r="P92" s="81"/>
      <c r="Q92" s="81"/>
      <c r="R92" s="81"/>
      <c r="S92" s="81"/>
      <c r="T92" s="81"/>
      <c r="U92" s="3"/>
      <c r="V92" s="88"/>
      <c r="W92" s="88"/>
      <c r="X92" s="88"/>
      <c r="Y92" s="88"/>
      <c r="Z92" s="88"/>
      <c r="AA92" s="88"/>
      <c r="AB92" s="88"/>
      <c r="AC92" s="88"/>
      <c r="AE92">
        <f t="shared" si="5"/>
        <v>-66</v>
      </c>
      <c r="AF92" s="113">
        <f t="shared" si="6"/>
        <v>2.4474315133441817</v>
      </c>
      <c r="AG92" s="97"/>
      <c r="AH92" s="97"/>
      <c r="AI92" s="97"/>
      <c r="AJ92" s="97"/>
      <c r="AK92" s="97"/>
      <c r="AL92" s="97"/>
      <c r="AM92" s="97"/>
      <c r="AN92" s="97"/>
    </row>
    <row r="93" spans="1:40" ht="14">
      <c r="A93">
        <f t="shared" si="3"/>
        <v>-65</v>
      </c>
      <c r="B93" s="21">
        <v>15</v>
      </c>
      <c r="C93" s="26">
        <f t="shared" si="4"/>
        <v>2.9255008489777561</v>
      </c>
      <c r="D93" s="26"/>
      <c r="E93" s="26"/>
      <c r="F93" s="26"/>
      <c r="G93" s="26"/>
      <c r="H93" s="26"/>
      <c r="I93" s="26"/>
      <c r="J93" s="26"/>
      <c r="K93" s="26"/>
      <c r="L93" s="26"/>
      <c r="M93" s="80"/>
      <c r="N93" s="80"/>
      <c r="O93" s="80"/>
      <c r="P93" s="81"/>
      <c r="Q93" s="81"/>
      <c r="R93" s="81"/>
      <c r="S93" s="81"/>
      <c r="T93" s="81"/>
      <c r="U93" s="3"/>
      <c r="V93" s="88"/>
      <c r="W93" s="88"/>
      <c r="X93" s="88"/>
      <c r="Y93" s="88"/>
      <c r="Z93" s="88"/>
      <c r="AA93" s="88"/>
      <c r="AB93" s="88"/>
      <c r="AC93" s="88"/>
      <c r="AE93">
        <f t="shared" si="5"/>
        <v>-65</v>
      </c>
      <c r="AF93" s="113">
        <f t="shared" si="6"/>
        <v>2.9255008489777561</v>
      </c>
      <c r="AG93" s="97"/>
      <c r="AH93" s="97"/>
      <c r="AI93" s="97"/>
      <c r="AJ93" s="97"/>
      <c r="AK93" s="97"/>
      <c r="AL93" s="97"/>
      <c r="AM93" s="97"/>
      <c r="AN93" s="97"/>
    </row>
    <row r="94" spans="1:40" ht="14">
      <c r="A94">
        <f t="shared" si="3"/>
        <v>-64</v>
      </c>
      <c r="B94" s="21">
        <v>16</v>
      </c>
      <c r="C94" s="26">
        <f t="shared" si="4"/>
        <v>3.4508783069854148</v>
      </c>
      <c r="D94" s="26"/>
      <c r="E94" s="26"/>
      <c r="F94" s="26"/>
      <c r="G94" s="26"/>
      <c r="H94" s="26"/>
      <c r="I94" s="26"/>
      <c r="J94" s="26"/>
      <c r="K94" s="26"/>
      <c r="L94" s="26"/>
      <c r="M94" s="80"/>
      <c r="N94" s="80"/>
      <c r="O94" s="80"/>
      <c r="P94" s="81"/>
      <c r="Q94" s="81"/>
      <c r="R94" s="81"/>
      <c r="S94" s="81"/>
      <c r="T94" s="81"/>
      <c r="U94" s="3"/>
      <c r="V94" s="88"/>
      <c r="W94" s="88"/>
      <c r="X94" s="88"/>
      <c r="Y94" s="88"/>
      <c r="Z94" s="88"/>
      <c r="AA94" s="88"/>
      <c r="AB94" s="88"/>
      <c r="AC94" s="88"/>
      <c r="AE94">
        <f t="shared" si="5"/>
        <v>-64</v>
      </c>
      <c r="AF94" s="113">
        <f t="shared" si="6"/>
        <v>3.4508783069854148</v>
      </c>
      <c r="AG94" s="97"/>
      <c r="AH94" s="97"/>
      <c r="AI94" s="97"/>
      <c r="AJ94" s="97"/>
      <c r="AK94" s="97"/>
      <c r="AL94" s="97"/>
      <c r="AM94" s="97"/>
      <c r="AN94" s="97"/>
    </row>
    <row r="95" spans="1:40" ht="14">
      <c r="A95">
        <f t="shared" si="3"/>
        <v>-63</v>
      </c>
      <c r="B95" s="21">
        <v>17</v>
      </c>
      <c r="C95" s="26">
        <f t="shared" si="4"/>
        <v>4.0234898828837915</v>
      </c>
      <c r="D95" s="26"/>
      <c r="E95" s="26"/>
      <c r="F95" s="26"/>
      <c r="G95" s="26"/>
      <c r="H95" s="26"/>
      <c r="I95" s="26"/>
      <c r="J95" s="26"/>
      <c r="K95" s="26"/>
      <c r="L95" s="26"/>
      <c r="M95" s="80"/>
      <c r="N95" s="80"/>
      <c r="O95" s="80"/>
      <c r="P95" s="81"/>
      <c r="Q95" s="81"/>
      <c r="R95" s="81"/>
      <c r="S95" s="81"/>
      <c r="T95" s="81"/>
      <c r="U95" s="3"/>
      <c r="V95" s="88"/>
      <c r="W95" s="88"/>
      <c r="X95" s="88"/>
      <c r="Y95" s="88"/>
      <c r="Z95" s="88"/>
      <c r="AA95" s="88"/>
      <c r="AB95" s="88"/>
      <c r="AC95" s="88"/>
      <c r="AE95">
        <f t="shared" si="5"/>
        <v>-63</v>
      </c>
      <c r="AF95" s="113">
        <f t="shared" si="6"/>
        <v>4.0234898828837915</v>
      </c>
      <c r="AG95" s="97"/>
      <c r="AH95" s="97"/>
      <c r="AI95" s="97"/>
      <c r="AJ95" s="97"/>
      <c r="AK95" s="97"/>
      <c r="AL95" s="97"/>
      <c r="AM95" s="97"/>
      <c r="AN95" s="97"/>
    </row>
    <row r="96" spans="1:40" ht="14">
      <c r="A96">
        <f t="shared" si="3"/>
        <v>-62</v>
      </c>
      <c r="B96" s="21">
        <v>18</v>
      </c>
      <c r="C96" s="26">
        <f t="shared" si="4"/>
        <v>4.643049323596939</v>
      </c>
      <c r="D96" s="26"/>
      <c r="E96" s="26"/>
      <c r="F96" s="26"/>
      <c r="G96" s="26"/>
      <c r="H96" s="26"/>
      <c r="I96" s="26"/>
      <c r="J96" s="26"/>
      <c r="K96" s="26"/>
      <c r="L96" s="26"/>
      <c r="M96" s="80"/>
      <c r="N96" s="80"/>
      <c r="O96" s="80"/>
      <c r="P96" s="81"/>
      <c r="Q96" s="81"/>
      <c r="R96" s="81"/>
      <c r="S96" s="81"/>
      <c r="T96" s="81"/>
      <c r="U96" s="3"/>
      <c r="V96" s="88"/>
      <c r="W96" s="88"/>
      <c r="X96" s="88"/>
      <c r="Y96" s="88"/>
      <c r="Z96" s="88"/>
      <c r="AA96" s="88"/>
      <c r="AB96" s="88"/>
      <c r="AC96" s="88"/>
      <c r="AE96">
        <f t="shared" si="5"/>
        <v>-62</v>
      </c>
      <c r="AF96" s="113">
        <f t="shared" si="6"/>
        <v>4.643049323596939</v>
      </c>
      <c r="AG96" s="97"/>
      <c r="AH96" s="97"/>
      <c r="AI96" s="97"/>
      <c r="AJ96" s="97"/>
      <c r="AK96" s="97"/>
      <c r="AL96" s="97"/>
      <c r="AM96" s="97"/>
      <c r="AN96" s="97"/>
    </row>
    <row r="97" spans="1:40" ht="14">
      <c r="A97">
        <f t="shared" si="3"/>
        <v>-61</v>
      </c>
      <c r="B97" s="21">
        <v>19</v>
      </c>
      <c r="C97" s="26">
        <f t="shared" si="4"/>
        <v>5.3090811857751401</v>
      </c>
      <c r="D97" s="26"/>
      <c r="E97" s="26"/>
      <c r="F97" s="26"/>
      <c r="G97" s="26"/>
      <c r="H97" s="26"/>
      <c r="I97" s="26"/>
      <c r="J97" s="26"/>
      <c r="K97" s="26"/>
      <c r="L97" s="26"/>
      <c r="M97" s="80"/>
      <c r="N97" s="80"/>
      <c r="O97" s="80"/>
      <c r="P97" s="81"/>
      <c r="Q97" s="81"/>
      <c r="R97" s="81"/>
      <c r="S97" s="81"/>
      <c r="T97" s="81"/>
      <c r="U97" s="3"/>
      <c r="V97" s="88"/>
      <c r="W97" s="88"/>
      <c r="X97" s="88"/>
      <c r="Y97" s="88"/>
      <c r="Z97" s="88"/>
      <c r="AA97" s="88"/>
      <c r="AB97" s="88"/>
      <c r="AC97" s="88"/>
      <c r="AE97">
        <f t="shared" si="5"/>
        <v>-61</v>
      </c>
      <c r="AF97" s="113">
        <f t="shared" si="6"/>
        <v>5.3090811857751401</v>
      </c>
      <c r="AG97" s="97"/>
      <c r="AH97" s="97"/>
      <c r="AI97" s="97"/>
      <c r="AJ97" s="97"/>
      <c r="AK97" s="97"/>
      <c r="AL97" s="97"/>
      <c r="AM97" s="97"/>
      <c r="AN97" s="97"/>
    </row>
    <row r="98" spans="1:40" ht="14">
      <c r="A98">
        <f t="shared" si="3"/>
        <v>-60</v>
      </c>
      <c r="B98" s="21">
        <v>20</v>
      </c>
      <c r="C98" s="26">
        <f t="shared" si="4"/>
        <v>6.020942088137498</v>
      </c>
      <c r="D98" s="26"/>
      <c r="E98" s="26"/>
      <c r="F98" s="26"/>
      <c r="G98" s="26"/>
      <c r="H98" s="26"/>
      <c r="I98" s="26"/>
      <c r="J98" s="26"/>
      <c r="K98" s="26"/>
      <c r="L98" s="26"/>
      <c r="M98" s="80"/>
      <c r="N98" s="80"/>
      <c r="O98" s="80"/>
      <c r="P98" s="81"/>
      <c r="Q98" s="81"/>
      <c r="R98" s="81"/>
      <c r="S98" s="81"/>
      <c r="T98" s="81"/>
      <c r="U98" s="3"/>
      <c r="V98" s="88"/>
      <c r="W98" s="88"/>
      <c r="X98" s="88"/>
      <c r="Y98" s="88"/>
      <c r="Z98" s="88"/>
      <c r="AA98" s="88"/>
      <c r="AB98" s="88"/>
      <c r="AC98" s="88"/>
      <c r="AE98">
        <f t="shared" si="5"/>
        <v>-60</v>
      </c>
      <c r="AF98" s="113">
        <f t="shared" si="6"/>
        <v>6.020942088137498</v>
      </c>
      <c r="AG98" s="97"/>
      <c r="AH98" s="97"/>
      <c r="AI98" s="97"/>
      <c r="AJ98" s="97"/>
      <c r="AK98" s="97"/>
      <c r="AL98" s="97"/>
      <c r="AM98" s="97"/>
      <c r="AN98" s="97"/>
    </row>
    <row r="99" spans="1:40" ht="14">
      <c r="A99">
        <f t="shared" si="3"/>
        <v>-59</v>
      </c>
      <c r="B99" s="21">
        <v>21</v>
      </c>
      <c r="C99" s="26">
        <f t="shared" si="4"/>
        <v>6.7778402820363954</v>
      </c>
      <c r="D99" s="26"/>
      <c r="E99" s="26"/>
      <c r="F99" s="26"/>
      <c r="G99" s="26"/>
      <c r="H99" s="26"/>
      <c r="I99" s="26"/>
      <c r="J99" s="26"/>
      <c r="K99" s="26"/>
      <c r="L99" s="26"/>
      <c r="M99" s="80"/>
      <c r="N99" s="80"/>
      <c r="O99" s="80"/>
      <c r="P99" s="81"/>
      <c r="Q99" s="81"/>
      <c r="R99" s="81"/>
      <c r="S99" s="81"/>
      <c r="T99" s="81"/>
      <c r="U99" s="3"/>
      <c r="V99" s="88"/>
      <c r="W99" s="88"/>
      <c r="X99" s="88"/>
      <c r="Y99" s="88"/>
      <c r="Z99" s="88"/>
      <c r="AA99" s="88"/>
      <c r="AB99" s="88"/>
      <c r="AC99" s="88"/>
      <c r="AE99">
        <f t="shared" si="5"/>
        <v>-59</v>
      </c>
      <c r="AF99" s="113">
        <f t="shared" si="6"/>
        <v>6.7778402820363954</v>
      </c>
      <c r="AG99" s="97"/>
      <c r="AH99" s="97"/>
      <c r="AI99" s="97"/>
      <c r="AJ99" s="97"/>
      <c r="AK99" s="97"/>
      <c r="AL99" s="97"/>
      <c r="AM99" s="97"/>
      <c r="AN99" s="97"/>
    </row>
    <row r="100" spans="1:40" ht="14">
      <c r="A100">
        <f t="shared" si="3"/>
        <v>-58</v>
      </c>
      <c r="B100" s="21">
        <v>22</v>
      </c>
      <c r="C100" s="26">
        <f t="shared" si="4"/>
        <v>7.5788536564457836</v>
      </c>
      <c r="D100" s="26"/>
      <c r="E100" s="26"/>
      <c r="F100" s="26"/>
      <c r="G100" s="26"/>
      <c r="H100" s="26"/>
      <c r="I100" s="26"/>
      <c r="J100" s="26"/>
      <c r="K100" s="26"/>
      <c r="L100" s="26"/>
      <c r="M100" s="80"/>
      <c r="N100" s="80"/>
      <c r="O100" s="80"/>
      <c r="P100" s="81"/>
      <c r="Q100" s="81"/>
      <c r="R100" s="81"/>
      <c r="S100" s="81"/>
      <c r="T100" s="81"/>
      <c r="U100" s="3"/>
      <c r="V100" s="88"/>
      <c r="W100" s="88"/>
      <c r="X100" s="88"/>
      <c r="Y100" s="88"/>
      <c r="Z100" s="88"/>
      <c r="AA100" s="88"/>
      <c r="AB100" s="88"/>
      <c r="AC100" s="88"/>
      <c r="AE100">
        <f t="shared" si="5"/>
        <v>-58</v>
      </c>
      <c r="AF100" s="113">
        <f t="shared" si="6"/>
        <v>7.5788536564457836</v>
      </c>
      <c r="AG100" s="97"/>
      <c r="AH100" s="97"/>
      <c r="AI100" s="97"/>
      <c r="AJ100" s="97"/>
      <c r="AK100" s="97"/>
      <c r="AL100" s="97"/>
      <c r="AM100" s="97"/>
      <c r="AN100" s="97"/>
    </row>
    <row r="101" spans="1:40" ht="14">
      <c r="A101">
        <f t="shared" si="3"/>
        <v>-57</v>
      </c>
      <c r="B101" s="21">
        <v>23</v>
      </c>
      <c r="C101" s="26">
        <f t="shared" si="4"/>
        <v>8.4229462860755522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80"/>
      <c r="N101" s="80"/>
      <c r="O101" s="80"/>
      <c r="P101" s="81"/>
      <c r="Q101" s="81"/>
      <c r="R101" s="81"/>
      <c r="S101" s="81"/>
      <c r="T101" s="81"/>
      <c r="U101" s="3"/>
      <c r="V101" s="88"/>
      <c r="W101" s="88"/>
      <c r="X101" s="88"/>
      <c r="Y101" s="88"/>
      <c r="Z101" s="88"/>
      <c r="AA101" s="88"/>
      <c r="AB101" s="88"/>
      <c r="AC101" s="88"/>
      <c r="AE101">
        <f t="shared" si="5"/>
        <v>-57</v>
      </c>
      <c r="AF101" s="113">
        <f t="shared" si="6"/>
        <v>8.4229462860755522</v>
      </c>
      <c r="AG101" s="97"/>
      <c r="AH101" s="97"/>
      <c r="AI101" s="97"/>
      <c r="AJ101" s="97"/>
      <c r="AK101" s="97"/>
      <c r="AL101" s="97"/>
      <c r="AM101" s="97"/>
      <c r="AN101" s="97"/>
    </row>
    <row r="102" spans="1:40" ht="14">
      <c r="A102">
        <f t="shared" si="3"/>
        <v>-56</v>
      </c>
      <c r="B102" s="21">
        <v>24</v>
      </c>
      <c r="C102" s="26">
        <f t="shared" si="4"/>
        <v>9.3089836242797599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80"/>
      <c r="N102" s="80"/>
      <c r="O102" s="80"/>
      <c r="P102" s="81"/>
      <c r="Q102" s="81"/>
      <c r="R102" s="81"/>
      <c r="S102" s="81"/>
      <c r="T102" s="81"/>
      <c r="U102" s="3"/>
      <c r="V102" s="88"/>
      <c r="W102" s="88"/>
      <c r="X102" s="88"/>
      <c r="Y102" s="88"/>
      <c r="Z102" s="88"/>
      <c r="AA102" s="88"/>
      <c r="AB102" s="88"/>
      <c r="AC102" s="88"/>
      <c r="AE102">
        <f t="shared" si="5"/>
        <v>-56</v>
      </c>
      <c r="AF102" s="113">
        <f t="shared" si="6"/>
        <v>9.3089836242797599</v>
      </c>
      <c r="AG102" s="97"/>
      <c r="AH102" s="97"/>
      <c r="AI102" s="97"/>
      <c r="AJ102" s="97"/>
      <c r="AK102" s="97"/>
      <c r="AL102" s="97"/>
      <c r="AM102" s="97"/>
      <c r="AN102" s="97"/>
    </row>
    <row r="103" spans="1:40" ht="14">
      <c r="A103">
        <f t="shared" si="3"/>
        <v>-55</v>
      </c>
      <c r="B103" s="21">
        <v>25</v>
      </c>
      <c r="C103" s="26">
        <f t="shared" si="4"/>
        <v>10.235746435830315</v>
      </c>
      <c r="D103" s="26"/>
      <c r="E103" s="26"/>
      <c r="F103" s="26"/>
      <c r="G103" s="26"/>
      <c r="H103" s="26" t="s">
        <v>159</v>
      </c>
      <c r="I103" s="26"/>
      <c r="J103" s="26"/>
      <c r="K103" s="26"/>
      <c r="L103" s="26"/>
      <c r="M103" s="80"/>
      <c r="N103" s="80"/>
      <c r="O103" s="80"/>
      <c r="P103" s="81"/>
      <c r="Q103" s="81"/>
      <c r="R103" s="81"/>
      <c r="S103" s="81"/>
      <c r="T103" s="81"/>
      <c r="U103" s="3"/>
      <c r="V103" s="88"/>
      <c r="W103" s="88"/>
      <c r="X103" s="88"/>
      <c r="Y103" s="88"/>
      <c r="Z103" s="88"/>
      <c r="AA103" s="88"/>
      <c r="AB103" s="88"/>
      <c r="AC103" s="88"/>
      <c r="AE103">
        <f t="shared" si="5"/>
        <v>-55</v>
      </c>
      <c r="AF103" s="113">
        <f t="shared" si="6"/>
        <v>10.235746435830315</v>
      </c>
      <c r="AG103" s="97"/>
      <c r="AH103" s="97"/>
      <c r="AI103" s="97"/>
      <c r="AJ103" s="97"/>
      <c r="AK103" s="97"/>
      <c r="AL103" s="97"/>
      <c r="AM103" s="97"/>
      <c r="AN103" s="97"/>
    </row>
    <row r="104" spans="1:40" ht="14">
      <c r="A104">
        <f t="shared" si="3"/>
        <v>-54</v>
      </c>
      <c r="B104" s="21">
        <v>26</v>
      </c>
      <c r="C104" s="26">
        <f t="shared" si="4"/>
        <v>11.201943558441718</v>
      </c>
      <c r="D104" s="26"/>
      <c r="E104" s="26"/>
      <c r="F104" s="26"/>
      <c r="G104" s="26"/>
      <c r="H104" s="26"/>
      <c r="I104" s="26"/>
      <c r="J104" s="26"/>
      <c r="K104" s="26"/>
      <c r="L104" s="26"/>
      <c r="M104" s="80"/>
      <c r="N104" s="80"/>
      <c r="O104" s="80"/>
      <c r="P104" s="81"/>
      <c r="Q104" s="81"/>
      <c r="R104" s="81"/>
      <c r="S104" s="81"/>
      <c r="T104" s="81"/>
      <c r="U104" s="3"/>
      <c r="V104" s="88"/>
      <c r="W104" s="88"/>
      <c r="X104" s="88"/>
      <c r="Y104" s="88"/>
      <c r="Z104" s="88"/>
      <c r="AA104" s="88"/>
      <c r="AB104" s="88"/>
      <c r="AC104" s="88"/>
      <c r="AE104">
        <f t="shared" si="5"/>
        <v>-54</v>
      </c>
      <c r="AF104" s="113">
        <f t="shared" si="6"/>
        <v>11.201943558441718</v>
      </c>
      <c r="AG104" s="97"/>
      <c r="AH104" s="97"/>
      <c r="AI104" s="97"/>
      <c r="AJ104" s="97"/>
      <c r="AK104" s="97"/>
      <c r="AL104" s="97"/>
      <c r="AM104" s="97"/>
      <c r="AN104" s="97"/>
    </row>
    <row r="105" spans="1:40" ht="14">
      <c r="A105">
        <f t="shared" si="3"/>
        <v>-53</v>
      </c>
      <c r="B105" s="21">
        <v>27</v>
      </c>
      <c r="C105" s="26">
        <f t="shared" si="4"/>
        <v>12.206223576133153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80"/>
      <c r="N105" s="80"/>
      <c r="O105" s="80"/>
      <c r="P105" s="81"/>
      <c r="Q105" s="81"/>
      <c r="R105" s="81"/>
      <c r="S105" s="81"/>
      <c r="T105" s="81"/>
      <c r="U105" s="3"/>
      <c r="V105" s="88"/>
      <c r="W105" s="88"/>
      <c r="X105" s="88"/>
      <c r="Y105" s="88"/>
      <c r="Z105" s="88"/>
      <c r="AA105" s="88"/>
      <c r="AB105" s="88"/>
      <c r="AC105" s="88"/>
      <c r="AE105">
        <f t="shared" si="5"/>
        <v>-53</v>
      </c>
      <c r="AF105" s="113">
        <f t="shared" si="6"/>
        <v>12.206223576133153</v>
      </c>
      <c r="AG105" s="97"/>
      <c r="AH105" s="97"/>
      <c r="AI105" s="97"/>
      <c r="AJ105" s="97"/>
      <c r="AK105" s="97"/>
      <c r="AL105" s="97"/>
      <c r="AM105" s="97"/>
      <c r="AN105" s="97"/>
    </row>
    <row r="106" spans="1:40" ht="14">
      <c r="A106">
        <f t="shared" si="3"/>
        <v>-52</v>
      </c>
      <c r="B106" s="21">
        <v>28</v>
      </c>
      <c r="C106" s="26">
        <f t="shared" si="4"/>
        <v>13.247185482076821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80"/>
      <c r="N106" s="80"/>
      <c r="O106" s="80"/>
      <c r="P106" s="81"/>
      <c r="Q106" s="81"/>
      <c r="R106" s="81"/>
      <c r="S106" s="81"/>
      <c r="T106" s="81"/>
      <c r="U106" s="3"/>
      <c r="V106" s="88"/>
      <c r="W106" s="88"/>
      <c r="X106" s="88"/>
      <c r="Y106" s="88"/>
      <c r="Z106" s="88"/>
      <c r="AA106" s="88"/>
      <c r="AB106" s="88"/>
      <c r="AC106" s="88"/>
      <c r="AE106">
        <f t="shared" si="5"/>
        <v>-52</v>
      </c>
      <c r="AF106" s="113">
        <f t="shared" si="6"/>
        <v>13.247185482076821</v>
      </c>
      <c r="AG106" s="97"/>
      <c r="AH106" s="97"/>
      <c r="AI106" s="97"/>
      <c r="AJ106" s="97"/>
      <c r="AK106" s="97"/>
      <c r="AL106" s="97"/>
      <c r="AM106" s="97"/>
      <c r="AN106" s="97"/>
    </row>
    <row r="107" spans="1:40" ht="14">
      <c r="A107">
        <f t="shared" si="3"/>
        <v>-51</v>
      </c>
      <c r="B107" s="21">
        <v>29</v>
      </c>
      <c r="C107" s="26">
        <f t="shared" si="4"/>
        <v>14.323388403485012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80"/>
      <c r="N107" s="80"/>
      <c r="O107" s="80"/>
      <c r="P107" s="81"/>
      <c r="Q107" s="81"/>
      <c r="R107" s="81"/>
      <c r="S107" s="81"/>
      <c r="T107" s="81"/>
      <c r="U107" s="3"/>
      <c r="V107" s="88"/>
      <c r="W107" s="88"/>
      <c r="X107" s="88"/>
      <c r="Y107" s="88"/>
      <c r="Z107" s="88"/>
      <c r="AA107" s="88"/>
      <c r="AB107" s="88"/>
      <c r="AC107" s="88"/>
      <c r="AE107">
        <f t="shared" si="5"/>
        <v>-51</v>
      </c>
      <c r="AF107" s="113">
        <f t="shared" si="6"/>
        <v>14.323388403485012</v>
      </c>
      <c r="AG107" s="97"/>
      <c r="AH107" s="97"/>
      <c r="AI107" s="97"/>
      <c r="AJ107" s="97"/>
      <c r="AK107" s="97"/>
      <c r="AL107" s="97"/>
      <c r="AM107" s="97"/>
      <c r="AN107" s="97"/>
    </row>
    <row r="108" spans="1:40" ht="14">
      <c r="A108">
        <f t="shared" si="3"/>
        <v>-50</v>
      </c>
      <c r="B108" s="21">
        <v>30</v>
      </c>
      <c r="C108" s="26">
        <f t="shared" si="4"/>
        <v>15.433360456310989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80"/>
      <c r="N108" s="80"/>
      <c r="O108" s="80"/>
      <c r="P108" s="81"/>
      <c r="Q108" s="81"/>
      <c r="R108" s="81"/>
      <c r="S108" s="81"/>
      <c r="T108" s="81"/>
      <c r="U108" s="3"/>
      <c r="V108" s="88"/>
      <c r="W108" s="88"/>
      <c r="X108" s="88"/>
      <c r="Y108" s="88"/>
      <c r="Z108" s="88"/>
      <c r="AA108" s="88"/>
      <c r="AB108" s="88"/>
      <c r="AC108" s="88"/>
      <c r="AE108">
        <f t="shared" si="5"/>
        <v>-50</v>
      </c>
      <c r="AF108" s="113">
        <f t="shared" si="6"/>
        <v>15.433360456310989</v>
      </c>
      <c r="AG108" s="97"/>
      <c r="AH108" s="97"/>
      <c r="AI108" s="97"/>
      <c r="AJ108" s="97"/>
      <c r="AK108" s="97"/>
      <c r="AL108" s="97"/>
      <c r="AM108" s="97"/>
      <c r="AN108" s="97"/>
    </row>
    <row r="109" spans="1:40" ht="14">
      <c r="A109">
        <f t="shared" si="3"/>
        <v>-49</v>
      </c>
      <c r="B109" s="21">
        <v>31</v>
      </c>
      <c r="C109" s="26">
        <f t="shared" si="4"/>
        <v>16.575606793061986</v>
      </c>
      <c r="D109" s="26"/>
      <c r="E109" s="26"/>
      <c r="F109" s="26"/>
      <c r="G109" s="26"/>
      <c r="H109" s="26"/>
      <c r="I109" s="26"/>
      <c r="J109" s="26"/>
      <c r="K109" s="26"/>
      <c r="L109" s="26"/>
      <c r="M109" s="80"/>
      <c r="N109" s="80"/>
      <c r="O109" s="80"/>
      <c r="P109" s="81"/>
      <c r="Q109" s="81"/>
      <c r="R109" s="81"/>
      <c r="S109" s="81"/>
      <c r="T109" s="81"/>
      <c r="U109" s="3"/>
      <c r="V109" s="88"/>
      <c r="W109" s="88"/>
      <c r="X109" s="88"/>
      <c r="Y109" s="88"/>
      <c r="Z109" s="88"/>
      <c r="AA109" s="88"/>
      <c r="AB109" s="88"/>
      <c r="AC109" s="88"/>
      <c r="AE109">
        <f t="shared" si="5"/>
        <v>-49</v>
      </c>
      <c r="AF109" s="113">
        <f t="shared" si="6"/>
        <v>16.575606793061986</v>
      </c>
      <c r="AG109" s="97"/>
      <c r="AH109" s="97"/>
      <c r="AI109" s="97"/>
      <c r="AJ109" s="97"/>
      <c r="AK109" s="97"/>
      <c r="AL109" s="97"/>
      <c r="AM109" s="97"/>
      <c r="AN109" s="97"/>
    </row>
    <row r="110" spans="1:40" ht="14">
      <c r="A110">
        <f t="shared" si="3"/>
        <v>-48</v>
      </c>
      <c r="B110" s="21">
        <v>32</v>
      </c>
      <c r="C110" s="26">
        <f t="shared" si="4"/>
        <v>17.74861690282755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80"/>
      <c r="N110" s="80"/>
      <c r="O110" s="80"/>
      <c r="P110" s="81"/>
      <c r="Q110" s="81"/>
      <c r="R110" s="81"/>
      <c r="S110" s="81"/>
      <c r="T110" s="81"/>
      <c r="U110" s="3"/>
      <c r="V110" s="88"/>
      <c r="W110" s="88"/>
      <c r="X110" s="88"/>
      <c r="Y110" s="88"/>
      <c r="Z110" s="88"/>
      <c r="AA110" s="88"/>
      <c r="AB110" s="88"/>
      <c r="AC110" s="88"/>
      <c r="AE110">
        <f t="shared" si="5"/>
        <v>-48</v>
      </c>
      <c r="AF110" s="113">
        <f t="shared" si="6"/>
        <v>17.74861690282755</v>
      </c>
      <c r="AG110" s="97"/>
      <c r="AH110" s="97"/>
      <c r="AI110" s="97"/>
      <c r="AJ110" s="97"/>
      <c r="AK110" s="97"/>
      <c r="AL110" s="97"/>
      <c r="AM110" s="97"/>
      <c r="AN110" s="97"/>
    </row>
    <row r="111" spans="1:40" ht="14">
      <c r="A111">
        <f t="shared" si="3"/>
        <v>-47</v>
      </c>
      <c r="B111" s="21">
        <v>33</v>
      </c>
      <c r="C111" s="26">
        <f t="shared" si="4"/>
        <v>18.950871218695532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80"/>
      <c r="N111" s="80"/>
      <c r="O111" s="80"/>
      <c r="P111" s="81"/>
      <c r="Q111" s="81"/>
      <c r="R111" s="81"/>
      <c r="S111" s="81"/>
      <c r="T111" s="81"/>
      <c r="U111" s="3"/>
      <c r="V111" s="88"/>
      <c r="W111" s="88"/>
      <c r="X111" s="88"/>
      <c r="Y111" s="88"/>
      <c r="Z111" s="88"/>
      <c r="AA111" s="88"/>
      <c r="AB111" s="88"/>
      <c r="AC111" s="88"/>
      <c r="AE111">
        <f t="shared" si="5"/>
        <v>-47</v>
      </c>
      <c r="AF111" s="113">
        <f t="shared" si="6"/>
        <v>18.950871218695532</v>
      </c>
      <c r="AG111" s="97"/>
      <c r="AH111" s="97"/>
      <c r="AI111" s="97"/>
      <c r="AJ111" s="97"/>
      <c r="AK111" s="97"/>
      <c r="AL111" s="97"/>
      <c r="AM111" s="97"/>
      <c r="AN111" s="97"/>
    </row>
    <row r="112" spans="1:40" ht="14">
      <c r="A112">
        <f t="shared" si="3"/>
        <v>-46</v>
      </c>
      <c r="B112" s="21">
        <v>34</v>
      </c>
      <c r="C112" s="26">
        <f t="shared" si="4"/>
        <v>20.180847084046018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80"/>
      <c r="N112" s="80"/>
      <c r="O112" s="80"/>
      <c r="P112" s="81"/>
      <c r="Q112" s="81"/>
      <c r="R112" s="81"/>
      <c r="S112" s="81"/>
      <c r="T112" s="81"/>
      <c r="U112" s="3"/>
      <c r="V112" s="88"/>
      <c r="W112" s="88"/>
      <c r="X112" s="88"/>
      <c r="Y112" s="88"/>
      <c r="Z112" s="88"/>
      <c r="AA112" s="88"/>
      <c r="AB112" s="88"/>
      <c r="AC112" s="88"/>
      <c r="AE112">
        <f t="shared" si="5"/>
        <v>-46</v>
      </c>
      <c r="AF112" s="113">
        <f t="shared" si="6"/>
        <v>20.180847084046018</v>
      </c>
      <c r="AG112" s="97"/>
      <c r="AH112" s="97"/>
      <c r="AI112" s="97"/>
      <c r="AJ112" s="97"/>
      <c r="AK112" s="97"/>
      <c r="AL112" s="97"/>
      <c r="AM112" s="97"/>
      <c r="AN112" s="97"/>
    </row>
    <row r="113" spans="1:40" ht="14">
      <c r="A113">
        <f t="shared" si="3"/>
        <v>-45</v>
      </c>
      <c r="B113" s="21">
        <v>35</v>
      </c>
      <c r="C113" s="26">
        <f t="shared" si="4"/>
        <v>21.43702412576425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80"/>
      <c r="N113" s="80"/>
      <c r="O113" s="80"/>
      <c r="P113" s="81"/>
      <c r="Q113" s="81"/>
      <c r="R113" s="81"/>
      <c r="S113" s="81"/>
      <c r="T113" s="81"/>
      <c r="U113" s="3"/>
      <c r="V113" s="88"/>
      <c r="W113" s="88"/>
      <c r="X113" s="88"/>
      <c r="Y113" s="88"/>
      <c r="Z113" s="88"/>
      <c r="AA113" s="88"/>
      <c r="AB113" s="88"/>
      <c r="AC113" s="88"/>
      <c r="AE113">
        <f t="shared" si="5"/>
        <v>-45</v>
      </c>
      <c r="AF113" s="113">
        <f t="shared" si="6"/>
        <v>21.43702412576425</v>
      </c>
      <c r="AG113" s="97"/>
      <c r="AH113" s="97"/>
      <c r="AI113" s="97"/>
      <c r="AJ113" s="97"/>
      <c r="AK113" s="97"/>
      <c r="AL113" s="97"/>
      <c r="AM113" s="97"/>
      <c r="AN113" s="97"/>
    </row>
    <row r="114" spans="1:40" ht="14">
      <c r="A114">
        <f t="shared" si="3"/>
        <v>-44</v>
      </c>
      <c r="B114" s="21">
        <v>36</v>
      </c>
      <c r="C114" s="26">
        <f t="shared" si="4"/>
        <v>22.717889079182989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80"/>
      <c r="N114" s="80"/>
      <c r="O114" s="80"/>
      <c r="P114" s="81"/>
      <c r="Q114" s="81"/>
      <c r="R114" s="81"/>
      <c r="S114" s="81"/>
      <c r="T114" s="81"/>
      <c r="U114" s="3"/>
      <c r="V114" s="88"/>
      <c r="W114" s="88"/>
      <c r="X114" s="88"/>
      <c r="Y114" s="88"/>
      <c r="Z114" s="88"/>
      <c r="AA114" s="88"/>
      <c r="AB114" s="88"/>
      <c r="AC114" s="88"/>
      <c r="AE114">
        <f t="shared" si="5"/>
        <v>-44</v>
      </c>
      <c r="AF114" s="113">
        <f t="shared" si="6"/>
        <v>22.717889079182989</v>
      </c>
      <c r="AG114" s="97"/>
      <c r="AH114" s="97"/>
      <c r="AI114" s="97"/>
      <c r="AJ114" s="97"/>
      <c r="AK114" s="97"/>
      <c r="AL114" s="97"/>
      <c r="AM114" s="97"/>
      <c r="AN114" s="97"/>
    </row>
    <row r="115" spans="1:40" ht="14">
      <c r="A115">
        <f t="shared" si="3"/>
        <v>-43</v>
      </c>
      <c r="B115" s="21">
        <v>37</v>
      </c>
      <c r="C115" s="26">
        <f t="shared" si="4"/>
        <v>24.021940106540239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80"/>
      <c r="N115" s="80"/>
      <c r="O115" s="80"/>
      <c r="P115" s="81"/>
      <c r="Q115" s="81"/>
      <c r="R115" s="81"/>
      <c r="S115" s="81"/>
      <c r="T115" s="81"/>
      <c r="U115" s="3"/>
      <c r="V115" s="88"/>
      <c r="W115" s="88"/>
      <c r="X115" s="88"/>
      <c r="Y115" s="88"/>
      <c r="Z115" s="88"/>
      <c r="AA115" s="88"/>
      <c r="AB115" s="88"/>
      <c r="AC115" s="88"/>
      <c r="AE115">
        <f t="shared" si="5"/>
        <v>-43</v>
      </c>
      <c r="AF115" s="113">
        <f t="shared" si="6"/>
        <v>24.021940106540239</v>
      </c>
      <c r="AG115" s="97"/>
      <c r="AH115" s="97"/>
      <c r="AI115" s="97"/>
      <c r="AJ115" s="97"/>
      <c r="AK115" s="97"/>
      <c r="AL115" s="97"/>
      <c r="AM115" s="97"/>
      <c r="AN115" s="97"/>
    </row>
    <row r="116" spans="1:40" ht="14">
      <c r="A116">
        <f t="shared" si="3"/>
        <v>-42</v>
      </c>
      <c r="B116" s="21">
        <v>38</v>
      </c>
      <c r="C116" s="26">
        <f t="shared" si="4"/>
        <v>25.347690647905036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80"/>
      <c r="N116" s="80"/>
      <c r="O116" s="80"/>
      <c r="P116" s="81"/>
      <c r="Q116" s="81"/>
      <c r="R116" s="81"/>
      <c r="S116" s="81"/>
      <c r="T116" s="81"/>
      <c r="U116" s="3"/>
      <c r="V116" s="88"/>
      <c r="W116" s="88"/>
      <c r="X116" s="88"/>
      <c r="Y116" s="88"/>
      <c r="Z116" s="88"/>
      <c r="AA116" s="88"/>
      <c r="AB116" s="88"/>
      <c r="AC116" s="88"/>
      <c r="AE116">
        <f t="shared" si="5"/>
        <v>-42</v>
      </c>
      <c r="AF116" s="113">
        <f t="shared" si="6"/>
        <v>25.347690647905036</v>
      </c>
      <c r="AG116" s="97"/>
      <c r="AH116" s="97"/>
      <c r="AI116" s="97"/>
      <c r="AJ116" s="97"/>
      <c r="AK116" s="97"/>
      <c r="AL116" s="97"/>
      <c r="AM116" s="97"/>
      <c r="AN116" s="97"/>
    </row>
    <row r="117" spans="1:40" ht="14">
      <c r="A117">
        <f t="shared" si="3"/>
        <v>-41</v>
      </c>
      <c r="B117" s="21">
        <v>39</v>
      </c>
      <c r="C117" s="26">
        <f t="shared" si="4"/>
        <v>26.693672840873621</v>
      </c>
      <c r="D117" s="26"/>
      <c r="E117" s="26"/>
      <c r="F117" s="26"/>
      <c r="G117" s="26"/>
      <c r="H117" s="26"/>
      <c r="I117" s="26"/>
      <c r="J117" s="26"/>
      <c r="K117" s="26"/>
      <c r="L117" s="26"/>
      <c r="M117" s="80"/>
      <c r="N117" s="80"/>
      <c r="O117" s="80"/>
      <c r="P117" s="81"/>
      <c r="Q117" s="81"/>
      <c r="R117" s="81"/>
      <c r="S117" s="81"/>
      <c r="T117" s="81"/>
      <c r="U117" s="3"/>
      <c r="V117" s="88"/>
      <c r="W117" s="88"/>
      <c r="X117" s="88"/>
      <c r="Y117" s="88"/>
      <c r="Z117" s="88"/>
      <c r="AA117" s="88"/>
      <c r="AB117" s="88"/>
      <c r="AC117" s="88"/>
      <c r="AE117">
        <f t="shared" si="5"/>
        <v>-41</v>
      </c>
      <c r="AF117" s="113">
        <f t="shared" si="6"/>
        <v>26.693672840873621</v>
      </c>
      <c r="AG117" s="97"/>
      <c r="AH117" s="97"/>
      <c r="AI117" s="97"/>
      <c r="AJ117" s="97"/>
      <c r="AK117" s="97"/>
      <c r="AL117" s="97"/>
      <c r="AM117" s="97"/>
      <c r="AN117" s="97"/>
    </row>
    <row r="118" spans="1:40" s="121" customFormat="1" ht="14">
      <c r="A118" s="121">
        <f t="shared" si="3"/>
        <v>-40</v>
      </c>
      <c r="B118" s="122">
        <v>40</v>
      </c>
      <c r="C118" s="123">
        <f t="shared" si="4"/>
        <v>28.058440542855632</v>
      </c>
      <c r="D118" s="125">
        <f>(($C$39*$C$118*$D$14)*('Product half-life and C flows'!B19/100))</f>
        <v>2.8058440542855632</v>
      </c>
      <c r="E118" s="123">
        <v>18</v>
      </c>
      <c r="F118" s="125">
        <f>($C$39*$C118*$B$14)*F$40</f>
        <v>3.2727365049186812</v>
      </c>
      <c r="G118" s="125">
        <f>($C$39*$C118*$C$14)*G$41</f>
        <v>0.56565816134396951</v>
      </c>
      <c r="H118" s="125">
        <f>(($C$39*$C118*$C$14)*H$41)*('Product half-life and C flows'!L19/100)</f>
        <v>1.7676817541999048</v>
      </c>
      <c r="I118" s="125">
        <f>(($C$39*$C$118*$C$13)*H$41)*('Product half-life and C flows'!N19/100)</f>
        <v>0</v>
      </c>
      <c r="J118" s="125">
        <f>(($C$39*$C$118*$C$13)*H$41)*(+'Product half-life and C flows'!P19/100)</f>
        <v>0</v>
      </c>
      <c r="K118" s="125">
        <f>H118*K42</f>
        <v>1.0075785998939457</v>
      </c>
      <c r="L118" s="123"/>
      <c r="M118" s="124"/>
      <c r="N118" s="124"/>
      <c r="O118" s="124"/>
      <c r="U118" s="124"/>
      <c r="AE118" s="121">
        <f t="shared" si="5"/>
        <v>-40</v>
      </c>
      <c r="AF118" s="124">
        <f t="shared" si="6"/>
        <v>28.058440542855632</v>
      </c>
      <c r="AG118" s="124">
        <f>D118+M118+V118</f>
        <v>2.8058440542855632</v>
      </c>
      <c r="AH118" s="124">
        <f>E118</f>
        <v>18</v>
      </c>
      <c r="AI118" s="124">
        <f t="shared" ref="AI118:AI149" si="7">F118+O118+X118</f>
        <v>3.2727365049186812</v>
      </c>
      <c r="AJ118" s="124">
        <f t="shared" ref="AJ118:AJ149" si="8">G118+P118+Y118</f>
        <v>0.56565816134396951</v>
      </c>
      <c r="AK118" s="124">
        <f t="shared" ref="AK118:AK149" si="9">H118+Q118+Z118</f>
        <v>1.7676817541999048</v>
      </c>
      <c r="AL118" s="124">
        <f t="shared" ref="AL118:AL149" si="10">I118+R118+AA118</f>
        <v>0</v>
      </c>
      <c r="AM118" s="124">
        <f t="shared" ref="AM118:AM149" si="11">J118+S118+AB118</f>
        <v>0</v>
      </c>
      <c r="AN118" s="124">
        <f t="shared" ref="AN118:AN149" si="12">K118+T118+AC118</f>
        <v>1.0075785998939457</v>
      </c>
    </row>
    <row r="119" spans="1:40" ht="14">
      <c r="A119">
        <f t="shared" si="3"/>
        <v>-39</v>
      </c>
      <c r="B119" s="21">
        <v>41</v>
      </c>
      <c r="C119" s="123">
        <f t="shared" ref="C119:C182" si="13">B$8*(1-EXP(-B$9*$B119))^3</f>
        <v>29.440571987447552</v>
      </c>
      <c r="D119" s="125">
        <f>(($C$39*$C$118*$D$14)*('Product half-life and C flows'!B20/100))</f>
        <v>2.7102667053322023</v>
      </c>
      <c r="E119" s="26">
        <f>(B$8*(1-EXP(-B$9*$B119))^3)-(C$39*C$118)</f>
        <v>18.217195770305299</v>
      </c>
      <c r="F119" s="54">
        <f>F118</f>
        <v>3.2727365049186812</v>
      </c>
      <c r="G119" s="54">
        <f>G118</f>
        <v>0.56565816134396951</v>
      </c>
      <c r="H119" s="125">
        <f>(H$118)*('Product half-life and C flows'!L20/100)</f>
        <v>1.7406623018536613</v>
      </c>
      <c r="I119" s="125">
        <f>(($C$39*$C$118*0.28)*H$41)*('Product half-life and C flows'!N20/100)</f>
        <v>1.8030981199059895E-2</v>
      </c>
      <c r="J119" s="125">
        <f>(($C$39*$C$118*0.28)*H$41)*(+'Product half-life and C flows'!P20/100)</f>
        <v>9.0064841154145342E-3</v>
      </c>
      <c r="K119" s="54">
        <f>K118</f>
        <v>1.0075785998939457</v>
      </c>
      <c r="L119" s="26"/>
      <c r="M119" s="80"/>
      <c r="N119" s="80"/>
      <c r="O119" s="80"/>
      <c r="P119" s="81"/>
      <c r="Q119" s="81"/>
      <c r="R119" s="81"/>
      <c r="S119" s="81"/>
      <c r="T119" s="81"/>
      <c r="U119" s="3"/>
      <c r="V119" s="88"/>
      <c r="W119" s="88"/>
      <c r="X119" s="88"/>
      <c r="Y119" s="88"/>
      <c r="Z119" s="88"/>
      <c r="AA119" s="88"/>
      <c r="AB119" s="88"/>
      <c r="AC119" s="88"/>
      <c r="AE119">
        <f t="shared" si="5"/>
        <v>-39</v>
      </c>
      <c r="AF119" s="113">
        <f t="shared" ref="AF119:AF150" si="14">E119</f>
        <v>18.217195770305299</v>
      </c>
      <c r="AG119" s="124">
        <f t="shared" ref="AG119:AG182" si="15">D119+M119+V119</f>
        <v>2.7102667053322023</v>
      </c>
      <c r="AH119" s="124">
        <f t="shared" ref="AH119:AH182" si="16">E119</f>
        <v>18.217195770305299</v>
      </c>
      <c r="AI119" s="124">
        <f t="shared" si="7"/>
        <v>3.2727365049186812</v>
      </c>
      <c r="AJ119" s="124">
        <f t="shared" si="8"/>
        <v>0.56565816134396951</v>
      </c>
      <c r="AK119" s="124">
        <f t="shared" si="9"/>
        <v>1.7406623018536613</v>
      </c>
      <c r="AL119" s="124">
        <f t="shared" si="10"/>
        <v>1.8030981199059895E-2</v>
      </c>
      <c r="AM119" s="124">
        <f t="shared" si="11"/>
        <v>9.0064841154145342E-3</v>
      </c>
      <c r="AN119" s="124">
        <f t="shared" si="12"/>
        <v>1.0075785998939457</v>
      </c>
    </row>
    <row r="120" spans="1:40" ht="14">
      <c r="A120">
        <f t="shared" si="3"/>
        <v>-38</v>
      </c>
      <c r="B120" s="21">
        <v>42</v>
      </c>
      <c r="C120" s="123">
        <f t="shared" si="13"/>
        <v>30.838672104217459</v>
      </c>
      <c r="D120" s="125">
        <f>(($C$39*$C$118*$D$14)*('Product half-life and C flows'!B21/100))</f>
        <v>2.6179450717558232</v>
      </c>
      <c r="E120" s="127">
        <f t="shared" ref="E120:E157" si="17">E119+(E$158-E$119)/39</f>
        <v>19.940369192884187</v>
      </c>
      <c r="F120" s="54">
        <f t="shared" ref="F120:G135" si="18">F119</f>
        <v>3.2727365049186812</v>
      </c>
      <c r="G120" s="54">
        <f t="shared" si="18"/>
        <v>0.56565816134396951</v>
      </c>
      <c r="H120" s="125">
        <f>(H$118)*('Product half-life and C flows'!L21/100)</f>
        <v>1.7140558485121065</v>
      </c>
      <c r="I120" s="125">
        <f>(($C$39*$C$118*0.28)*H$41)*('Product half-life and C flows'!N21/100)</f>
        <v>3.5786354395657444E-2</v>
      </c>
      <c r="J120" s="125">
        <f>(($C$39*$C$118*0.28)*H$41)*(+'Product half-life and C flows'!P21/100)</f>
        <v>1.7875301895932786E-2</v>
      </c>
      <c r="K120" s="54">
        <f t="shared" ref="K120:K183" si="19">K119</f>
        <v>1.0075785998939457</v>
      </c>
      <c r="L120" s="26"/>
      <c r="M120" s="80"/>
      <c r="N120" s="80"/>
      <c r="O120" s="80"/>
      <c r="P120" s="81"/>
      <c r="Q120" s="81"/>
      <c r="R120" s="81"/>
      <c r="S120" s="81"/>
      <c r="T120" s="81"/>
      <c r="U120" s="3"/>
      <c r="V120" s="88"/>
      <c r="W120" s="88"/>
      <c r="X120" s="88"/>
      <c r="Y120" s="88"/>
      <c r="Z120" s="88"/>
      <c r="AA120" s="88"/>
      <c r="AB120" s="88"/>
      <c r="AC120" s="88"/>
      <c r="AE120">
        <f t="shared" si="5"/>
        <v>-38</v>
      </c>
      <c r="AF120" s="113">
        <f t="shared" si="14"/>
        <v>19.940369192884187</v>
      </c>
      <c r="AG120" s="124">
        <f t="shared" si="15"/>
        <v>2.6179450717558232</v>
      </c>
      <c r="AH120" s="124">
        <f t="shared" si="16"/>
        <v>19.940369192884187</v>
      </c>
      <c r="AI120" s="124">
        <f t="shared" si="7"/>
        <v>3.2727365049186812</v>
      </c>
      <c r="AJ120" s="124">
        <f t="shared" si="8"/>
        <v>0.56565816134396951</v>
      </c>
      <c r="AK120" s="124">
        <f t="shared" si="9"/>
        <v>1.7140558485121065</v>
      </c>
      <c r="AL120" s="124">
        <f t="shared" si="10"/>
        <v>3.5786354395657444E-2</v>
      </c>
      <c r="AM120" s="124">
        <f t="shared" si="11"/>
        <v>1.7875301895932786E-2</v>
      </c>
      <c r="AN120" s="124">
        <f t="shared" si="12"/>
        <v>1.0075785998939457</v>
      </c>
    </row>
    <row r="121" spans="1:40" ht="14">
      <c r="A121">
        <f t="shared" si="3"/>
        <v>-37</v>
      </c>
      <c r="B121" s="21">
        <v>43</v>
      </c>
      <c r="C121" s="123">
        <f t="shared" si="13"/>
        <v>32.251374529191885</v>
      </c>
      <c r="D121" s="125">
        <f>(($C$39*$C$118*$D$14)*('Product half-life and C flows'!B22/100))</f>
        <v>2.5287682519387111</v>
      </c>
      <c r="E121" s="127">
        <f t="shared" si="17"/>
        <v>21.663542615463076</v>
      </c>
      <c r="F121" s="54">
        <f t="shared" si="18"/>
        <v>3.2727365049186812</v>
      </c>
      <c r="G121" s="54">
        <f t="shared" si="18"/>
        <v>0.56565816134396951</v>
      </c>
      <c r="H121" s="125">
        <f>(H$118)*('Product half-life and C flows'!L22/100)</f>
        <v>1.6878560813834158</v>
      </c>
      <c r="I121" s="125">
        <f>(($C$39*$C$118*0.28)*H$41)*('Product half-life and C flows'!N22/100)</f>
        <v>5.3270332326203665E-2</v>
      </c>
      <c r="J121" s="125">
        <f>(($C$39*$C$118*0.28)*H$41)*(+'Product half-life and C flows'!P22/100)</f>
        <v>2.6608557605496335E-2</v>
      </c>
      <c r="K121" s="54">
        <f t="shared" si="19"/>
        <v>1.0075785998939457</v>
      </c>
      <c r="L121" s="26"/>
      <c r="M121" s="80"/>
      <c r="N121" s="80"/>
      <c r="O121" s="80"/>
      <c r="P121" s="81"/>
      <c r="Q121" s="81"/>
      <c r="R121" s="81"/>
      <c r="S121" s="81"/>
      <c r="T121" s="81"/>
      <c r="U121" s="3"/>
      <c r="V121" s="88"/>
      <c r="W121" s="88"/>
      <c r="X121" s="88"/>
      <c r="Y121" s="88"/>
      <c r="Z121" s="88"/>
      <c r="AA121" s="88"/>
      <c r="AB121" s="88"/>
      <c r="AC121" s="88"/>
      <c r="AE121">
        <f t="shared" si="5"/>
        <v>-37</v>
      </c>
      <c r="AF121" s="113">
        <f t="shared" si="14"/>
        <v>21.663542615463076</v>
      </c>
      <c r="AG121" s="124">
        <f t="shared" si="15"/>
        <v>2.5287682519387111</v>
      </c>
      <c r="AH121" s="124">
        <f t="shared" si="16"/>
        <v>21.663542615463076</v>
      </c>
      <c r="AI121" s="124">
        <f t="shared" si="7"/>
        <v>3.2727365049186812</v>
      </c>
      <c r="AJ121" s="124">
        <f t="shared" si="8"/>
        <v>0.56565816134396951</v>
      </c>
      <c r="AK121" s="124">
        <f t="shared" si="9"/>
        <v>1.6878560813834158</v>
      </c>
      <c r="AL121" s="124">
        <f t="shared" si="10"/>
        <v>5.3270332326203665E-2</v>
      </c>
      <c r="AM121" s="124">
        <f t="shared" si="11"/>
        <v>2.6608557605496335E-2</v>
      </c>
      <c r="AN121" s="124">
        <f t="shared" si="12"/>
        <v>1.0075785998939457</v>
      </c>
    </row>
    <row r="122" spans="1:40" ht="14">
      <c r="A122">
        <f t="shared" si="3"/>
        <v>-36</v>
      </c>
      <c r="B122" s="21">
        <v>44</v>
      </c>
      <c r="C122" s="123">
        <f t="shared" si="13"/>
        <v>33.677343331433647</v>
      </c>
      <c r="D122" s="125">
        <f>(($C$39*$C$118*$D$14)*('Product half-life and C flows'!B23/100))</f>
        <v>2.4426291219793779</v>
      </c>
      <c r="E122" s="127">
        <f t="shared" si="17"/>
        <v>23.386716038041964</v>
      </c>
      <c r="F122" s="54">
        <f t="shared" si="18"/>
        <v>3.2727365049186812</v>
      </c>
      <c r="G122" s="54">
        <f t="shared" si="18"/>
        <v>0.56565816134396951</v>
      </c>
      <c r="H122" s="125">
        <f>(H$118)*('Product half-life and C flows'!L23/100)</f>
        <v>1.6620567841683476</v>
      </c>
      <c r="I122" s="125">
        <f>(($C$39*$C$118*0.28)*H$41)*('Product half-life and C flows'!N23/100)</f>
        <v>7.0487063334392447E-2</v>
      </c>
      <c r="J122" s="125">
        <f>(($C$39*$C$118*0.28)*H$41)*(+'Product half-life and C flows'!P23/100)</f>
        <v>3.520832334385237E-2</v>
      </c>
      <c r="K122" s="54">
        <f t="shared" si="19"/>
        <v>1.0075785998939457</v>
      </c>
      <c r="L122" s="26"/>
      <c r="M122" s="80"/>
      <c r="N122" s="80"/>
      <c r="O122" s="80"/>
      <c r="P122" s="81"/>
      <c r="Q122" s="81"/>
      <c r="R122" s="81"/>
      <c r="S122" s="81"/>
      <c r="T122" s="81"/>
      <c r="U122" s="3"/>
      <c r="V122" s="88"/>
      <c r="W122" s="88"/>
      <c r="X122" s="88"/>
      <c r="Y122" s="88"/>
      <c r="Z122" s="88"/>
      <c r="AA122" s="88"/>
      <c r="AB122" s="88"/>
      <c r="AC122" s="88"/>
      <c r="AE122">
        <f t="shared" si="5"/>
        <v>-36</v>
      </c>
      <c r="AF122" s="113">
        <f t="shared" si="14"/>
        <v>23.386716038041964</v>
      </c>
      <c r="AG122" s="124">
        <f t="shared" si="15"/>
        <v>2.4426291219793779</v>
      </c>
      <c r="AH122" s="124">
        <f t="shared" si="16"/>
        <v>23.386716038041964</v>
      </c>
      <c r="AI122" s="124">
        <f t="shared" si="7"/>
        <v>3.2727365049186812</v>
      </c>
      <c r="AJ122" s="124">
        <f t="shared" si="8"/>
        <v>0.56565816134396951</v>
      </c>
      <c r="AK122" s="124">
        <f t="shared" si="9"/>
        <v>1.6620567841683476</v>
      </c>
      <c r="AL122" s="124">
        <f t="shared" si="10"/>
        <v>7.0487063334392447E-2</v>
      </c>
      <c r="AM122" s="124">
        <f t="shared" si="11"/>
        <v>3.520832334385237E-2</v>
      </c>
      <c r="AN122" s="124">
        <f t="shared" si="12"/>
        <v>1.0075785998939457</v>
      </c>
    </row>
    <row r="123" spans="1:40" ht="14">
      <c r="A123">
        <f t="shared" si="3"/>
        <v>-35</v>
      </c>
      <c r="B123" s="21">
        <v>45</v>
      </c>
      <c r="C123" s="123">
        <f t="shared" si="13"/>
        <v>35.115274479320803</v>
      </c>
      <c r="D123" s="125">
        <f>(($C$39*$C$118*$D$14)*('Product half-life and C flows'!B24/100))</f>
        <v>2.3594242070096789</v>
      </c>
      <c r="E123" s="127">
        <f t="shared" si="17"/>
        <v>25.109889460620852</v>
      </c>
      <c r="F123" s="54">
        <f t="shared" si="18"/>
        <v>3.2727365049186812</v>
      </c>
      <c r="G123" s="54">
        <f t="shared" si="18"/>
        <v>0.56565816134396951</v>
      </c>
      <c r="H123" s="125">
        <f>(H$118)*('Product half-life and C flows'!L24/100)</f>
        <v>1.6366518355853297</v>
      </c>
      <c r="I123" s="125">
        <f>(($C$39*$C$118*0.28)*H$41)*('Product half-life and C flows'!N24/100)</f>
        <v>8.7440632355459791E-2</v>
      </c>
      <c r="J123" s="125">
        <f>(($C$39*$C$118*0.28)*H$41)*(+'Product half-life and C flows'!P24/100)</f>
        <v>4.3676639538191703E-2</v>
      </c>
      <c r="K123" s="54">
        <f t="shared" si="19"/>
        <v>1.0075785998939457</v>
      </c>
      <c r="L123" s="26"/>
      <c r="M123" s="80"/>
      <c r="N123" s="80"/>
      <c r="O123" s="80"/>
      <c r="P123" s="81"/>
      <c r="Q123" s="81"/>
      <c r="R123" s="81"/>
      <c r="S123" s="81"/>
      <c r="T123" s="81"/>
      <c r="U123" s="3"/>
      <c r="V123" s="88"/>
      <c r="W123" s="88"/>
      <c r="X123" s="88"/>
      <c r="Y123" s="88"/>
      <c r="Z123" s="88"/>
      <c r="AA123" s="88"/>
      <c r="AB123" s="88"/>
      <c r="AC123" s="88"/>
      <c r="AE123">
        <f t="shared" si="5"/>
        <v>-35</v>
      </c>
      <c r="AF123" s="113">
        <f t="shared" si="14"/>
        <v>25.109889460620852</v>
      </c>
      <c r="AG123" s="124">
        <f t="shared" si="15"/>
        <v>2.3594242070096789</v>
      </c>
      <c r="AH123" s="124">
        <f t="shared" si="16"/>
        <v>25.109889460620852</v>
      </c>
      <c r="AI123" s="124">
        <f t="shared" si="7"/>
        <v>3.2727365049186812</v>
      </c>
      <c r="AJ123" s="124">
        <f t="shared" si="8"/>
        <v>0.56565816134396951</v>
      </c>
      <c r="AK123" s="124">
        <f t="shared" si="9"/>
        <v>1.6366518355853297</v>
      </c>
      <c r="AL123" s="124">
        <f t="shared" si="10"/>
        <v>8.7440632355459791E-2</v>
      </c>
      <c r="AM123" s="124">
        <f t="shared" si="11"/>
        <v>4.3676639538191703E-2</v>
      </c>
      <c r="AN123" s="124">
        <f t="shared" si="12"/>
        <v>1.0075785998939457</v>
      </c>
    </row>
    <row r="124" spans="1:40" ht="14">
      <c r="A124">
        <f t="shared" si="3"/>
        <v>-34</v>
      </c>
      <c r="B124" s="21">
        <v>46</v>
      </c>
      <c r="C124" s="123">
        <f t="shared" si="13"/>
        <v>36.563897068474489</v>
      </c>
      <c r="D124" s="125">
        <f>(($C$39*$C$118*$D$14)*('Product half-life and C flows'!B25/100))</f>
        <v>2.2790535568953438</v>
      </c>
      <c r="E124" s="127">
        <f t="shared" si="17"/>
        <v>26.833062883199741</v>
      </c>
      <c r="F124" s="54">
        <f t="shared" si="18"/>
        <v>3.2727365049186812</v>
      </c>
      <c r="G124" s="54">
        <f t="shared" si="18"/>
        <v>0.56565816134396951</v>
      </c>
      <c r="H124" s="125">
        <f>(H$118)*('Product half-life and C flows'!L25/100)</f>
        <v>1.6116352079180913</v>
      </c>
      <c r="I124" s="125">
        <f>(($C$39*$C$118*0.28)*H$41)*('Product half-life and C flows'!N25/100)</f>
        <v>0.10413506188539691</v>
      </c>
      <c r="J124" s="125">
        <f>(($C$39*$C$118*0.28)*H$41)*(+'Product half-life and C flows'!P25/100)</f>
        <v>5.2015515427271189E-2</v>
      </c>
      <c r="K124" s="54">
        <f t="shared" si="19"/>
        <v>1.0075785998939457</v>
      </c>
      <c r="L124" s="26"/>
      <c r="M124" s="80"/>
      <c r="N124" s="80"/>
      <c r="O124" s="80"/>
      <c r="P124" s="81"/>
      <c r="Q124" s="81"/>
      <c r="R124" s="81"/>
      <c r="S124" s="81"/>
      <c r="T124" s="81"/>
      <c r="U124" s="3"/>
      <c r="V124" s="88"/>
      <c r="W124" s="88"/>
      <c r="X124" s="88"/>
      <c r="Y124" s="88"/>
      <c r="Z124" s="88"/>
      <c r="AA124" s="88"/>
      <c r="AB124" s="88"/>
      <c r="AC124" s="88"/>
      <c r="AE124">
        <f t="shared" si="5"/>
        <v>-34</v>
      </c>
      <c r="AF124" s="113">
        <f t="shared" si="14"/>
        <v>26.833062883199741</v>
      </c>
      <c r="AG124" s="124">
        <f t="shared" si="15"/>
        <v>2.2790535568953438</v>
      </c>
      <c r="AH124" s="124">
        <f t="shared" si="16"/>
        <v>26.833062883199741</v>
      </c>
      <c r="AI124" s="124">
        <f t="shared" si="7"/>
        <v>3.2727365049186812</v>
      </c>
      <c r="AJ124" s="124">
        <f t="shared" si="8"/>
        <v>0.56565816134396951</v>
      </c>
      <c r="AK124" s="124">
        <f t="shared" si="9"/>
        <v>1.6116352079180913</v>
      </c>
      <c r="AL124" s="124">
        <f t="shared" si="10"/>
        <v>0.10413506188539691</v>
      </c>
      <c r="AM124" s="124">
        <f t="shared" si="11"/>
        <v>5.2015515427271189E-2</v>
      </c>
      <c r="AN124" s="124">
        <f t="shared" si="12"/>
        <v>1.0075785998939457</v>
      </c>
    </row>
    <row r="125" spans="1:40" ht="14">
      <c r="A125">
        <f t="shared" si="3"/>
        <v>-33</v>
      </c>
      <c r="B125" s="21">
        <v>47</v>
      </c>
      <c r="C125" s="123">
        <f t="shared" si="13"/>
        <v>38.021974331727613</v>
      </c>
      <c r="D125" s="125">
        <f>(($C$39*$C$118*$D$14)*('Product half-life and C flows'!B26/100))</f>
        <v>2.2014206261706004</v>
      </c>
      <c r="E125" s="127">
        <f t="shared" si="17"/>
        <v>28.556236305778629</v>
      </c>
      <c r="F125" s="54">
        <f t="shared" si="18"/>
        <v>3.2727365049186812</v>
      </c>
      <c r="G125" s="54">
        <f t="shared" si="18"/>
        <v>0.56565816134396951</v>
      </c>
      <c r="H125" s="125">
        <f>(H$118)*('Product half-life and C flows'!L26/100)</f>
        <v>1.587000965585494</v>
      </c>
      <c r="I125" s="125">
        <f>(($C$39*$C$118*0.28)*H$41)*('Product half-life and C flows'!N26/100)</f>
        <v>0.12057431293535013</v>
      </c>
      <c r="J125" s="125">
        <f>(($C$39*$C$118*0.28)*H$41)*(+'Product half-life and C flows'!P26/100)</f>
        <v>6.0226929538136936E-2</v>
      </c>
      <c r="K125" s="54">
        <f t="shared" si="19"/>
        <v>1.0075785998939457</v>
      </c>
      <c r="L125" s="26"/>
      <c r="M125" s="80"/>
      <c r="N125" s="80"/>
      <c r="O125" s="80"/>
      <c r="P125" s="81"/>
      <c r="Q125" s="81"/>
      <c r="R125" s="81"/>
      <c r="S125" s="81"/>
      <c r="T125" s="81"/>
      <c r="U125" s="3"/>
      <c r="V125" s="88"/>
      <c r="W125" s="88"/>
      <c r="X125" s="88"/>
      <c r="Y125" s="88"/>
      <c r="Z125" s="88"/>
      <c r="AA125" s="88"/>
      <c r="AB125" s="88"/>
      <c r="AC125" s="88"/>
      <c r="AE125">
        <f t="shared" si="5"/>
        <v>-33</v>
      </c>
      <c r="AF125" s="113">
        <f t="shared" si="14"/>
        <v>28.556236305778629</v>
      </c>
      <c r="AG125" s="124">
        <f t="shared" si="15"/>
        <v>2.2014206261706004</v>
      </c>
      <c r="AH125" s="124">
        <f t="shared" si="16"/>
        <v>28.556236305778629</v>
      </c>
      <c r="AI125" s="124">
        <f t="shared" si="7"/>
        <v>3.2727365049186812</v>
      </c>
      <c r="AJ125" s="124">
        <f t="shared" si="8"/>
        <v>0.56565816134396951</v>
      </c>
      <c r="AK125" s="124">
        <f t="shared" si="9"/>
        <v>1.587000965585494</v>
      </c>
      <c r="AL125" s="124">
        <f t="shared" si="10"/>
        <v>0.12057431293535013</v>
      </c>
      <c r="AM125" s="124">
        <f t="shared" si="11"/>
        <v>6.0226929538136936E-2</v>
      </c>
      <c r="AN125" s="124">
        <f t="shared" si="12"/>
        <v>1.0075785998939457</v>
      </c>
    </row>
    <row r="126" spans="1:40" ht="14">
      <c r="A126">
        <f t="shared" si="3"/>
        <v>-32</v>
      </c>
      <c r="B126" s="21">
        <v>48</v>
      </c>
      <c r="C126" s="123">
        <f t="shared" si="13"/>
        <v>39.488304450074487</v>
      </c>
      <c r="D126" s="125">
        <f>(($C$39*$C$118*$D$14)*('Product half-life and C flows'!B27/100))</f>
        <v>2.1264321580626646</v>
      </c>
      <c r="E126" s="127">
        <f t="shared" si="17"/>
        <v>30.279409728357518</v>
      </c>
      <c r="F126" s="54">
        <f t="shared" si="18"/>
        <v>3.2727365049186812</v>
      </c>
      <c r="G126" s="54">
        <f t="shared" si="18"/>
        <v>0.56565816134396951</v>
      </c>
      <c r="H126" s="125">
        <f>(H$118)*('Product half-life and C flows'!L27/100)</f>
        <v>1.5627432637332237</v>
      </c>
      <c r="I126" s="125">
        <f>(($C$39*$C$118*0.28)*H$41)*('Product half-life and C flows'!N27/100)</f>
        <v>0.13676228597143189</v>
      </c>
      <c r="J126" s="125">
        <f>(($C$39*$C$118*0.28)*H$41)*(+'Product half-life and C flows'!P27/100)</f>
        <v>6.8312830155560389E-2</v>
      </c>
      <c r="K126" s="54">
        <f t="shared" si="19"/>
        <v>1.0075785998939457</v>
      </c>
      <c r="L126" s="26"/>
      <c r="M126" s="80"/>
      <c r="N126" s="80"/>
      <c r="O126" s="80"/>
      <c r="P126" s="81"/>
      <c r="Q126" s="81"/>
      <c r="R126" s="81"/>
      <c r="S126" s="81"/>
      <c r="T126" s="81"/>
      <c r="U126" s="3"/>
      <c r="V126" s="88"/>
      <c r="W126" s="88"/>
      <c r="X126" s="88"/>
      <c r="Y126" s="88"/>
      <c r="Z126" s="88"/>
      <c r="AA126" s="88"/>
      <c r="AB126" s="88"/>
      <c r="AC126" s="88"/>
      <c r="AE126">
        <f t="shared" si="5"/>
        <v>-32</v>
      </c>
      <c r="AF126" s="113">
        <f t="shared" si="14"/>
        <v>30.279409728357518</v>
      </c>
      <c r="AG126" s="124">
        <f t="shared" si="15"/>
        <v>2.1264321580626646</v>
      </c>
      <c r="AH126" s="124">
        <f t="shared" si="16"/>
        <v>30.279409728357518</v>
      </c>
      <c r="AI126" s="124">
        <f t="shared" si="7"/>
        <v>3.2727365049186812</v>
      </c>
      <c r="AJ126" s="124">
        <f t="shared" si="8"/>
        <v>0.56565816134396951</v>
      </c>
      <c r="AK126" s="124">
        <f t="shared" si="9"/>
        <v>1.5627432637332237</v>
      </c>
      <c r="AL126" s="124">
        <f t="shared" si="10"/>
        <v>0.13676228597143189</v>
      </c>
      <c r="AM126" s="124">
        <f t="shared" si="11"/>
        <v>6.8312830155560389E-2</v>
      </c>
      <c r="AN126" s="124">
        <f t="shared" si="12"/>
        <v>1.0075785998939457</v>
      </c>
    </row>
    <row r="127" spans="1:40" ht="14">
      <c r="A127">
        <f t="shared" si="3"/>
        <v>-31</v>
      </c>
      <c r="B127" s="21">
        <v>49</v>
      </c>
      <c r="C127" s="123">
        <f t="shared" si="13"/>
        <v>40.961721182182558</v>
      </c>
      <c r="D127" s="125">
        <f>(($C$39*$C$118*$D$14)*('Product half-life and C flows'!B28/100))</f>
        <v>2.0539980724667868</v>
      </c>
      <c r="E127" s="127">
        <f t="shared" si="17"/>
        <v>32.00258315093641</v>
      </c>
      <c r="F127" s="54">
        <f t="shared" si="18"/>
        <v>3.2727365049186812</v>
      </c>
      <c r="G127" s="54">
        <f t="shared" si="18"/>
        <v>0.56565816134396951</v>
      </c>
      <c r="H127" s="125">
        <f>(H$118)*('Product half-life and C flows'!L28/100)</f>
        <v>1.538856346847008</v>
      </c>
      <c r="I127" s="125">
        <f>(($C$39*$C$118*0.28)*H$41)*('Product half-life and C flows'!N28/100)</f>
        <v>0.15270282184016651</v>
      </c>
      <c r="J127" s="125">
        <f>(($C$39*$C$118*0.28)*H$41)*(+'Product half-life and C flows'!P28/100)</f>
        <v>7.6275135784298953E-2</v>
      </c>
      <c r="K127" s="54">
        <f t="shared" si="19"/>
        <v>1.0075785998939457</v>
      </c>
      <c r="L127" s="26"/>
      <c r="M127" s="80"/>
      <c r="N127" s="80"/>
      <c r="O127" s="82"/>
      <c r="P127" s="81"/>
      <c r="Q127" s="81"/>
      <c r="R127" s="81"/>
      <c r="S127" s="81"/>
      <c r="T127" s="81"/>
      <c r="U127" s="3"/>
      <c r="V127" s="88"/>
      <c r="W127" s="88"/>
      <c r="X127" s="88"/>
      <c r="Y127" s="88"/>
      <c r="Z127" s="88"/>
      <c r="AA127" s="88"/>
      <c r="AB127" s="88"/>
      <c r="AC127" s="88"/>
      <c r="AE127">
        <f t="shared" si="5"/>
        <v>-31</v>
      </c>
      <c r="AF127" s="113">
        <f t="shared" si="14"/>
        <v>32.00258315093641</v>
      </c>
      <c r="AG127" s="124">
        <f t="shared" si="15"/>
        <v>2.0539980724667868</v>
      </c>
      <c r="AH127" s="124">
        <f t="shared" si="16"/>
        <v>32.00258315093641</v>
      </c>
      <c r="AI127" s="124">
        <f t="shared" si="7"/>
        <v>3.2727365049186812</v>
      </c>
      <c r="AJ127" s="124">
        <f t="shared" si="8"/>
        <v>0.56565816134396951</v>
      </c>
      <c r="AK127" s="124">
        <f t="shared" si="9"/>
        <v>1.538856346847008</v>
      </c>
      <c r="AL127" s="124">
        <f t="shared" si="10"/>
        <v>0.15270282184016651</v>
      </c>
      <c r="AM127" s="124">
        <f t="shared" si="11"/>
        <v>7.6275135784298953E-2</v>
      </c>
      <c r="AN127" s="124">
        <f t="shared" si="12"/>
        <v>1.0075785998939457</v>
      </c>
    </row>
    <row r="128" spans="1:40" ht="14">
      <c r="A128">
        <f t="shared" si="3"/>
        <v>-30</v>
      </c>
      <c r="B128" s="21">
        <v>50</v>
      </c>
      <c r="C128" s="123">
        <f t="shared" si="13"/>
        <v>42.441094328779549</v>
      </c>
      <c r="D128" s="125">
        <f>(($C$39*$C$118*$D$14)*('Product half-life and C flows'!B29/100))</f>
        <v>1.9840313577372772</v>
      </c>
      <c r="E128" s="127">
        <f t="shared" si="17"/>
        <v>33.725756573515298</v>
      </c>
      <c r="F128" s="54">
        <f t="shared" si="18"/>
        <v>3.2727365049186812</v>
      </c>
      <c r="G128" s="54">
        <f t="shared" si="18"/>
        <v>0.56565816134396951</v>
      </c>
      <c r="H128" s="125">
        <f>(H$118)*('Product half-life and C flows'!L29/100)</f>
        <v>1.5153345473870325</v>
      </c>
      <c r="I128" s="125">
        <f>(($C$39*$C$118*0.28)*H$41)*('Product half-life and C flows'!N29/100)</f>
        <v>0.16839970267978996</v>
      </c>
      <c r="J128" s="125">
        <f>(($C$39*$C$118*0.28)*H$41)*(+'Product half-life and C flows'!P29/100)</f>
        <v>8.4115735604290698E-2</v>
      </c>
      <c r="K128" s="54">
        <f t="shared" si="19"/>
        <v>1.0075785998939457</v>
      </c>
      <c r="L128" s="26"/>
      <c r="M128" s="80"/>
      <c r="N128" s="80"/>
      <c r="O128" s="82"/>
      <c r="P128" s="81"/>
      <c r="Q128" s="81"/>
      <c r="R128" s="81"/>
      <c r="S128" s="81"/>
      <c r="T128" s="81"/>
      <c r="U128" s="3"/>
      <c r="V128" s="88"/>
      <c r="W128" s="88"/>
      <c r="X128" s="88"/>
      <c r="Y128" s="88"/>
      <c r="Z128" s="88"/>
      <c r="AA128" s="88"/>
      <c r="AB128" s="88"/>
      <c r="AC128" s="88"/>
      <c r="AE128">
        <f t="shared" si="5"/>
        <v>-30</v>
      </c>
      <c r="AF128" s="113">
        <f t="shared" si="14"/>
        <v>33.725756573515298</v>
      </c>
      <c r="AG128" s="124">
        <f t="shared" si="15"/>
        <v>1.9840313577372772</v>
      </c>
      <c r="AH128" s="124">
        <f t="shared" si="16"/>
        <v>33.725756573515298</v>
      </c>
      <c r="AI128" s="124">
        <f t="shared" si="7"/>
        <v>3.2727365049186812</v>
      </c>
      <c r="AJ128" s="124">
        <f t="shared" si="8"/>
        <v>0.56565816134396951</v>
      </c>
      <c r="AK128" s="124">
        <f t="shared" si="9"/>
        <v>1.5153345473870325</v>
      </c>
      <c r="AL128" s="124">
        <f t="shared" si="10"/>
        <v>0.16839970267978996</v>
      </c>
      <c r="AM128" s="124">
        <f t="shared" si="11"/>
        <v>8.4115735604290698E-2</v>
      </c>
      <c r="AN128" s="124">
        <f t="shared" si="12"/>
        <v>1.0075785998939457</v>
      </c>
    </row>
    <row r="129" spans="1:40" ht="14">
      <c r="A129">
        <f t="shared" si="3"/>
        <v>-29</v>
      </c>
      <c r="B129" s="21">
        <v>51</v>
      </c>
      <c r="C129" s="123">
        <f t="shared" si="13"/>
        <v>43.925330047044007</v>
      </c>
      <c r="D129" s="125">
        <f>(($C$39*$C$118*$D$14)*('Product half-life and C flows'!B30/100))</f>
        <v>1.9164479661645222</v>
      </c>
      <c r="E129" s="127">
        <f t="shared" si="17"/>
        <v>35.448929996094186</v>
      </c>
      <c r="F129" s="54">
        <f t="shared" si="18"/>
        <v>3.2727365049186812</v>
      </c>
      <c r="G129" s="54">
        <f t="shared" si="18"/>
        <v>0.56565816134396951</v>
      </c>
      <c r="H129" s="125">
        <f>(H$118)*('Product half-life and C flows'!L30/100)</f>
        <v>1.4921722844432304</v>
      </c>
      <c r="I129" s="125">
        <f>(($C$39*$C$118*0.28)*H$41)*('Product half-life and C flows'!N30/100)</f>
        <v>0.18385665281762081</v>
      </c>
      <c r="J129" s="125">
        <f>(($C$39*$C$118*0.28)*H$41)*(+'Product half-life and C flows'!P30/100)</f>
        <v>9.1836489918891512E-2</v>
      </c>
      <c r="K129" s="54">
        <f t="shared" si="19"/>
        <v>1.0075785998939457</v>
      </c>
      <c r="L129" s="26"/>
      <c r="M129" s="80"/>
      <c r="N129" s="80"/>
      <c r="O129" s="82"/>
      <c r="P129" s="81"/>
      <c r="Q129" s="81"/>
      <c r="R129" s="81"/>
      <c r="S129" s="81"/>
      <c r="T129" s="81"/>
      <c r="U129" s="3"/>
      <c r="V129" s="88"/>
      <c r="W129" s="88"/>
      <c r="X129" s="88"/>
      <c r="Y129" s="88"/>
      <c r="Z129" s="88"/>
      <c r="AA129" s="88"/>
      <c r="AB129" s="88"/>
      <c r="AC129" s="88"/>
      <c r="AE129">
        <f t="shared" si="5"/>
        <v>-29</v>
      </c>
      <c r="AF129" s="113">
        <f t="shared" si="14"/>
        <v>35.448929996094186</v>
      </c>
      <c r="AG129" s="124">
        <f t="shared" si="15"/>
        <v>1.9164479661645222</v>
      </c>
      <c r="AH129" s="124">
        <f t="shared" si="16"/>
        <v>35.448929996094186</v>
      </c>
      <c r="AI129" s="124">
        <f t="shared" si="7"/>
        <v>3.2727365049186812</v>
      </c>
      <c r="AJ129" s="124">
        <f t="shared" si="8"/>
        <v>0.56565816134396951</v>
      </c>
      <c r="AK129" s="124">
        <f t="shared" si="9"/>
        <v>1.4921722844432304</v>
      </c>
      <c r="AL129" s="124">
        <f t="shared" si="10"/>
        <v>0.18385665281762081</v>
      </c>
      <c r="AM129" s="124">
        <f t="shared" si="11"/>
        <v>9.1836489918891512E-2</v>
      </c>
      <c r="AN129" s="124">
        <f t="shared" si="12"/>
        <v>1.0075785998939457</v>
      </c>
    </row>
    <row r="130" spans="1:40" ht="14">
      <c r="A130">
        <f t="shared" si="3"/>
        <v>-28</v>
      </c>
      <c r="B130" s="21">
        <v>52</v>
      </c>
      <c r="C130" s="123">
        <f t="shared" si="13"/>
        <v>45.413371029020936</v>
      </c>
      <c r="D130" s="125">
        <f>(($C$39*$C$118*$D$14)*('Product half-life and C flows'!B31/100))</f>
        <v>1.8511667130124454</v>
      </c>
      <c r="E130" s="127">
        <f t="shared" si="17"/>
        <v>37.172103418673075</v>
      </c>
      <c r="F130" s="54">
        <f t="shared" si="18"/>
        <v>3.2727365049186812</v>
      </c>
      <c r="G130" s="54">
        <f t="shared" si="18"/>
        <v>0.56565816134396951</v>
      </c>
      <c r="H130" s="125">
        <f>(H$118)*('Product half-life and C flows'!L31/100)</f>
        <v>1.4693640624111213</v>
      </c>
      <c r="I130" s="125">
        <f>(($C$39*$C$118*0.28)*H$41)*('Product half-life and C flows'!N31/100)</f>
        <v>0.19907733965371482</v>
      </c>
      <c r="J130" s="125">
        <f>(($C$39*$C$118*0.28)*H$41)*(+'Product half-life and C flows'!P31/100)</f>
        <v>9.9439230596261155E-2</v>
      </c>
      <c r="K130" s="54">
        <f t="shared" si="19"/>
        <v>1.0075785998939457</v>
      </c>
      <c r="L130" s="26"/>
      <c r="M130" s="80"/>
      <c r="N130" s="80"/>
      <c r="O130" s="82"/>
      <c r="P130" s="81"/>
      <c r="Q130" s="81"/>
      <c r="R130" s="81"/>
      <c r="S130" s="81"/>
      <c r="T130" s="81"/>
      <c r="U130" s="3"/>
      <c r="V130" s="88"/>
      <c r="W130" s="88"/>
      <c r="X130" s="88"/>
      <c r="Y130" s="88"/>
      <c r="Z130" s="88"/>
      <c r="AA130" s="88"/>
      <c r="AB130" s="88"/>
      <c r="AC130" s="88"/>
      <c r="AE130">
        <f t="shared" si="5"/>
        <v>-28</v>
      </c>
      <c r="AF130" s="113">
        <f t="shared" si="14"/>
        <v>37.172103418673075</v>
      </c>
      <c r="AG130" s="124">
        <f t="shared" si="15"/>
        <v>1.8511667130124454</v>
      </c>
      <c r="AH130" s="124">
        <f t="shared" si="16"/>
        <v>37.172103418673075</v>
      </c>
      <c r="AI130" s="124">
        <f t="shared" si="7"/>
        <v>3.2727365049186812</v>
      </c>
      <c r="AJ130" s="124">
        <f t="shared" si="8"/>
        <v>0.56565816134396951</v>
      </c>
      <c r="AK130" s="124">
        <f t="shared" si="9"/>
        <v>1.4693640624111213</v>
      </c>
      <c r="AL130" s="124">
        <f t="shared" si="10"/>
        <v>0.19907733965371482</v>
      </c>
      <c r="AM130" s="124">
        <f t="shared" si="11"/>
        <v>9.9439230596261155E-2</v>
      </c>
      <c r="AN130" s="124">
        <f t="shared" si="12"/>
        <v>1.0075785998939457</v>
      </c>
    </row>
    <row r="131" spans="1:40" ht="14">
      <c r="A131">
        <f t="shared" si="3"/>
        <v>-27</v>
      </c>
      <c r="B131" s="21">
        <v>53</v>
      </c>
      <c r="C131" s="123">
        <f t="shared" si="13"/>
        <v>46.904196557050838</v>
      </c>
      <c r="D131" s="125">
        <f>(($C$39*$C$118*$D$14)*('Product half-life and C flows'!B32/100))</f>
        <v>1.7881091789951147</v>
      </c>
      <c r="E131" s="127">
        <f t="shared" si="17"/>
        <v>38.895276841251963</v>
      </c>
      <c r="F131" s="54">
        <f t="shared" si="18"/>
        <v>3.2727365049186812</v>
      </c>
      <c r="G131" s="54">
        <f t="shared" si="18"/>
        <v>0.56565816134396951</v>
      </c>
      <c r="H131" s="125">
        <f>(H$118)*('Product half-life and C flows'!L32/100)</f>
        <v>1.4469044696878997</v>
      </c>
      <c r="I131" s="125">
        <f>(($C$39*$C$118*0.28)*H$41)*('Product half-life and C flows'!N32/100)</f>
        <v>0.21406537453101146</v>
      </c>
      <c r="J131" s="125">
        <f>(($C$39*$C$118*0.28)*H$41)*(+'Product half-life and C flows'!P32/100)</f>
        <v>0.10692576150400175</v>
      </c>
      <c r="K131" s="54">
        <f t="shared" si="19"/>
        <v>1.0075785998939457</v>
      </c>
      <c r="L131" s="26"/>
      <c r="M131" s="80"/>
      <c r="N131" s="80"/>
      <c r="O131" s="82"/>
      <c r="P131" s="81"/>
      <c r="Q131" s="81"/>
      <c r="R131" s="81"/>
      <c r="S131" s="81"/>
      <c r="T131" s="81"/>
      <c r="U131" s="3"/>
      <c r="V131" s="88"/>
      <c r="W131" s="88"/>
      <c r="X131" s="88"/>
      <c r="Y131" s="88"/>
      <c r="Z131" s="88"/>
      <c r="AA131" s="88"/>
      <c r="AB131" s="88"/>
      <c r="AC131" s="88"/>
      <c r="AE131">
        <f t="shared" si="5"/>
        <v>-27</v>
      </c>
      <c r="AF131" s="113">
        <f t="shared" si="14"/>
        <v>38.895276841251963</v>
      </c>
      <c r="AG131" s="124">
        <f t="shared" si="15"/>
        <v>1.7881091789951147</v>
      </c>
      <c r="AH131" s="124">
        <f t="shared" si="16"/>
        <v>38.895276841251963</v>
      </c>
      <c r="AI131" s="124">
        <f t="shared" si="7"/>
        <v>3.2727365049186812</v>
      </c>
      <c r="AJ131" s="124">
        <f t="shared" si="8"/>
        <v>0.56565816134396951</v>
      </c>
      <c r="AK131" s="124">
        <f t="shared" si="9"/>
        <v>1.4469044696878997</v>
      </c>
      <c r="AL131" s="124">
        <f t="shared" si="10"/>
        <v>0.21406537453101146</v>
      </c>
      <c r="AM131" s="124">
        <f t="shared" si="11"/>
        <v>0.10692576150400175</v>
      </c>
      <c r="AN131" s="124">
        <f t="shared" si="12"/>
        <v>1.0075785998939457</v>
      </c>
    </row>
    <row r="132" spans="1:40" ht="14">
      <c r="A132">
        <f t="shared" si="3"/>
        <v>-26</v>
      </c>
      <c r="B132" s="21">
        <v>54</v>
      </c>
      <c r="C132" s="123">
        <f t="shared" si="13"/>
        <v>48.396822448236769</v>
      </c>
      <c r="D132" s="125">
        <f>(($C$39*$C$118*$D$14)*('Product half-life and C flows'!B33/100))</f>
        <v>1.7271996160753607</v>
      </c>
      <c r="E132" s="127">
        <f t="shared" si="17"/>
        <v>40.618450263830852</v>
      </c>
      <c r="F132" s="54">
        <f t="shared" si="18"/>
        <v>3.2727365049186812</v>
      </c>
      <c r="G132" s="54">
        <f t="shared" si="18"/>
        <v>0.56565816134396951</v>
      </c>
      <c r="H132" s="125">
        <f>(H$118)*('Product half-life and C flows'!L33/100)</f>
        <v>1.4247881773884443</v>
      </c>
      <c r="I132" s="125">
        <f>(($C$39*$C$118*0.28)*H$41)*('Product half-life and C flows'!N33/100)</f>
        <v>0.22882431359218125</v>
      </c>
      <c r="J132" s="125">
        <f>(($C$39*$C$118*0.28)*H$41)*(+'Product half-life and C flows'!P33/100)</f>
        <v>0.11429785893715347</v>
      </c>
      <c r="K132" s="54">
        <f t="shared" si="19"/>
        <v>1.0075785998939457</v>
      </c>
      <c r="L132" s="26"/>
      <c r="M132" s="80"/>
      <c r="N132" s="80"/>
      <c r="O132" s="82"/>
      <c r="P132" s="81"/>
      <c r="Q132" s="81"/>
      <c r="R132" s="81"/>
      <c r="S132" s="81"/>
      <c r="T132" s="81"/>
      <c r="U132" s="3"/>
      <c r="V132" s="88"/>
      <c r="W132" s="88"/>
      <c r="X132" s="88"/>
      <c r="Y132" s="88"/>
      <c r="Z132" s="88"/>
      <c r="AA132" s="88"/>
      <c r="AB132" s="88"/>
      <c r="AC132" s="88"/>
      <c r="AE132">
        <f t="shared" si="5"/>
        <v>-26</v>
      </c>
      <c r="AF132" s="113">
        <f t="shared" si="14"/>
        <v>40.618450263830852</v>
      </c>
      <c r="AG132" s="124">
        <f t="shared" si="15"/>
        <v>1.7271996160753607</v>
      </c>
      <c r="AH132" s="124">
        <f t="shared" si="16"/>
        <v>40.618450263830852</v>
      </c>
      <c r="AI132" s="124">
        <f t="shared" si="7"/>
        <v>3.2727365049186812</v>
      </c>
      <c r="AJ132" s="124">
        <f t="shared" si="8"/>
        <v>0.56565816134396951</v>
      </c>
      <c r="AK132" s="124">
        <f t="shared" si="9"/>
        <v>1.4247881773884443</v>
      </c>
      <c r="AL132" s="124">
        <f t="shared" si="10"/>
        <v>0.22882431359218125</v>
      </c>
      <c r="AM132" s="124">
        <f t="shared" si="11"/>
        <v>0.11429785893715347</v>
      </c>
      <c r="AN132" s="124">
        <f t="shared" si="12"/>
        <v>1.0075785998939457</v>
      </c>
    </row>
    <row r="133" spans="1:40" ht="14">
      <c r="A133">
        <f t="shared" si="3"/>
        <v>-25</v>
      </c>
      <c r="B133" s="21">
        <v>55</v>
      </c>
      <c r="C133" s="123">
        <f t="shared" si="13"/>
        <v>49.890300899073623</v>
      </c>
      <c r="D133" s="125">
        <f>(($C$39*$C$118*$D$14)*('Product half-life and C flows'!B34/100))</f>
        <v>1.6683648564722364</v>
      </c>
      <c r="E133" s="127">
        <f t="shared" si="17"/>
        <v>42.34162368640974</v>
      </c>
      <c r="F133" s="54">
        <f t="shared" si="18"/>
        <v>3.2727365049186812</v>
      </c>
      <c r="G133" s="54">
        <f t="shared" si="18"/>
        <v>0.56565816134396951</v>
      </c>
      <c r="H133" s="125">
        <f>(H$118)*('Product half-life and C flows'!L34/100)</f>
        <v>1.4030099380809606</v>
      </c>
      <c r="I133" s="125">
        <f>(($C$39*$C$118*0.28)*H$41)*('Product half-life and C flows'!N34/100)</f>
        <v>0.24335765862337541</v>
      </c>
      <c r="J133" s="125">
        <f>(($C$39*$C$118*0.28)*H$41)*(+'Product half-life and C flows'!P34/100)</f>
        <v>0.12155727203964804</v>
      </c>
      <c r="K133" s="54">
        <f t="shared" si="19"/>
        <v>1.0075785998939457</v>
      </c>
      <c r="L133" s="26"/>
      <c r="M133" s="80"/>
      <c r="N133" s="80"/>
      <c r="O133" s="82"/>
      <c r="P133" s="81"/>
      <c r="Q133" s="81"/>
      <c r="R133" s="81"/>
      <c r="S133" s="81"/>
      <c r="T133" s="81"/>
      <c r="U133" s="3"/>
      <c r="V133" s="88"/>
      <c r="W133" s="88"/>
      <c r="X133" s="88"/>
      <c r="Y133" s="88"/>
      <c r="Z133" s="88"/>
      <c r="AA133" s="88"/>
      <c r="AB133" s="88"/>
      <c r="AC133" s="88"/>
      <c r="AE133">
        <f t="shared" si="5"/>
        <v>-25</v>
      </c>
      <c r="AF133" s="113">
        <f t="shared" si="14"/>
        <v>42.34162368640974</v>
      </c>
      <c r="AG133" s="124">
        <f t="shared" si="15"/>
        <v>1.6683648564722364</v>
      </c>
      <c r="AH133" s="124">
        <f t="shared" si="16"/>
        <v>42.34162368640974</v>
      </c>
      <c r="AI133" s="124">
        <f t="shared" si="7"/>
        <v>3.2727365049186812</v>
      </c>
      <c r="AJ133" s="124">
        <f t="shared" si="8"/>
        <v>0.56565816134396951</v>
      </c>
      <c r="AK133" s="124">
        <f t="shared" si="9"/>
        <v>1.4030099380809606</v>
      </c>
      <c r="AL133" s="124">
        <f t="shared" si="10"/>
        <v>0.24335765862337541</v>
      </c>
      <c r="AM133" s="124">
        <f t="shared" si="11"/>
        <v>0.12155727203964804</v>
      </c>
      <c r="AN133" s="124">
        <f t="shared" si="12"/>
        <v>1.0075785998939457</v>
      </c>
    </row>
    <row r="134" spans="1:40" ht="14">
      <c r="A134">
        <f t="shared" si="3"/>
        <v>-24</v>
      </c>
      <c r="B134" s="21">
        <v>56</v>
      </c>
      <c r="C134" s="123">
        <f t="shared" si="13"/>
        <v>51.383720240525165</v>
      </c>
      <c r="D134" s="125">
        <f>(($C$39*$C$118*$D$14)*('Product half-life and C flows'!B35/100))</f>
        <v>1.6115342247680191</v>
      </c>
      <c r="E134" s="127">
        <f t="shared" si="17"/>
        <v>44.064797108988628</v>
      </c>
      <c r="F134" s="54">
        <f t="shared" si="18"/>
        <v>3.2727365049186812</v>
      </c>
      <c r="G134" s="54">
        <f t="shared" si="18"/>
        <v>0.56565816134396951</v>
      </c>
      <c r="H134" s="125">
        <f>(H$118)*('Product half-life and C flows'!L35/100)</f>
        <v>1.3815645845419451</v>
      </c>
      <c r="I134" s="125">
        <f>(($C$39*$C$118*0.28)*H$41)*('Product half-life and C flows'!N35/100)</f>
        <v>0.25766885788507859</v>
      </c>
      <c r="J134" s="125">
        <f>(($C$39*$C$118*0.28)*H$41)*(+'Product half-life and C flows'!P35/100)</f>
        <v>0.12870572321931997</v>
      </c>
      <c r="K134" s="54">
        <f t="shared" si="19"/>
        <v>1.0075785998939457</v>
      </c>
      <c r="L134" s="26"/>
      <c r="M134" s="80"/>
      <c r="N134" s="80"/>
      <c r="O134" s="82"/>
      <c r="P134" s="81"/>
      <c r="Q134" s="81"/>
      <c r="R134" s="81"/>
      <c r="S134" s="81"/>
      <c r="T134" s="81"/>
      <c r="U134" s="3"/>
      <c r="V134" s="88"/>
      <c r="W134" s="88"/>
      <c r="X134" s="88"/>
      <c r="Y134" s="88"/>
      <c r="Z134" s="88"/>
      <c r="AA134" s="88"/>
      <c r="AB134" s="88"/>
      <c r="AC134" s="88"/>
      <c r="AE134">
        <f t="shared" si="5"/>
        <v>-24</v>
      </c>
      <c r="AF134" s="113">
        <f t="shared" si="14"/>
        <v>44.064797108988628</v>
      </c>
      <c r="AG134" s="124">
        <f t="shared" si="15"/>
        <v>1.6115342247680191</v>
      </c>
      <c r="AH134" s="124">
        <f t="shared" si="16"/>
        <v>44.064797108988628</v>
      </c>
      <c r="AI134" s="124">
        <f t="shared" si="7"/>
        <v>3.2727365049186812</v>
      </c>
      <c r="AJ134" s="124">
        <f t="shared" si="8"/>
        <v>0.56565816134396951</v>
      </c>
      <c r="AK134" s="124">
        <f t="shared" si="9"/>
        <v>1.3815645845419451</v>
      </c>
      <c r="AL134" s="124">
        <f t="shared" si="10"/>
        <v>0.25766885788507859</v>
      </c>
      <c r="AM134" s="124">
        <f t="shared" si="11"/>
        <v>0.12870572321931997</v>
      </c>
      <c r="AN134" s="124">
        <f t="shared" si="12"/>
        <v>1.0075785998939457</v>
      </c>
    </row>
    <row r="135" spans="1:40" ht="14">
      <c r="A135">
        <f t="shared" si="3"/>
        <v>-23</v>
      </c>
      <c r="B135" s="21">
        <v>57</v>
      </c>
      <c r="C135" s="123">
        <f t="shared" si="13"/>
        <v>52.876204613051172</v>
      </c>
      <c r="D135" s="125">
        <f>(($C$39*$C$118*$D$14)*('Product half-life and C flows'!B36/100))</f>
        <v>1.5566394530091672</v>
      </c>
      <c r="E135" s="127">
        <f t="shared" si="17"/>
        <v>45.787970531567517</v>
      </c>
      <c r="F135" s="54">
        <f t="shared" si="18"/>
        <v>3.2727365049186812</v>
      </c>
      <c r="G135" s="54">
        <f t="shared" si="18"/>
        <v>0.56565816134396951</v>
      </c>
      <c r="H135" s="125">
        <f>(H$118)*('Product half-life and C flows'!L36/100)</f>
        <v>1.3604470285301813</v>
      </c>
      <c r="I135" s="125">
        <f>(($C$39*$C$118*0.28)*H$41)*('Product half-life and C flows'!N36/100)</f>
        <v>0.27176130693026213</v>
      </c>
      <c r="J135" s="125">
        <f>(($C$39*$C$118*0.28)*H$41)*(+'Product half-life and C flows'!P36/100)</f>
        <v>0.13574490855657448</v>
      </c>
      <c r="K135" s="54">
        <f t="shared" si="19"/>
        <v>1.0075785998939457</v>
      </c>
      <c r="L135" s="26"/>
      <c r="M135" s="80"/>
      <c r="N135" s="80"/>
      <c r="O135" s="82"/>
      <c r="P135" s="81"/>
      <c r="Q135" s="81"/>
      <c r="R135" s="81"/>
      <c r="S135" s="81"/>
      <c r="T135" s="81"/>
      <c r="U135" s="3"/>
      <c r="V135" s="88"/>
      <c r="W135" s="88"/>
      <c r="X135" s="88"/>
      <c r="Y135" s="88"/>
      <c r="Z135" s="88"/>
      <c r="AA135" s="88"/>
      <c r="AB135" s="88"/>
      <c r="AC135" s="88"/>
      <c r="AE135">
        <f t="shared" si="5"/>
        <v>-23</v>
      </c>
      <c r="AF135" s="113">
        <f t="shared" si="14"/>
        <v>45.787970531567517</v>
      </c>
      <c r="AG135" s="124">
        <f t="shared" si="15"/>
        <v>1.5566394530091672</v>
      </c>
      <c r="AH135" s="124">
        <f t="shared" si="16"/>
        <v>45.787970531567517</v>
      </c>
      <c r="AI135" s="124">
        <f t="shared" si="7"/>
        <v>3.2727365049186812</v>
      </c>
      <c r="AJ135" s="124">
        <f t="shared" si="8"/>
        <v>0.56565816134396951</v>
      </c>
      <c r="AK135" s="124">
        <f t="shared" si="9"/>
        <v>1.3604470285301813</v>
      </c>
      <c r="AL135" s="124">
        <f t="shared" si="10"/>
        <v>0.27176130693026213</v>
      </c>
      <c r="AM135" s="124">
        <f t="shared" si="11"/>
        <v>0.13574490855657448</v>
      </c>
      <c r="AN135" s="124">
        <f t="shared" si="12"/>
        <v>1.0075785998939457</v>
      </c>
    </row>
    <row r="136" spans="1:40" ht="14">
      <c r="A136">
        <f t="shared" si="3"/>
        <v>-22</v>
      </c>
      <c r="B136" s="21">
        <v>58</v>
      </c>
      <c r="C136" s="123">
        <f t="shared" si="13"/>
        <v>54.366913570356942</v>
      </c>
      <c r="D136" s="125">
        <f>(($C$39*$C$118*$D$14)*('Product half-life and C flows'!B37/100))</f>
        <v>1.5036145986992544</v>
      </c>
      <c r="E136" s="127">
        <f t="shared" si="17"/>
        <v>47.511143954146405</v>
      </c>
      <c r="F136" s="54">
        <f t="shared" ref="F136:G151" si="20">F135</f>
        <v>3.2727365049186812</v>
      </c>
      <c r="G136" s="54">
        <f t="shared" si="20"/>
        <v>0.56565816134396951</v>
      </c>
      <c r="H136" s="125">
        <f>(H$118)*('Product half-life and C flows'!L37/100)</f>
        <v>1.3396522595794786</v>
      </c>
      <c r="I136" s="125">
        <f>(($C$39*$C$118*0.28)*H$41)*('Product half-life and C flows'!N37/100)</f>
        <v>0.28563834941003102</v>
      </c>
      <c r="J136" s="125">
        <f>(($C$39*$C$118*0.28)*H$41)*(+'Product half-life and C flows'!P37/100)</f>
        <v>0.14267649820680869</v>
      </c>
      <c r="K136" s="54">
        <f t="shared" si="19"/>
        <v>1.0075785998939457</v>
      </c>
      <c r="L136" s="26"/>
      <c r="M136" s="80"/>
      <c r="N136" s="80"/>
      <c r="O136" s="82"/>
      <c r="P136" s="81"/>
      <c r="Q136" s="81"/>
      <c r="R136" s="81"/>
      <c r="S136" s="81"/>
      <c r="T136" s="81"/>
      <c r="U136" s="3"/>
      <c r="V136" s="88"/>
      <c r="W136" s="88"/>
      <c r="X136" s="88"/>
      <c r="Y136" s="88"/>
      <c r="Z136" s="88"/>
      <c r="AA136" s="88"/>
      <c r="AB136" s="88"/>
      <c r="AC136" s="88"/>
      <c r="AE136">
        <f t="shared" si="5"/>
        <v>-22</v>
      </c>
      <c r="AF136" s="113">
        <f t="shared" si="14"/>
        <v>47.511143954146405</v>
      </c>
      <c r="AG136" s="124">
        <f t="shared" si="15"/>
        <v>1.5036145986992544</v>
      </c>
      <c r="AH136" s="124">
        <f t="shared" si="16"/>
        <v>47.511143954146405</v>
      </c>
      <c r="AI136" s="124">
        <f t="shared" si="7"/>
        <v>3.2727365049186812</v>
      </c>
      <c r="AJ136" s="124">
        <f t="shared" si="8"/>
        <v>0.56565816134396951</v>
      </c>
      <c r="AK136" s="124">
        <f t="shared" si="9"/>
        <v>1.3396522595794786</v>
      </c>
      <c r="AL136" s="124">
        <f t="shared" si="10"/>
        <v>0.28563834941003102</v>
      </c>
      <c r="AM136" s="124">
        <f t="shared" si="11"/>
        <v>0.14267649820680869</v>
      </c>
      <c r="AN136" s="124">
        <f t="shared" si="12"/>
        <v>1.0075785998939457</v>
      </c>
    </row>
    <row r="137" spans="1:40" ht="14">
      <c r="A137">
        <f t="shared" si="3"/>
        <v>-21</v>
      </c>
      <c r="B137" s="21">
        <v>59</v>
      </c>
      <c r="C137" s="123">
        <f t="shared" si="13"/>
        <v>55.855041619958222</v>
      </c>
      <c r="D137" s="125">
        <f>(($C$39*$C$118*$D$14)*('Product half-life and C flows'!B38/100))</f>
        <v>1.4523959655853629</v>
      </c>
      <c r="E137" s="127">
        <f t="shared" si="17"/>
        <v>49.234317376725294</v>
      </c>
      <c r="F137" s="54">
        <f t="shared" si="20"/>
        <v>3.2727365049186812</v>
      </c>
      <c r="G137" s="54">
        <f t="shared" si="20"/>
        <v>0.56565816134396951</v>
      </c>
      <c r="H137" s="125">
        <f>(H$118)*('Product half-life and C flows'!L38/100)</f>
        <v>1.3191753438098588</v>
      </c>
      <c r="I137" s="125">
        <f>(($C$39*$C$118*0.28)*H$41)*('Product half-life and C flows'!N38/100)</f>
        <v>0.29930327786695743</v>
      </c>
      <c r="J137" s="125">
        <f>(($C$39*$C$118*0.28)*H$41)*(+'Product half-life and C flows'!P38/100)</f>
        <v>0.14950213679668203</v>
      </c>
      <c r="K137" s="54">
        <f t="shared" si="19"/>
        <v>1.0075785998939457</v>
      </c>
      <c r="L137" s="26"/>
      <c r="M137" s="80"/>
      <c r="N137" s="80"/>
      <c r="O137" s="82"/>
      <c r="P137" s="81"/>
      <c r="Q137" s="81"/>
      <c r="R137" s="81"/>
      <c r="S137" s="81"/>
      <c r="T137" s="81"/>
      <c r="U137" s="3"/>
      <c r="V137" s="88"/>
      <c r="W137" s="88"/>
      <c r="X137" s="88"/>
      <c r="Y137" s="88"/>
      <c r="Z137" s="88"/>
      <c r="AA137" s="88"/>
      <c r="AB137" s="88"/>
      <c r="AC137" s="88"/>
      <c r="AE137">
        <f t="shared" si="5"/>
        <v>-21</v>
      </c>
      <c r="AF137" s="113">
        <f t="shared" si="14"/>
        <v>49.234317376725294</v>
      </c>
      <c r="AG137" s="124">
        <f t="shared" si="15"/>
        <v>1.4523959655853629</v>
      </c>
      <c r="AH137" s="124">
        <f t="shared" si="16"/>
        <v>49.234317376725294</v>
      </c>
      <c r="AI137" s="124">
        <f t="shared" si="7"/>
        <v>3.2727365049186812</v>
      </c>
      <c r="AJ137" s="124">
        <f t="shared" si="8"/>
        <v>0.56565816134396951</v>
      </c>
      <c r="AK137" s="124">
        <f t="shared" si="9"/>
        <v>1.3191753438098588</v>
      </c>
      <c r="AL137" s="124">
        <f t="shared" si="10"/>
        <v>0.29930327786695743</v>
      </c>
      <c r="AM137" s="124">
        <f t="shared" si="11"/>
        <v>0.14950213679668203</v>
      </c>
      <c r="AN137" s="124">
        <f t="shared" si="12"/>
        <v>1.0075785998939457</v>
      </c>
    </row>
    <row r="138" spans="1:40" ht="14">
      <c r="A138">
        <f t="shared" si="3"/>
        <v>-20</v>
      </c>
      <c r="B138" s="21">
        <v>60</v>
      </c>
      <c r="C138" s="123">
        <f t="shared" si="13"/>
        <v>57.339817708019403</v>
      </c>
      <c r="D138" s="125">
        <f>(($C$39*$C$118*$D$14)*('Product half-life and C flows'!B39/100))</f>
        <v>1.4029220271427816</v>
      </c>
      <c r="E138" s="127">
        <f t="shared" si="17"/>
        <v>50.957490799304182</v>
      </c>
      <c r="F138" s="54">
        <f t="shared" si="20"/>
        <v>3.2727365049186812</v>
      </c>
      <c r="G138" s="54">
        <f t="shared" si="20"/>
        <v>0.56565816134396951</v>
      </c>
      <c r="H138" s="125">
        <f>(H$118)*('Product half-life and C flows'!L39/100)</f>
        <v>1.2990114227569185</v>
      </c>
      <c r="I138" s="125">
        <f>(($C$39*$C$118*0.28)*H$41)*('Product half-life and C flows'!N39/100)</f>
        <v>0.31275933451628624</v>
      </c>
      <c r="J138" s="125">
        <f>(($C$39*$C$118*0.28)*H$41)*(+'Product half-life and C flows'!P39/100)</f>
        <v>0.15622344381432879</v>
      </c>
      <c r="K138" s="54">
        <f t="shared" si="19"/>
        <v>1.0075785998939457</v>
      </c>
      <c r="L138" s="26"/>
      <c r="M138" s="80"/>
      <c r="N138" s="80"/>
      <c r="O138" s="82"/>
      <c r="P138" s="81"/>
      <c r="Q138" s="81"/>
      <c r="R138" s="81"/>
      <c r="S138" s="81"/>
      <c r="T138" s="81"/>
      <c r="U138" s="3"/>
      <c r="V138" s="88"/>
      <c r="W138" s="88"/>
      <c r="X138" s="88"/>
      <c r="Y138" s="88"/>
      <c r="Z138" s="88"/>
      <c r="AA138" s="88"/>
      <c r="AB138" s="88"/>
      <c r="AC138" s="88"/>
      <c r="AE138">
        <f t="shared" si="5"/>
        <v>-20</v>
      </c>
      <c r="AF138" s="113">
        <f t="shared" si="14"/>
        <v>50.957490799304182</v>
      </c>
      <c r="AG138" s="124">
        <f t="shared" si="15"/>
        <v>1.4029220271427816</v>
      </c>
      <c r="AH138" s="124">
        <f t="shared" si="16"/>
        <v>50.957490799304182</v>
      </c>
      <c r="AI138" s="124">
        <f t="shared" si="7"/>
        <v>3.2727365049186812</v>
      </c>
      <c r="AJ138" s="124">
        <f t="shared" si="8"/>
        <v>0.56565816134396951</v>
      </c>
      <c r="AK138" s="124">
        <f t="shared" si="9"/>
        <v>1.2990114227569185</v>
      </c>
      <c r="AL138" s="124">
        <f t="shared" si="10"/>
        <v>0.31275933451628624</v>
      </c>
      <c r="AM138" s="124">
        <f t="shared" si="11"/>
        <v>0.15622344381432879</v>
      </c>
      <c r="AN138" s="124">
        <f t="shared" si="12"/>
        <v>1.0075785998939457</v>
      </c>
    </row>
    <row r="139" spans="1:40" ht="14">
      <c r="A139">
        <f t="shared" si="3"/>
        <v>-19</v>
      </c>
      <c r="B139" s="21">
        <v>61</v>
      </c>
      <c r="C139" s="123">
        <f t="shared" si="13"/>
        <v>58.820504655333551</v>
      </c>
      <c r="D139" s="125">
        <f>(($C$39*$C$118*$D$14)*('Product half-life and C flows'!B40/100))</f>
        <v>1.3551333526661011</v>
      </c>
      <c r="E139" s="127">
        <f t="shared" si="17"/>
        <v>52.68066422188307</v>
      </c>
      <c r="F139" s="54">
        <f t="shared" si="20"/>
        <v>3.2727365049186812</v>
      </c>
      <c r="G139" s="54">
        <f t="shared" si="20"/>
        <v>0.56565816134396951</v>
      </c>
      <c r="H139" s="125">
        <f>(H$118)*('Product half-life and C flows'!L40/100)</f>
        <v>1.2791557122190829</v>
      </c>
      <c r="I139" s="125">
        <f>(($C$39*$C$118*0.28)*H$41)*('Product half-life and C flows'!N40/100)</f>
        <v>0.32600971201520185</v>
      </c>
      <c r="J139" s="125">
        <f>(($C$39*$C$118*0.28)*H$41)*(+'Product half-life and C flows'!P40/100)</f>
        <v>0.16284201399360729</v>
      </c>
      <c r="K139" s="54">
        <f t="shared" si="19"/>
        <v>1.0075785998939457</v>
      </c>
      <c r="L139" s="26"/>
      <c r="M139" s="80"/>
      <c r="N139" s="80"/>
      <c r="O139" s="82"/>
      <c r="P139" s="81"/>
      <c r="Q139" s="81"/>
      <c r="R139" s="81"/>
      <c r="S139" s="81"/>
      <c r="T139" s="81"/>
      <c r="U139" s="3"/>
      <c r="V139" s="88"/>
      <c r="W139" s="88"/>
      <c r="X139" s="88"/>
      <c r="Y139" s="88"/>
      <c r="Z139" s="88"/>
      <c r="AA139" s="88"/>
      <c r="AB139" s="88"/>
      <c r="AC139" s="88"/>
      <c r="AE139">
        <f t="shared" si="5"/>
        <v>-19</v>
      </c>
      <c r="AF139" s="113">
        <f t="shared" si="14"/>
        <v>52.68066422188307</v>
      </c>
      <c r="AG139" s="124">
        <f t="shared" si="15"/>
        <v>1.3551333526661011</v>
      </c>
      <c r="AH139" s="124">
        <f t="shared" si="16"/>
        <v>52.68066422188307</v>
      </c>
      <c r="AI139" s="124">
        <f t="shared" si="7"/>
        <v>3.2727365049186812</v>
      </c>
      <c r="AJ139" s="124">
        <f t="shared" si="8"/>
        <v>0.56565816134396951</v>
      </c>
      <c r="AK139" s="124">
        <f t="shared" si="9"/>
        <v>1.2791557122190829</v>
      </c>
      <c r="AL139" s="124">
        <f t="shared" si="10"/>
        <v>0.32600971201520185</v>
      </c>
      <c r="AM139" s="124">
        <f t="shared" si="11"/>
        <v>0.16284201399360729</v>
      </c>
      <c r="AN139" s="124">
        <f t="shared" si="12"/>
        <v>1.0075785998939457</v>
      </c>
    </row>
    <row r="140" spans="1:40" ht="14">
      <c r="A140">
        <f t="shared" si="3"/>
        <v>-18</v>
      </c>
      <c r="B140" s="21">
        <v>62</v>
      </c>
      <c r="C140" s="123">
        <f t="shared" si="13"/>
        <v>60.296398550762532</v>
      </c>
      <c r="D140" s="125">
        <f>(($C$39*$C$118*$D$14)*('Product half-life and C flows'!B41/100))</f>
        <v>1.3089725358779116</v>
      </c>
      <c r="E140" s="127">
        <f t="shared" si="17"/>
        <v>54.403837644461959</v>
      </c>
      <c r="F140" s="54">
        <f t="shared" si="20"/>
        <v>3.2727365049186812</v>
      </c>
      <c r="G140" s="54">
        <f t="shared" si="20"/>
        <v>0.56565816134396951</v>
      </c>
      <c r="H140" s="125">
        <f>(H$118)*('Product half-life and C flows'!L41/100)</f>
        <v>1.2596035011224811</v>
      </c>
      <c r="I140" s="125">
        <f>(($C$39*$C$118*0.28)*H$41)*('Product half-life and C flows'!N41/100)</f>
        <v>0.33905755422033429</v>
      </c>
      <c r="J140" s="125">
        <f>(($C$39*$C$118*0.28)*H$41)*(+'Product half-life and C flows'!P41/100)</f>
        <v>0.16935941769247465</v>
      </c>
      <c r="K140" s="54">
        <f t="shared" si="19"/>
        <v>1.0075785998939457</v>
      </c>
      <c r="L140" s="26"/>
      <c r="M140" s="80"/>
      <c r="N140" s="80"/>
      <c r="O140" s="82"/>
      <c r="P140" s="81"/>
      <c r="Q140" s="81"/>
      <c r="R140" s="81"/>
      <c r="S140" s="81"/>
      <c r="T140" s="81"/>
      <c r="U140" s="3"/>
      <c r="V140" s="88"/>
      <c r="W140" s="88"/>
      <c r="X140" s="88"/>
      <c r="Y140" s="88"/>
      <c r="Z140" s="88"/>
      <c r="AA140" s="88"/>
      <c r="AB140" s="88"/>
      <c r="AC140" s="88"/>
      <c r="AE140">
        <f t="shared" si="5"/>
        <v>-18</v>
      </c>
      <c r="AF140" s="113">
        <f t="shared" si="14"/>
        <v>54.403837644461959</v>
      </c>
      <c r="AG140" s="124">
        <f t="shared" si="15"/>
        <v>1.3089725358779116</v>
      </c>
      <c r="AH140" s="124">
        <f t="shared" si="16"/>
        <v>54.403837644461959</v>
      </c>
      <c r="AI140" s="124">
        <f t="shared" si="7"/>
        <v>3.2727365049186812</v>
      </c>
      <c r="AJ140" s="124">
        <f t="shared" si="8"/>
        <v>0.56565816134396951</v>
      </c>
      <c r="AK140" s="124">
        <f t="shared" si="9"/>
        <v>1.2596035011224811</v>
      </c>
      <c r="AL140" s="124">
        <f t="shared" si="10"/>
        <v>0.33905755422033429</v>
      </c>
      <c r="AM140" s="124">
        <f t="shared" si="11"/>
        <v>0.16935941769247465</v>
      </c>
      <c r="AN140" s="124">
        <f t="shared" si="12"/>
        <v>1.0075785998939457</v>
      </c>
    </row>
    <row r="141" spans="1:40" ht="14">
      <c r="A141">
        <f t="shared" si="3"/>
        <v>-17</v>
      </c>
      <c r="B141" s="21">
        <v>63</v>
      </c>
      <c r="C141" s="123">
        <f t="shared" si="13"/>
        <v>61.766828107944157</v>
      </c>
      <c r="D141" s="125">
        <f>(($C$39*$C$118*$D$14)*('Product half-life and C flows'!B42/100))</f>
        <v>1.2643841259693558</v>
      </c>
      <c r="E141" s="127">
        <f t="shared" si="17"/>
        <v>56.127011067040847</v>
      </c>
      <c r="F141" s="54">
        <f t="shared" si="20"/>
        <v>3.2727365049186812</v>
      </c>
      <c r="G141" s="54">
        <f t="shared" si="20"/>
        <v>0.56565816134396951</v>
      </c>
      <c r="H141" s="125">
        <f>(H$118)*('Product half-life and C flows'!L42/100)</f>
        <v>1.2403501504031682</v>
      </c>
      <c r="I141" s="125">
        <f>(($C$39*$C$118*0.28)*H$41)*('Product half-life and C flows'!N42/100)</f>
        <v>0.35190595693368892</v>
      </c>
      <c r="J141" s="125">
        <f>(($C$39*$C$118*0.28)*H$41)*(+'Product half-life and C flows'!P42/100)</f>
        <v>0.17577720126557886</v>
      </c>
      <c r="K141" s="54">
        <f t="shared" si="19"/>
        <v>1.0075785998939457</v>
      </c>
      <c r="L141" s="26"/>
      <c r="M141" s="80"/>
      <c r="N141" s="80"/>
      <c r="O141" s="82"/>
      <c r="P141" s="81"/>
      <c r="Q141" s="81"/>
      <c r="R141" s="81"/>
      <c r="S141" s="81"/>
      <c r="T141" s="81"/>
      <c r="U141" s="3"/>
      <c r="V141" s="88"/>
      <c r="W141" s="88"/>
      <c r="X141" s="88"/>
      <c r="Y141" s="88"/>
      <c r="Z141" s="88"/>
      <c r="AA141" s="88"/>
      <c r="AB141" s="88"/>
      <c r="AC141" s="88"/>
      <c r="AE141">
        <f t="shared" si="5"/>
        <v>-17</v>
      </c>
      <c r="AF141" s="113">
        <f t="shared" si="14"/>
        <v>56.127011067040847</v>
      </c>
      <c r="AG141" s="124">
        <f t="shared" si="15"/>
        <v>1.2643841259693558</v>
      </c>
      <c r="AH141" s="124">
        <f t="shared" si="16"/>
        <v>56.127011067040847</v>
      </c>
      <c r="AI141" s="124">
        <f t="shared" si="7"/>
        <v>3.2727365049186812</v>
      </c>
      <c r="AJ141" s="124">
        <f t="shared" si="8"/>
        <v>0.56565816134396951</v>
      </c>
      <c r="AK141" s="124">
        <f t="shared" si="9"/>
        <v>1.2403501504031682</v>
      </c>
      <c r="AL141" s="124">
        <f t="shared" si="10"/>
        <v>0.35190595693368892</v>
      </c>
      <c r="AM141" s="124">
        <f t="shared" si="11"/>
        <v>0.17577720126557886</v>
      </c>
      <c r="AN141" s="124">
        <f t="shared" si="12"/>
        <v>1.0075785998939457</v>
      </c>
    </row>
    <row r="142" spans="1:40" ht="14">
      <c r="A142">
        <f t="shared" ref="A142:A156" si="21">A143-1</f>
        <v>-16</v>
      </c>
      <c r="B142" s="21">
        <v>64</v>
      </c>
      <c r="C142" s="123">
        <f t="shared" si="13"/>
        <v>63.231153990596866</v>
      </c>
      <c r="D142" s="125">
        <f>(($C$39*$C$118*$D$14)*('Product half-life and C flows'!B43/100))</f>
        <v>1.2213145609896889</v>
      </c>
      <c r="E142" s="127">
        <f t="shared" si="17"/>
        <v>57.850184489619735</v>
      </c>
      <c r="F142" s="54">
        <f t="shared" si="20"/>
        <v>3.2727365049186812</v>
      </c>
      <c r="G142" s="54">
        <f t="shared" si="20"/>
        <v>0.56565816134396951</v>
      </c>
      <c r="H142" s="125">
        <f>(H$118)*('Product half-life and C flows'!L43/100)</f>
        <v>1.2213910919064401</v>
      </c>
      <c r="I142" s="125">
        <f>(($C$39*$C$118*0.28)*H$41)*('Product half-life and C flows'!N43/100)</f>
        <v>0.3645579686371721</v>
      </c>
      <c r="J142" s="125">
        <f>(($C$39*$C$118*0.28)*H$41)*(+'Product half-life and C flows'!P43/100)</f>
        <v>0.18209688743115485</v>
      </c>
      <c r="K142" s="54">
        <f t="shared" si="19"/>
        <v>1.0075785998939457</v>
      </c>
      <c r="L142" s="26"/>
      <c r="M142" s="80"/>
      <c r="N142" s="80"/>
      <c r="O142" s="82"/>
      <c r="P142" s="81"/>
      <c r="Q142" s="81"/>
      <c r="R142" s="81"/>
      <c r="S142" s="81"/>
      <c r="T142" s="81"/>
      <c r="U142" s="3"/>
      <c r="V142" s="88"/>
      <c r="W142" s="88"/>
      <c r="X142" s="88"/>
      <c r="Y142" s="88"/>
      <c r="Z142" s="88"/>
      <c r="AA142" s="88"/>
      <c r="AB142" s="88"/>
      <c r="AC142" s="88"/>
      <c r="AE142">
        <f t="shared" ref="AE142:AE205" si="22">A142</f>
        <v>-16</v>
      </c>
      <c r="AF142" s="113">
        <f t="shared" si="14"/>
        <v>57.850184489619735</v>
      </c>
      <c r="AG142" s="124">
        <f t="shared" si="15"/>
        <v>1.2213145609896889</v>
      </c>
      <c r="AH142" s="124">
        <f t="shared" si="16"/>
        <v>57.850184489619735</v>
      </c>
      <c r="AI142" s="124">
        <f t="shared" si="7"/>
        <v>3.2727365049186812</v>
      </c>
      <c r="AJ142" s="124">
        <f t="shared" si="8"/>
        <v>0.56565816134396951</v>
      </c>
      <c r="AK142" s="124">
        <f t="shared" si="9"/>
        <v>1.2213910919064401</v>
      </c>
      <c r="AL142" s="124">
        <f t="shared" si="10"/>
        <v>0.3645579686371721</v>
      </c>
      <c r="AM142" s="124">
        <f t="shared" si="11"/>
        <v>0.18209688743115485</v>
      </c>
      <c r="AN142" s="124">
        <f t="shared" si="12"/>
        <v>1.0075785998939457</v>
      </c>
    </row>
    <row r="143" spans="1:40" ht="14">
      <c r="A143">
        <f t="shared" si="21"/>
        <v>-15</v>
      </c>
      <c r="B143" s="21">
        <v>65</v>
      </c>
      <c r="C143" s="123">
        <f t="shared" si="13"/>
        <v>64.688768111309656</v>
      </c>
      <c r="D143" s="125">
        <f>(($C$39*$C$118*$D$14)*('Product half-life and C flows'!B44/100))</f>
        <v>1.1797121035048395</v>
      </c>
      <c r="E143" s="127">
        <f t="shared" si="17"/>
        <v>59.573357912198624</v>
      </c>
      <c r="F143" s="54">
        <f t="shared" si="20"/>
        <v>3.2727365049186812</v>
      </c>
      <c r="G143" s="54">
        <f t="shared" si="20"/>
        <v>0.56565816134396951</v>
      </c>
      <c r="H143" s="125">
        <f>(H$118)*('Product half-life and C flows'!L44/100)</f>
        <v>1.2027218273029656</v>
      </c>
      <c r="I143" s="125">
        <f>(($C$39*$C$118*0.28)*H$41)*('Product half-life and C flows'!N44/100)</f>
        <v>0.37701659121589082</v>
      </c>
      <c r="J143" s="125">
        <f>(($C$39*$C$118*0.28)*H$41)*(+'Product half-life and C flows'!P44/100)</f>
        <v>0.18831997563231306</v>
      </c>
      <c r="K143" s="54">
        <f t="shared" si="19"/>
        <v>1.0075785998939457</v>
      </c>
      <c r="L143" s="26"/>
      <c r="M143" s="80"/>
      <c r="N143" s="80"/>
      <c r="O143" s="82"/>
      <c r="P143" s="81"/>
      <c r="Q143" s="81"/>
      <c r="R143" s="81"/>
      <c r="S143" s="81"/>
      <c r="T143" s="81"/>
      <c r="U143" s="3"/>
      <c r="V143" s="88"/>
      <c r="W143" s="88"/>
      <c r="X143" s="88"/>
      <c r="Y143" s="88"/>
      <c r="Z143" s="88"/>
      <c r="AA143" s="88"/>
      <c r="AB143" s="88"/>
      <c r="AC143" s="88"/>
      <c r="AE143">
        <f t="shared" si="22"/>
        <v>-15</v>
      </c>
      <c r="AF143" s="113">
        <f t="shared" si="14"/>
        <v>59.573357912198624</v>
      </c>
      <c r="AG143" s="124">
        <f t="shared" si="15"/>
        <v>1.1797121035048395</v>
      </c>
      <c r="AH143" s="124">
        <f t="shared" si="16"/>
        <v>59.573357912198624</v>
      </c>
      <c r="AI143" s="124">
        <f t="shared" si="7"/>
        <v>3.2727365049186812</v>
      </c>
      <c r="AJ143" s="124">
        <f t="shared" si="8"/>
        <v>0.56565816134396951</v>
      </c>
      <c r="AK143" s="124">
        <f t="shared" si="9"/>
        <v>1.2027218273029656</v>
      </c>
      <c r="AL143" s="124">
        <f t="shared" si="10"/>
        <v>0.37701659121589082</v>
      </c>
      <c r="AM143" s="124">
        <f t="shared" si="11"/>
        <v>0.18831997563231306</v>
      </c>
      <c r="AN143" s="124">
        <f t="shared" si="12"/>
        <v>1.0075785998939457</v>
      </c>
    </row>
    <row r="144" spans="1:40" ht="14">
      <c r="A144">
        <f t="shared" si="21"/>
        <v>-14</v>
      </c>
      <c r="B144" s="21">
        <v>66</v>
      </c>
      <c r="C144" s="123">
        <f t="shared" si="13"/>
        <v>66.139092908293648</v>
      </c>
      <c r="D144" s="125">
        <f>(($C$39*$C$118*$D$14)*('Product half-life and C flows'!B45/100))</f>
        <v>1.1395267784476719</v>
      </c>
      <c r="E144" s="127">
        <f t="shared" si="17"/>
        <v>61.296531334777512</v>
      </c>
      <c r="F144" s="54">
        <f t="shared" si="20"/>
        <v>3.2727365049186812</v>
      </c>
      <c r="G144" s="54">
        <f t="shared" si="20"/>
        <v>0.56565816134396951</v>
      </c>
      <c r="H144" s="125">
        <f>(H$118)*('Product half-life and C flows'!L45/100)</f>
        <v>1.1843379270214878</v>
      </c>
      <c r="I144" s="125">
        <f>(($C$39*$C$118*0.28)*H$41)*('Product half-life and C flows'!N45/100)</f>
        <v>0.38928478067039707</v>
      </c>
      <c r="J144" s="125">
        <f>(($C$39*$C$118*0.28)*H$41)*(+'Product half-life and C flows'!P45/100)</f>
        <v>0.19444794239280572</v>
      </c>
      <c r="K144" s="54">
        <f t="shared" si="19"/>
        <v>1.0075785998939457</v>
      </c>
      <c r="L144" s="26"/>
      <c r="M144" s="80"/>
      <c r="N144" s="80"/>
      <c r="O144" s="82"/>
      <c r="P144" s="81"/>
      <c r="Q144" s="81"/>
      <c r="R144" s="81"/>
      <c r="S144" s="81"/>
      <c r="T144" s="81"/>
      <c r="U144" s="3"/>
      <c r="V144" s="88"/>
      <c r="W144" s="88"/>
      <c r="X144" s="88"/>
      <c r="Y144" s="88"/>
      <c r="Z144" s="88"/>
      <c r="AA144" s="88"/>
      <c r="AB144" s="88"/>
      <c r="AC144" s="88"/>
      <c r="AE144">
        <f t="shared" si="22"/>
        <v>-14</v>
      </c>
      <c r="AF144" s="113">
        <f t="shared" si="14"/>
        <v>61.296531334777512</v>
      </c>
      <c r="AG144" s="124">
        <f t="shared" si="15"/>
        <v>1.1395267784476719</v>
      </c>
      <c r="AH144" s="124">
        <f t="shared" si="16"/>
        <v>61.296531334777512</v>
      </c>
      <c r="AI144" s="124">
        <f t="shared" si="7"/>
        <v>3.2727365049186812</v>
      </c>
      <c r="AJ144" s="124">
        <f t="shared" si="8"/>
        <v>0.56565816134396951</v>
      </c>
      <c r="AK144" s="124">
        <f t="shared" si="9"/>
        <v>1.1843379270214878</v>
      </c>
      <c r="AL144" s="124">
        <f t="shared" si="10"/>
        <v>0.38928478067039707</v>
      </c>
      <c r="AM144" s="124">
        <f t="shared" si="11"/>
        <v>0.19444794239280572</v>
      </c>
      <c r="AN144" s="124">
        <f t="shared" si="12"/>
        <v>1.0075785998939457</v>
      </c>
    </row>
    <row r="145" spans="1:41" ht="14">
      <c r="A145">
        <f t="shared" si="21"/>
        <v>-13</v>
      </c>
      <c r="B145" s="21">
        <v>67</v>
      </c>
      <c r="C145" s="123">
        <f t="shared" si="13"/>
        <v>67.581580604188758</v>
      </c>
      <c r="D145" s="125">
        <f>(($C$39*$C$118*$D$14)*('Product half-life and C flows'!B46/100))</f>
        <v>1.1007103130853002</v>
      </c>
      <c r="E145" s="127">
        <f t="shared" si="17"/>
        <v>63.019704757356401</v>
      </c>
      <c r="F145" s="54">
        <f t="shared" si="20"/>
        <v>3.2727365049186812</v>
      </c>
      <c r="G145" s="54">
        <f t="shared" si="20"/>
        <v>0.56565816134396951</v>
      </c>
      <c r="H145" s="125">
        <f>(H$118)*('Product half-life and C flows'!L46/100)</f>
        <v>1.1662350291978405</v>
      </c>
      <c r="I145" s="125">
        <f>(($C$39*$C$118*0.28)*H$41)*('Product half-life and C flows'!N46/100)</f>
        <v>0.40136544781804434</v>
      </c>
      <c r="J145" s="125">
        <f>(($C$39*$C$118*0.28)*H$41)*(+'Product half-life and C flows'!P46/100)</f>
        <v>0.20048224166735482</v>
      </c>
      <c r="K145" s="54">
        <f t="shared" si="19"/>
        <v>1.0075785998939457</v>
      </c>
      <c r="L145" s="26"/>
      <c r="M145" s="80"/>
      <c r="N145" s="80"/>
      <c r="O145" s="82"/>
      <c r="P145" s="81"/>
      <c r="Q145" s="81"/>
      <c r="R145" s="81"/>
      <c r="S145" s="81"/>
      <c r="T145" s="81"/>
      <c r="U145" s="3"/>
      <c r="V145" s="88"/>
      <c r="W145" s="88"/>
      <c r="X145" s="88"/>
      <c r="Y145" s="88"/>
      <c r="Z145" s="88"/>
      <c r="AA145" s="88"/>
      <c r="AB145" s="88"/>
      <c r="AC145" s="88"/>
      <c r="AE145">
        <f t="shared" si="22"/>
        <v>-13</v>
      </c>
      <c r="AF145" s="113">
        <f t="shared" si="14"/>
        <v>63.019704757356401</v>
      </c>
      <c r="AG145" s="124">
        <f t="shared" si="15"/>
        <v>1.1007103130853002</v>
      </c>
      <c r="AH145" s="124">
        <f t="shared" si="16"/>
        <v>63.019704757356401</v>
      </c>
      <c r="AI145" s="124">
        <f t="shared" si="7"/>
        <v>3.2727365049186812</v>
      </c>
      <c r="AJ145" s="124">
        <f t="shared" si="8"/>
        <v>0.56565816134396951</v>
      </c>
      <c r="AK145" s="124">
        <f t="shared" si="9"/>
        <v>1.1662350291978405</v>
      </c>
      <c r="AL145" s="124">
        <f t="shared" si="10"/>
        <v>0.40136544781804434</v>
      </c>
      <c r="AM145" s="124">
        <f t="shared" si="11"/>
        <v>0.20048224166735482</v>
      </c>
      <c r="AN145" s="124">
        <f t="shared" si="12"/>
        <v>1.0075785998939457</v>
      </c>
    </row>
    <row r="146" spans="1:41" ht="14">
      <c r="A146">
        <f t="shared" si="21"/>
        <v>-12</v>
      </c>
      <c r="B146" s="21">
        <v>68</v>
      </c>
      <c r="C146" s="123">
        <f t="shared" si="13"/>
        <v>69.015712450663429</v>
      </c>
      <c r="D146" s="125">
        <f>(($C$39*$C$118*$D$14)*('Product half-life and C flows'!B47/100))</f>
        <v>1.0632160790313323</v>
      </c>
      <c r="E146" s="127">
        <f t="shared" si="17"/>
        <v>64.742878179935289</v>
      </c>
      <c r="F146" s="54">
        <f t="shared" si="20"/>
        <v>3.2727365049186812</v>
      </c>
      <c r="G146" s="54">
        <f t="shared" si="20"/>
        <v>0.56565816134396951</v>
      </c>
      <c r="H146" s="125">
        <f>(H$118)*('Product half-life and C flows'!L47/100)</f>
        <v>1.1484088386400308</v>
      </c>
      <c r="I146" s="125">
        <f>(($C$39*$C$118*0.28)*H$41)*('Product half-life and C flows'!N47/100)</f>
        <v>0.41326145898362254</v>
      </c>
      <c r="J146" s="125">
        <f>(($C$39*$C$118*0.28)*H$41)*(+'Product half-life and C flows'!P47/100)</f>
        <v>0.20642430518662463</v>
      </c>
      <c r="K146" s="54">
        <f t="shared" si="19"/>
        <v>1.0075785998939457</v>
      </c>
      <c r="L146" s="26"/>
      <c r="M146" s="80"/>
      <c r="N146" s="80"/>
      <c r="O146" s="82"/>
      <c r="P146" s="81"/>
      <c r="Q146" s="81"/>
      <c r="R146" s="81"/>
      <c r="S146" s="81"/>
      <c r="T146" s="81"/>
      <c r="U146" s="3"/>
      <c r="V146" s="88"/>
      <c r="W146" s="88"/>
      <c r="X146" s="88"/>
      <c r="Y146" s="88"/>
      <c r="Z146" s="88"/>
      <c r="AA146" s="88"/>
      <c r="AB146" s="88"/>
      <c r="AC146" s="88"/>
      <c r="AE146">
        <f t="shared" si="22"/>
        <v>-12</v>
      </c>
      <c r="AF146" s="113">
        <f t="shared" si="14"/>
        <v>64.742878179935289</v>
      </c>
      <c r="AG146" s="124">
        <f t="shared" si="15"/>
        <v>1.0632160790313323</v>
      </c>
      <c r="AH146" s="124">
        <f t="shared" si="16"/>
        <v>64.742878179935289</v>
      </c>
      <c r="AI146" s="124">
        <f t="shared" si="7"/>
        <v>3.2727365049186812</v>
      </c>
      <c r="AJ146" s="124">
        <f t="shared" si="8"/>
        <v>0.56565816134396951</v>
      </c>
      <c r="AK146" s="124">
        <f t="shared" si="9"/>
        <v>1.1484088386400308</v>
      </c>
      <c r="AL146" s="124">
        <f t="shared" si="10"/>
        <v>0.41326145898362254</v>
      </c>
      <c r="AM146" s="124">
        <f t="shared" si="11"/>
        <v>0.20642430518662463</v>
      </c>
      <c r="AN146" s="124">
        <f t="shared" si="12"/>
        <v>1.0075785998939457</v>
      </c>
    </row>
    <row r="147" spans="1:41" ht="14">
      <c r="A147">
        <f t="shared" si="21"/>
        <v>-11</v>
      </c>
      <c r="B147" s="21">
        <v>69</v>
      </c>
      <c r="C147" s="123">
        <f t="shared" si="13"/>
        <v>70.440997962215533</v>
      </c>
      <c r="D147" s="125">
        <f>(($C$39*$C$118*$D$14)*('Product half-life and C flows'!B48/100))</f>
        <v>1.0269990362333938</v>
      </c>
      <c r="E147" s="127">
        <f t="shared" si="17"/>
        <v>66.466051602514185</v>
      </c>
      <c r="F147" s="54">
        <f t="shared" si="20"/>
        <v>3.2727365049186812</v>
      </c>
      <c r="G147" s="54">
        <f t="shared" si="20"/>
        <v>0.56565816134396951</v>
      </c>
      <c r="H147" s="125">
        <f>(H$118)*('Product half-life and C flows'!L48/100)</f>
        <v>1.1308551258091351</v>
      </c>
      <c r="I147" s="125">
        <f>(($C$39*$C$118*0.28)*H$41)*('Product half-life and C flows'!N48/100)</f>
        <v>0.42497563667944049</v>
      </c>
      <c r="J147" s="125">
        <f>(($C$39*$C$118*0.28)*H$41)*(+'Product half-life and C flows'!P48/100)</f>
        <v>0.21227554279692329</v>
      </c>
      <c r="K147" s="54">
        <f t="shared" si="19"/>
        <v>1.0075785998939457</v>
      </c>
      <c r="L147" s="26"/>
      <c r="M147" s="80"/>
      <c r="N147" s="80"/>
      <c r="O147" s="82"/>
      <c r="P147" s="81"/>
      <c r="Q147" s="81"/>
      <c r="R147" s="81"/>
      <c r="S147" s="81"/>
      <c r="T147" s="81"/>
      <c r="U147" s="3"/>
      <c r="V147" s="88"/>
      <c r="W147" s="88"/>
      <c r="X147" s="88"/>
      <c r="Y147" s="88"/>
      <c r="Z147" s="88"/>
      <c r="AA147" s="88"/>
      <c r="AB147" s="88"/>
      <c r="AC147" s="88"/>
      <c r="AE147">
        <f t="shared" si="22"/>
        <v>-11</v>
      </c>
      <c r="AF147" s="113">
        <f t="shared" si="14"/>
        <v>66.466051602514185</v>
      </c>
      <c r="AG147" s="124">
        <f t="shared" si="15"/>
        <v>1.0269990362333938</v>
      </c>
      <c r="AH147" s="124">
        <f t="shared" si="16"/>
        <v>66.466051602514185</v>
      </c>
      <c r="AI147" s="124">
        <f t="shared" si="7"/>
        <v>3.2727365049186812</v>
      </c>
      <c r="AJ147" s="124">
        <f t="shared" si="8"/>
        <v>0.56565816134396951</v>
      </c>
      <c r="AK147" s="124">
        <f t="shared" si="9"/>
        <v>1.1308551258091351</v>
      </c>
      <c r="AL147" s="124">
        <f t="shared" si="10"/>
        <v>0.42497563667944049</v>
      </c>
      <c r="AM147" s="124">
        <f t="shared" si="11"/>
        <v>0.21227554279692329</v>
      </c>
      <c r="AN147" s="124">
        <f t="shared" si="12"/>
        <v>1.0075785998939457</v>
      </c>
    </row>
    <row r="148" spans="1:41" ht="14">
      <c r="A148">
        <f t="shared" si="21"/>
        <v>-10</v>
      </c>
      <c r="B148" s="21">
        <v>70</v>
      </c>
      <c r="C148" s="123">
        <f t="shared" si="13"/>
        <v>71.856974142276854</v>
      </c>
      <c r="D148" s="125">
        <f>(($C$39*$C$118*$D$14)*('Product half-life and C flows'!B49/100))</f>
        <v>0.99201567886863862</v>
      </c>
      <c r="E148" s="127">
        <f t="shared" si="17"/>
        <v>68.18922502509308</v>
      </c>
      <c r="F148" s="54">
        <f t="shared" si="20"/>
        <v>3.2727365049186812</v>
      </c>
      <c r="G148" s="54">
        <f t="shared" si="20"/>
        <v>0.56565816134396951</v>
      </c>
      <c r="H148" s="125">
        <f>(H$118)*('Product half-life and C flows'!L49/100)</f>
        <v>1.1135697258157775</v>
      </c>
      <c r="I148" s="125">
        <f>(($C$39*$C$118*0.28)*H$41)*('Product half-life and C flows'!N49/100)</f>
        <v>0.43651076027500768</v>
      </c>
      <c r="J148" s="125">
        <f>(($C$39*$C$118*0.28)*H$41)*(+'Product half-life and C flows'!P49/100)</f>
        <v>0.2180373427947091</v>
      </c>
      <c r="K148" s="54">
        <f t="shared" si="19"/>
        <v>1.0075785998939457</v>
      </c>
      <c r="L148" s="26"/>
      <c r="M148" s="80"/>
      <c r="N148" s="80"/>
      <c r="O148" s="82"/>
      <c r="P148" s="81"/>
      <c r="Q148" s="81"/>
      <c r="R148" s="81"/>
      <c r="S148" s="81"/>
      <c r="T148" s="81"/>
      <c r="U148" s="3"/>
      <c r="V148" s="88"/>
      <c r="W148" s="88"/>
      <c r="X148" s="88"/>
      <c r="Y148" s="88"/>
      <c r="Z148" s="88"/>
      <c r="AA148" s="88"/>
      <c r="AB148" s="88"/>
      <c r="AC148" s="88"/>
      <c r="AE148">
        <f t="shared" si="22"/>
        <v>-10</v>
      </c>
      <c r="AF148" s="113">
        <f t="shared" si="14"/>
        <v>68.18922502509308</v>
      </c>
      <c r="AG148" s="124">
        <f t="shared" si="15"/>
        <v>0.99201567886863862</v>
      </c>
      <c r="AH148" s="124">
        <f t="shared" si="16"/>
        <v>68.18922502509308</v>
      </c>
      <c r="AI148" s="124">
        <f t="shared" si="7"/>
        <v>3.2727365049186812</v>
      </c>
      <c r="AJ148" s="124">
        <f t="shared" si="8"/>
        <v>0.56565816134396951</v>
      </c>
      <c r="AK148" s="124">
        <f t="shared" si="9"/>
        <v>1.1135697258157775</v>
      </c>
      <c r="AL148" s="124">
        <f t="shared" si="10"/>
        <v>0.43651076027500768</v>
      </c>
      <c r="AM148" s="124">
        <f t="shared" si="11"/>
        <v>0.2180373427947091</v>
      </c>
      <c r="AN148" s="124">
        <f t="shared" si="12"/>
        <v>1.0075785998939457</v>
      </c>
    </row>
    <row r="149" spans="1:41" ht="14">
      <c r="A149">
        <f t="shared" si="21"/>
        <v>-9</v>
      </c>
      <c r="B149" s="21">
        <v>71</v>
      </c>
      <c r="C149" s="123">
        <f t="shared" si="13"/>
        <v>73.26320470443828</v>
      </c>
      <c r="D149" s="125">
        <f>(($C$39*$C$118*$D$14)*('Product half-life and C flows'!B50/100))</f>
        <v>0.95822398308226131</v>
      </c>
      <c r="E149" s="127">
        <f t="shared" si="17"/>
        <v>69.912398447671976</v>
      </c>
      <c r="F149" s="54">
        <f t="shared" si="20"/>
        <v>3.2727365049186812</v>
      </c>
      <c r="G149" s="54">
        <f t="shared" si="20"/>
        <v>0.56565816134396951</v>
      </c>
      <c r="H149" s="125">
        <f>(H$118)*('Product half-life and C flows'!L50/100)</f>
        <v>1.0965485374319459</v>
      </c>
      <c r="I149" s="125">
        <f>(($C$39*$C$118*0.28)*H$41)*('Product half-life and C flows'!N50/100)</f>
        <v>0.44786956665648481</v>
      </c>
      <c r="J149" s="125">
        <f>(($C$39*$C$118*0.28)*H$41)*(+'Product half-life and C flows'!P50/100)</f>
        <v>0.22371107225598635</v>
      </c>
      <c r="K149" s="54">
        <f t="shared" si="19"/>
        <v>1.0075785998939457</v>
      </c>
      <c r="L149" s="26"/>
      <c r="M149" s="80"/>
      <c r="N149" s="80"/>
      <c r="O149" s="82"/>
      <c r="P149" s="81"/>
      <c r="Q149" s="81"/>
      <c r="R149" s="81"/>
      <c r="S149" s="81"/>
      <c r="T149" s="81"/>
      <c r="U149" s="3"/>
      <c r="V149" s="88"/>
      <c r="W149" s="88"/>
      <c r="X149" s="88"/>
      <c r="Y149" s="88"/>
      <c r="Z149" s="88"/>
      <c r="AA149" s="88"/>
      <c r="AB149" s="88"/>
      <c r="AC149" s="88"/>
      <c r="AE149">
        <f t="shared" si="22"/>
        <v>-9</v>
      </c>
      <c r="AF149" s="113">
        <f t="shared" si="14"/>
        <v>69.912398447671976</v>
      </c>
      <c r="AG149" s="124">
        <f t="shared" si="15"/>
        <v>0.95822398308226131</v>
      </c>
      <c r="AH149" s="124">
        <f t="shared" si="16"/>
        <v>69.912398447671976</v>
      </c>
      <c r="AI149" s="124">
        <f t="shared" si="7"/>
        <v>3.2727365049186812</v>
      </c>
      <c r="AJ149" s="124">
        <f t="shared" si="8"/>
        <v>0.56565816134396951</v>
      </c>
      <c r="AK149" s="124">
        <f t="shared" si="9"/>
        <v>1.0965485374319459</v>
      </c>
      <c r="AL149" s="124">
        <f t="shared" si="10"/>
        <v>0.44786956665648481</v>
      </c>
      <c r="AM149" s="124">
        <f t="shared" si="11"/>
        <v>0.22371107225598635</v>
      </c>
      <c r="AN149" s="124">
        <f t="shared" si="12"/>
        <v>1.0075785998939457</v>
      </c>
    </row>
    <row r="150" spans="1:41" ht="14">
      <c r="A150">
        <f t="shared" si="21"/>
        <v>-8</v>
      </c>
      <c r="B150" s="21">
        <v>72</v>
      </c>
      <c r="C150" s="123">
        <f t="shared" si="13"/>
        <v>74.659279291350884</v>
      </c>
      <c r="D150" s="125">
        <f>(($C$39*$C$118*$D$14)*('Product half-life and C flows'!B51/100))</f>
        <v>0.92558335650622281</v>
      </c>
      <c r="E150" s="127">
        <f t="shared" si="17"/>
        <v>71.635571870250871</v>
      </c>
      <c r="F150" s="54">
        <f t="shared" si="20"/>
        <v>3.2727365049186812</v>
      </c>
      <c r="G150" s="54">
        <f t="shared" si="20"/>
        <v>0.56565816134396951</v>
      </c>
      <c r="H150" s="125">
        <f>(H$118)*('Product half-life and C flows'!L51/100)</f>
        <v>1.0797875221179105</v>
      </c>
      <c r="I150" s="125">
        <f>(($C$39*$C$118*0.28)*H$41)*('Product half-life and C flows'!N51/100)</f>
        <v>0.45905475087605102</v>
      </c>
      <c r="J150" s="125">
        <f>(($C$39*$C$118*0.28)*H$41)*(+'Product half-life and C flows'!P51/100)</f>
        <v>0.22929807736066479</v>
      </c>
      <c r="K150" s="54">
        <f t="shared" si="19"/>
        <v>1.0075785998939457</v>
      </c>
      <c r="L150" s="26"/>
      <c r="M150" s="80"/>
      <c r="N150" s="80"/>
      <c r="O150" s="82"/>
      <c r="P150" s="81"/>
      <c r="Q150" s="81"/>
      <c r="R150" s="81"/>
      <c r="S150" s="81"/>
      <c r="T150" s="81"/>
      <c r="U150" s="3"/>
      <c r="V150" s="88"/>
      <c r="W150" s="88"/>
      <c r="X150" s="88"/>
      <c r="Y150" s="88"/>
      <c r="Z150" s="88"/>
      <c r="AA150" s="88"/>
      <c r="AB150" s="88"/>
      <c r="AC150" s="88"/>
      <c r="AE150">
        <f t="shared" si="22"/>
        <v>-8</v>
      </c>
      <c r="AF150" s="113">
        <f t="shared" si="14"/>
        <v>71.635571870250871</v>
      </c>
      <c r="AG150" s="124">
        <f t="shared" si="15"/>
        <v>0.92558335650622281</v>
      </c>
      <c r="AH150" s="124">
        <f t="shared" si="16"/>
        <v>71.635571870250871</v>
      </c>
      <c r="AI150" s="124">
        <f t="shared" ref="AI150:AI181" si="23">F150+O150+X150</f>
        <v>3.2727365049186812</v>
      </c>
      <c r="AJ150" s="124">
        <f t="shared" ref="AJ150:AJ181" si="24">G150+P150+Y150</f>
        <v>0.56565816134396951</v>
      </c>
      <c r="AK150" s="124">
        <f t="shared" ref="AK150:AK181" si="25">H150+Q150+Z150</f>
        <v>1.0797875221179105</v>
      </c>
      <c r="AL150" s="124">
        <f t="shared" ref="AL150:AL181" si="26">I150+R150+AA150</f>
        <v>0.45905475087605102</v>
      </c>
      <c r="AM150" s="124">
        <f t="shared" ref="AM150:AM181" si="27">J150+S150+AB150</f>
        <v>0.22929807736066479</v>
      </c>
      <c r="AN150" s="124">
        <f t="shared" ref="AN150:AN181" si="28">K150+T150+AC150</f>
        <v>1.0075785998939457</v>
      </c>
    </row>
    <row r="151" spans="1:41" ht="14">
      <c r="A151">
        <f t="shared" si="21"/>
        <v>-7</v>
      </c>
      <c r="B151" s="21">
        <v>73</v>
      </c>
      <c r="C151" s="123">
        <f t="shared" si="13"/>
        <v>76.044812693613196</v>
      </c>
      <c r="D151" s="125">
        <f>(($C$39*$C$118*$D$14)*('Product half-life and C flows'!B52/100))</f>
        <v>0.89405458949755734</v>
      </c>
      <c r="E151" s="127">
        <f t="shared" si="17"/>
        <v>73.358745292829767</v>
      </c>
      <c r="F151" s="54">
        <f t="shared" si="20"/>
        <v>3.2727365049186812</v>
      </c>
      <c r="G151" s="54">
        <f t="shared" si="20"/>
        <v>0.56565816134396951</v>
      </c>
      <c r="H151" s="125">
        <f>(H$118)*('Product half-life and C flows'!L52/100)</f>
        <v>1.06328270306402</v>
      </c>
      <c r="I151" s="125">
        <f>(($C$39*$C$118*0.28)*H$41)*('Product half-life and C flows'!N52/100)</f>
        <v>0.4700689667913473</v>
      </c>
      <c r="J151" s="125">
        <f>(($C$39*$C$118*0.28)*H$41)*(+'Product half-life and C flows'!P52/100)</f>
        <v>0.23479968371196169</v>
      </c>
      <c r="K151" s="54">
        <f t="shared" si="19"/>
        <v>1.0075785998939457</v>
      </c>
      <c r="L151" s="26"/>
      <c r="M151" s="80"/>
      <c r="N151" s="80"/>
      <c r="O151" s="82"/>
      <c r="P151" s="81"/>
      <c r="Q151" s="81"/>
      <c r="R151" s="81"/>
      <c r="S151" s="81"/>
      <c r="T151" s="81"/>
      <c r="U151" s="3"/>
      <c r="V151" s="88"/>
      <c r="W151" s="88"/>
      <c r="X151" s="88"/>
      <c r="Y151" s="88"/>
      <c r="Z151" s="88"/>
      <c r="AA151" s="88"/>
      <c r="AB151" s="88"/>
      <c r="AC151" s="88"/>
      <c r="AE151">
        <f t="shared" si="22"/>
        <v>-7</v>
      </c>
      <c r="AF151" s="113">
        <f t="shared" ref="AF151:AF182" si="29">E151</f>
        <v>73.358745292829767</v>
      </c>
      <c r="AG151" s="124">
        <f t="shared" si="15"/>
        <v>0.89405458949755734</v>
      </c>
      <c r="AH151" s="124">
        <f t="shared" si="16"/>
        <v>73.358745292829767</v>
      </c>
      <c r="AI151" s="124">
        <f t="shared" si="23"/>
        <v>3.2727365049186812</v>
      </c>
      <c r="AJ151" s="124">
        <f t="shared" si="24"/>
        <v>0.56565816134396951</v>
      </c>
      <c r="AK151" s="124">
        <f t="shared" si="25"/>
        <v>1.06328270306402</v>
      </c>
      <c r="AL151" s="124">
        <f t="shared" si="26"/>
        <v>0.4700689667913473</v>
      </c>
      <c r="AM151" s="124">
        <f t="shared" si="27"/>
        <v>0.23479968371196169</v>
      </c>
      <c r="AN151" s="124">
        <f t="shared" si="28"/>
        <v>1.0075785998939457</v>
      </c>
    </row>
    <row r="152" spans="1:41" ht="14">
      <c r="A152">
        <f t="shared" si="21"/>
        <v>-6</v>
      </c>
      <c r="B152" s="21">
        <v>74</v>
      </c>
      <c r="C152" s="123">
        <f t="shared" si="13"/>
        <v>77.419444070729355</v>
      </c>
      <c r="D152" s="125">
        <f>(($C$39*$C$118*$D$14)*('Product half-life and C flows'!B53/100))</f>
        <v>0.86359980803768033</v>
      </c>
      <c r="E152" s="127">
        <f t="shared" si="17"/>
        <v>75.081918715408662</v>
      </c>
      <c r="F152" s="54">
        <f t="shared" ref="F152:G167" si="30">F151</f>
        <v>3.2727365049186812</v>
      </c>
      <c r="G152" s="54">
        <f t="shared" si="30"/>
        <v>0.56565816134396951</v>
      </c>
      <c r="H152" s="125">
        <f>(H$118)*('Product half-life and C flows'!L53/100)</f>
        <v>1.0470301642471407</v>
      </c>
      <c r="I152" s="125">
        <f>(($C$39*$C$118*0.28)*H$41)*('Product half-life and C flows'!N53/100)</f>
        <v>0.48091482769514482</v>
      </c>
      <c r="J152" s="125">
        <f>(($C$39*$C$118*0.28)*H$41)*(+'Product half-life and C flows'!P53/100)</f>
        <v>0.24021719665092145</v>
      </c>
      <c r="K152" s="54">
        <f t="shared" si="19"/>
        <v>1.0075785998939457</v>
      </c>
      <c r="L152" s="26"/>
      <c r="M152" s="80"/>
      <c r="N152" s="80"/>
      <c r="O152" s="82"/>
      <c r="P152" s="81"/>
      <c r="Q152" s="81"/>
      <c r="R152" s="81"/>
      <c r="S152" s="81"/>
      <c r="T152" s="81"/>
      <c r="U152" s="3"/>
      <c r="V152" s="88"/>
      <c r="W152" s="88"/>
      <c r="X152" s="88"/>
      <c r="Y152" s="88"/>
      <c r="Z152" s="88"/>
      <c r="AA152" s="88"/>
      <c r="AB152" s="88"/>
      <c r="AC152" s="88"/>
      <c r="AE152">
        <f t="shared" si="22"/>
        <v>-6</v>
      </c>
      <c r="AF152" s="113">
        <f t="shared" si="29"/>
        <v>75.081918715408662</v>
      </c>
      <c r="AG152" s="124">
        <f t="shared" si="15"/>
        <v>0.86359980803768033</v>
      </c>
      <c r="AH152" s="124">
        <f t="shared" si="16"/>
        <v>75.081918715408662</v>
      </c>
      <c r="AI152" s="124">
        <f t="shared" si="23"/>
        <v>3.2727365049186812</v>
      </c>
      <c r="AJ152" s="124">
        <f t="shared" si="24"/>
        <v>0.56565816134396951</v>
      </c>
      <c r="AK152" s="124">
        <f t="shared" si="25"/>
        <v>1.0470301642471407</v>
      </c>
      <c r="AL152" s="124">
        <f t="shared" si="26"/>
        <v>0.48091482769514482</v>
      </c>
      <c r="AM152" s="124">
        <f t="shared" si="27"/>
        <v>0.24021719665092145</v>
      </c>
      <c r="AN152" s="124">
        <f t="shared" si="28"/>
        <v>1.0075785998939457</v>
      </c>
    </row>
    <row r="153" spans="1:41" ht="14">
      <c r="A153">
        <f t="shared" si="21"/>
        <v>-5</v>
      </c>
      <c r="B153" s="21">
        <v>75</v>
      </c>
      <c r="C153" s="123">
        <f t="shared" si="13"/>
        <v>78.782836176013703</v>
      </c>
      <c r="D153" s="125">
        <f>(($C$39*$C$118*$D$14)*('Product half-life and C flows'!B54/100))</f>
        <v>0.83418242823611832</v>
      </c>
      <c r="E153" s="127">
        <f t="shared" si="17"/>
        <v>76.805092137987558</v>
      </c>
      <c r="F153" s="54">
        <f t="shared" si="30"/>
        <v>3.2727365049186812</v>
      </c>
      <c r="G153" s="54">
        <f t="shared" si="30"/>
        <v>0.56565816134396951</v>
      </c>
      <c r="H153" s="125">
        <f>(H$118)*('Product half-life and C flows'!L54/100)</f>
        <v>1.03102604950152</v>
      </c>
      <c r="I153" s="125">
        <f>(($C$39*$C$118*0.28)*H$41)*('Product half-life and C flows'!N54/100)</f>
        <v>0.49159490693538893</v>
      </c>
      <c r="J153" s="125">
        <f>(($C$39*$C$118*0.28)*H$41)*(+'Product half-life and C flows'!P54/100)</f>
        <v>0.24555190156612833</v>
      </c>
      <c r="K153" s="54">
        <f t="shared" si="19"/>
        <v>1.0075785998939457</v>
      </c>
      <c r="L153" s="26"/>
      <c r="M153" s="80"/>
      <c r="N153" s="80"/>
      <c r="O153" s="82"/>
      <c r="P153" s="81"/>
      <c r="Q153" s="81"/>
      <c r="R153" s="81"/>
      <c r="S153" s="81"/>
      <c r="T153" s="81"/>
      <c r="U153" s="3"/>
      <c r="V153" s="88"/>
      <c r="W153" s="88"/>
      <c r="X153" s="88"/>
      <c r="Y153" s="88"/>
      <c r="Z153" s="88"/>
      <c r="AA153" s="88"/>
      <c r="AB153" s="88"/>
      <c r="AC153" s="88"/>
      <c r="AE153">
        <f t="shared" si="22"/>
        <v>-5</v>
      </c>
      <c r="AF153" s="113">
        <f t="shared" si="29"/>
        <v>76.805092137987558</v>
      </c>
      <c r="AG153" s="124">
        <f t="shared" si="15"/>
        <v>0.83418242823611832</v>
      </c>
      <c r="AH153" s="124">
        <f t="shared" si="16"/>
        <v>76.805092137987558</v>
      </c>
      <c r="AI153" s="124">
        <f t="shared" si="23"/>
        <v>3.2727365049186812</v>
      </c>
      <c r="AJ153" s="124">
        <f t="shared" si="24"/>
        <v>0.56565816134396951</v>
      </c>
      <c r="AK153" s="124">
        <f t="shared" si="25"/>
        <v>1.03102604950152</v>
      </c>
      <c r="AL153" s="124">
        <f t="shared" si="26"/>
        <v>0.49159490693538893</v>
      </c>
      <c r="AM153" s="124">
        <f t="shared" si="27"/>
        <v>0.24555190156612833</v>
      </c>
      <c r="AN153" s="124">
        <f t="shared" si="28"/>
        <v>1.0075785998939457</v>
      </c>
    </row>
    <row r="154" spans="1:41" ht="14">
      <c r="A154">
        <f t="shared" si="21"/>
        <v>-4</v>
      </c>
      <c r="B154" s="21">
        <v>76</v>
      </c>
      <c r="C154" s="123">
        <f t="shared" si="13"/>
        <v>80.134674587124508</v>
      </c>
      <c r="D154" s="125">
        <f>(($C$39*$C$118*$D$14)*('Product half-life and C flows'!B55/100))</f>
        <v>0.80576711238400955</v>
      </c>
      <c r="E154" s="127">
        <f t="shared" si="17"/>
        <v>78.528265560566453</v>
      </c>
      <c r="F154" s="54">
        <f t="shared" si="30"/>
        <v>3.2727365049186812</v>
      </c>
      <c r="G154" s="54">
        <f t="shared" si="30"/>
        <v>0.56565816134396951</v>
      </c>
      <c r="H154" s="125">
        <f>(H$118)*('Product half-life and C flows'!L55/100)</f>
        <v>1.0152665616038521</v>
      </c>
      <c r="I154" s="125">
        <f>(($C$39*$C$118*0.28)*H$41)*('Product half-life and C flows'!N55/100)</f>
        <v>0.50211173852576607</v>
      </c>
      <c r="J154" s="125">
        <f>(($C$39*$C$118*0.28)*H$41)*(+'Product half-life and C flows'!P55/100)</f>
        <v>0.25080506419868431</v>
      </c>
      <c r="K154" s="54">
        <f t="shared" si="19"/>
        <v>1.0075785998939457</v>
      </c>
      <c r="L154" s="26"/>
      <c r="M154" s="80"/>
      <c r="N154" s="80"/>
      <c r="O154" s="82"/>
      <c r="P154" s="81"/>
      <c r="Q154" s="81"/>
      <c r="R154" s="81"/>
      <c r="S154" s="81"/>
      <c r="T154" s="81"/>
      <c r="U154" s="3"/>
      <c r="V154" s="88"/>
      <c r="W154" s="88"/>
      <c r="X154" s="88"/>
      <c r="Y154" s="88"/>
      <c r="Z154" s="88"/>
      <c r="AA154" s="88"/>
      <c r="AB154" s="88"/>
      <c r="AC154" s="88"/>
      <c r="AE154">
        <f t="shared" si="22"/>
        <v>-4</v>
      </c>
      <c r="AF154" s="113">
        <f t="shared" si="29"/>
        <v>78.528265560566453</v>
      </c>
      <c r="AG154" s="124">
        <f t="shared" si="15"/>
        <v>0.80576711238400955</v>
      </c>
      <c r="AH154" s="124">
        <f t="shared" si="16"/>
        <v>78.528265560566453</v>
      </c>
      <c r="AI154" s="124">
        <f t="shared" si="23"/>
        <v>3.2727365049186812</v>
      </c>
      <c r="AJ154" s="124">
        <f t="shared" si="24"/>
        <v>0.56565816134396951</v>
      </c>
      <c r="AK154" s="124">
        <f t="shared" si="25"/>
        <v>1.0152665616038521</v>
      </c>
      <c r="AL154" s="124">
        <f t="shared" si="26"/>
        <v>0.50211173852576607</v>
      </c>
      <c r="AM154" s="124">
        <f t="shared" si="27"/>
        <v>0.25080506419868431</v>
      </c>
      <c r="AN154" s="124">
        <f t="shared" si="28"/>
        <v>1.0075785998939457</v>
      </c>
    </row>
    <row r="155" spans="1:41" ht="14">
      <c r="A155">
        <f t="shared" si="21"/>
        <v>-3</v>
      </c>
      <c r="B155" s="21">
        <v>77</v>
      </c>
      <c r="C155" s="123">
        <f t="shared" si="13"/>
        <v>81.474666943730071</v>
      </c>
      <c r="D155" s="125">
        <f>(($C$39*$C$118*$D$14)*('Product half-life and C flows'!B56/100))</f>
        <v>0.77831972650458359</v>
      </c>
      <c r="E155" s="127">
        <f t="shared" si="17"/>
        <v>80.251438983145349</v>
      </c>
      <c r="F155" s="54">
        <f t="shared" si="30"/>
        <v>3.2727365049186812</v>
      </c>
      <c r="G155" s="54">
        <f t="shared" si="30"/>
        <v>0.56565816134396951</v>
      </c>
      <c r="H155" s="125">
        <f>(H$118)*('Product half-life and C flows'!L56/100)</f>
        <v>0.99974796137232658</v>
      </c>
      <c r="I155" s="125">
        <f>(($C$39*$C$118*0.28)*H$41)*('Product half-life and C flows'!N56/100)</f>
        <v>0.51246781774693739</v>
      </c>
      <c r="J155" s="125">
        <f>(($C$39*$C$118*0.28)*H$41)*(+'Product half-life and C flows'!P56/100)</f>
        <v>0.25597793094252608</v>
      </c>
      <c r="K155" s="54">
        <f t="shared" si="19"/>
        <v>1.0075785998939457</v>
      </c>
      <c r="L155" s="26"/>
      <c r="M155" s="80"/>
      <c r="N155" s="80"/>
      <c r="O155" s="82"/>
      <c r="P155" s="81"/>
      <c r="Q155" s="81"/>
      <c r="R155" s="81"/>
      <c r="S155" s="81"/>
      <c r="T155" s="81"/>
      <c r="U155" s="3"/>
      <c r="V155" s="88"/>
      <c r="W155" s="88"/>
      <c r="X155" s="88"/>
      <c r="Y155" s="88"/>
      <c r="Z155" s="88"/>
      <c r="AA155" s="88"/>
      <c r="AB155" s="88"/>
      <c r="AC155" s="88"/>
      <c r="AE155">
        <f t="shared" si="22"/>
        <v>-3</v>
      </c>
      <c r="AF155" s="113">
        <f t="shared" si="29"/>
        <v>80.251438983145349</v>
      </c>
      <c r="AG155" s="124">
        <f t="shared" si="15"/>
        <v>0.77831972650458359</v>
      </c>
      <c r="AH155" s="124">
        <f t="shared" si="16"/>
        <v>80.251438983145349</v>
      </c>
      <c r="AI155" s="124">
        <f t="shared" si="23"/>
        <v>3.2727365049186812</v>
      </c>
      <c r="AJ155" s="124">
        <f t="shared" si="24"/>
        <v>0.56565816134396951</v>
      </c>
      <c r="AK155" s="124">
        <f t="shared" si="25"/>
        <v>0.99974796137232658</v>
      </c>
      <c r="AL155" s="124">
        <f t="shared" si="26"/>
        <v>0.51246781774693739</v>
      </c>
      <c r="AM155" s="124">
        <f t="shared" si="27"/>
        <v>0.25597793094252608</v>
      </c>
      <c r="AN155" s="124">
        <f t="shared" si="28"/>
        <v>1.0075785998939457</v>
      </c>
    </row>
    <row r="156" spans="1:41" ht="14">
      <c r="A156">
        <f t="shared" si="21"/>
        <v>-2</v>
      </c>
      <c r="B156" s="21">
        <v>78</v>
      </c>
      <c r="C156" s="123">
        <f t="shared" si="13"/>
        <v>82.802542193645991</v>
      </c>
      <c r="D156" s="125">
        <f>(($C$39*$C$118*$D$14)*('Product half-life and C flows'!B57/100))</f>
        <v>0.7518072993496272</v>
      </c>
      <c r="E156" s="127">
        <f t="shared" si="17"/>
        <v>81.974612405724244</v>
      </c>
      <c r="F156" s="54">
        <f t="shared" si="30"/>
        <v>3.2727365049186812</v>
      </c>
      <c r="G156" s="54">
        <f t="shared" si="30"/>
        <v>0.56565816134396951</v>
      </c>
      <c r="H156" s="125">
        <f>(H$118)*('Product half-life and C flows'!L57/100)</f>
        <v>0.98446656677945188</v>
      </c>
      <c r="I156" s="125">
        <f>(($C$39*$C$118*0.28)*H$41)*('Product half-life and C flows'!N57/100)</f>
        <v>0.52266560173858245</v>
      </c>
      <c r="J156" s="125">
        <f>(($C$39*$C$118*0.28)*H$41)*(+'Product half-life and C flows'!P57/100)</f>
        <v>0.26107172914015103</v>
      </c>
      <c r="K156" s="54">
        <f t="shared" si="19"/>
        <v>1.0075785998939457</v>
      </c>
      <c r="L156" s="26"/>
      <c r="M156" s="80"/>
      <c r="N156" s="80"/>
      <c r="O156" s="82"/>
      <c r="P156" s="81"/>
      <c r="Q156" s="81"/>
      <c r="R156" s="81"/>
      <c r="S156" s="81"/>
      <c r="T156" s="81"/>
      <c r="U156" s="3"/>
      <c r="V156" s="88"/>
      <c r="W156" s="88"/>
      <c r="X156" s="88"/>
      <c r="Y156" s="88"/>
      <c r="Z156" s="88"/>
      <c r="AA156" s="88"/>
      <c r="AB156" s="88"/>
      <c r="AC156" s="88"/>
      <c r="AE156">
        <f t="shared" si="22"/>
        <v>-2</v>
      </c>
      <c r="AF156" s="113">
        <f t="shared" si="29"/>
        <v>81.974612405724244</v>
      </c>
      <c r="AG156" s="124">
        <f t="shared" si="15"/>
        <v>0.7518072993496272</v>
      </c>
      <c r="AH156" s="124">
        <f t="shared" si="16"/>
        <v>81.974612405724244</v>
      </c>
      <c r="AI156" s="124">
        <f t="shared" si="23"/>
        <v>3.2727365049186812</v>
      </c>
      <c r="AJ156" s="124">
        <f t="shared" si="24"/>
        <v>0.56565816134396951</v>
      </c>
      <c r="AK156" s="124">
        <f t="shared" si="25"/>
        <v>0.98446656677945188</v>
      </c>
      <c r="AL156" s="124">
        <f t="shared" si="26"/>
        <v>0.52266560173858245</v>
      </c>
      <c r="AM156" s="124">
        <f t="shared" si="27"/>
        <v>0.26107172914015103</v>
      </c>
      <c r="AN156" s="124">
        <f t="shared" si="28"/>
        <v>1.0075785998939457</v>
      </c>
    </row>
    <row r="157" spans="1:41" ht="14">
      <c r="A157">
        <f>A158-1</f>
        <v>-1</v>
      </c>
      <c r="B157" s="21">
        <v>79</v>
      </c>
      <c r="C157" s="123">
        <f t="shared" si="13"/>
        <v>84.118049848630193</v>
      </c>
      <c r="D157" s="125">
        <f>(($C$39*$C$118*$D$14)*('Product half-life and C flows'!B58/100))</f>
        <v>0.72619798279268144</v>
      </c>
      <c r="E157" s="127">
        <f t="shared" si="17"/>
        <v>83.69778582830314</v>
      </c>
      <c r="F157" s="54">
        <f t="shared" si="30"/>
        <v>3.2727365049186812</v>
      </c>
      <c r="G157" s="54">
        <f t="shared" si="30"/>
        <v>0.56565816134396951</v>
      </c>
      <c r="H157" s="125">
        <f>(H$118)*('Product half-life and C flows'!L58/100)</f>
        <v>0.96941875207843564</v>
      </c>
      <c r="I157" s="125">
        <f>(($C$39*$C$118*0.28)*H$41)*('Product half-life and C flows'!N58/100)</f>
        <v>0.53270751008239392</v>
      </c>
      <c r="J157" s="125">
        <f>(($C$39*$C$118*0.28)*H$41)*(+'Product half-life and C flows'!P58/100)</f>
        <v>0.26608766737382311</v>
      </c>
      <c r="K157" s="54">
        <f t="shared" si="19"/>
        <v>1.0075785998939457</v>
      </c>
      <c r="L157" s="26"/>
      <c r="M157" s="80"/>
      <c r="N157" s="80"/>
      <c r="O157" s="82"/>
      <c r="P157" s="81"/>
      <c r="Q157" s="81"/>
      <c r="R157" s="81"/>
      <c r="S157" s="81"/>
      <c r="T157" s="81"/>
      <c r="U157" s="3"/>
      <c r="V157" s="88"/>
      <c r="W157" s="88"/>
      <c r="X157" s="88"/>
      <c r="Y157" s="88"/>
      <c r="Z157" s="88"/>
      <c r="AA157" s="88"/>
      <c r="AB157" s="88"/>
      <c r="AC157" s="88"/>
      <c r="AE157">
        <f t="shared" si="22"/>
        <v>-1</v>
      </c>
      <c r="AF157" s="113">
        <f t="shared" si="29"/>
        <v>83.69778582830314</v>
      </c>
      <c r="AG157" s="124">
        <f t="shared" si="15"/>
        <v>0.72619798279268144</v>
      </c>
      <c r="AH157" s="124">
        <f t="shared" si="16"/>
        <v>83.69778582830314</v>
      </c>
      <c r="AI157" s="124">
        <f t="shared" si="23"/>
        <v>3.2727365049186812</v>
      </c>
      <c r="AJ157" s="124">
        <f t="shared" si="24"/>
        <v>0.56565816134396951</v>
      </c>
      <c r="AK157" s="124">
        <f t="shared" si="25"/>
        <v>0.96941875207843564</v>
      </c>
      <c r="AL157" s="124">
        <f t="shared" si="26"/>
        <v>0.53270751008239392</v>
      </c>
      <c r="AM157" s="124">
        <f t="shared" si="27"/>
        <v>0.26608766737382311</v>
      </c>
      <c r="AN157" s="124">
        <f t="shared" si="28"/>
        <v>1.0075785998939457</v>
      </c>
    </row>
    <row r="158" spans="1:41" ht="14">
      <c r="A158">
        <v>0</v>
      </c>
      <c r="B158" s="21">
        <v>80</v>
      </c>
      <c r="C158" s="123">
        <f t="shared" si="13"/>
        <v>85.420959250881964</v>
      </c>
      <c r="D158" s="125">
        <f>(($C$39*$C$118*$D$14)*('Product half-life and C flows'!B59/100))</f>
        <v>0.70146101357139079</v>
      </c>
      <c r="E158" s="26">
        <f t="shared" ref="E158:E189" si="31">B$8*(1-EXP(-B$9*$B158))^3</f>
        <v>85.420959250881964</v>
      </c>
      <c r="F158" s="54">
        <f t="shared" si="30"/>
        <v>3.2727365049186812</v>
      </c>
      <c r="G158" s="54">
        <f t="shared" si="30"/>
        <v>0.56565816134396951</v>
      </c>
      <c r="H158" s="125">
        <f>(H$118)*('Product half-life and C flows'!L59/100)</f>
        <v>0.95460094694292141</v>
      </c>
      <c r="I158" s="125">
        <f>(($C$39*$C$118*0.28)*H$41)*('Product half-life and C flows'!N59/100)</f>
        <v>0.54259592537616042</v>
      </c>
      <c r="J158" s="125">
        <f>(($C$39*$C$118*0.28)*H$41)*(+'Product half-life and C flows'!P59/100)</f>
        <v>0.27102693575232778</v>
      </c>
      <c r="K158" s="54">
        <f t="shared" si="19"/>
        <v>1.0075785998939457</v>
      </c>
      <c r="L158" s="26"/>
      <c r="M158" s="83"/>
      <c r="N158" s="83"/>
      <c r="O158" s="84"/>
      <c r="P158" s="83"/>
      <c r="Q158" s="83"/>
      <c r="R158" s="83"/>
      <c r="S158" s="83"/>
      <c r="T158" s="83"/>
      <c r="U158" s="3"/>
      <c r="V158" s="88"/>
      <c r="W158" s="88"/>
      <c r="X158" s="88"/>
      <c r="Y158" s="88"/>
      <c r="Z158" s="88"/>
      <c r="AA158" s="88"/>
      <c r="AB158" s="88"/>
      <c r="AC158" s="88"/>
      <c r="AE158">
        <f t="shared" si="22"/>
        <v>0</v>
      </c>
      <c r="AF158" s="113">
        <f t="shared" si="29"/>
        <v>85.420959250881964</v>
      </c>
      <c r="AG158" s="124">
        <f t="shared" si="15"/>
        <v>0.70146101357139079</v>
      </c>
      <c r="AH158" s="124">
        <f t="shared" si="16"/>
        <v>85.420959250881964</v>
      </c>
      <c r="AI158" s="124">
        <f t="shared" si="23"/>
        <v>3.2727365049186812</v>
      </c>
      <c r="AJ158" s="124">
        <f t="shared" si="24"/>
        <v>0.56565816134396951</v>
      </c>
      <c r="AK158" s="124">
        <f t="shared" si="25"/>
        <v>0.95460094694292141</v>
      </c>
      <c r="AL158" s="124">
        <f t="shared" si="26"/>
        <v>0.54259592537616042</v>
      </c>
      <c r="AM158" s="124">
        <f t="shared" si="27"/>
        <v>0.27102693575232778</v>
      </c>
      <c r="AN158" s="124">
        <f t="shared" si="28"/>
        <v>1.0075785998939457</v>
      </c>
      <c r="AO158" s="3">
        <f t="shared" ref="AO158:AO221" si="32">SUM(AH158:AM158)</f>
        <v>91.027577725216034</v>
      </c>
    </row>
    <row r="159" spans="1:41" ht="14">
      <c r="A159">
        <f>A158+1</f>
        <v>1</v>
      </c>
      <c r="B159" s="21">
        <v>81</v>
      </c>
      <c r="C159" s="123">
        <f t="shared" si="13"/>
        <v>86.711058851161368</v>
      </c>
      <c r="D159" s="125">
        <f>(($C$39*$C$118*$D$14)*('Product half-life and C flows'!B60/100))</f>
        <v>0.67756667633305068</v>
      </c>
      <c r="E159" s="26">
        <f t="shared" si="31"/>
        <v>86.711058851161368</v>
      </c>
      <c r="F159" s="54">
        <f t="shared" si="30"/>
        <v>3.2727365049186812</v>
      </c>
      <c r="G159" s="54">
        <f t="shared" si="30"/>
        <v>0.56565816134396951</v>
      </c>
      <c r="H159" s="125">
        <f>(H$118)*('Product half-life and C flows'!L60/100)</f>
        <v>0.94000963561987316</v>
      </c>
      <c r="I159" s="125">
        <f>(($C$39*$C$118*0.28)*H$41)*('Product half-life and C flows'!N60/100)</f>
        <v>0.55233319379907475</v>
      </c>
      <c r="J159" s="125">
        <f>(($C$39*$C$118*0.28)*H$41)*(+'Product half-life and C flows'!P60/100)</f>
        <v>0.27589070619334394</v>
      </c>
      <c r="K159" s="54">
        <f t="shared" si="19"/>
        <v>1.0075785998939457</v>
      </c>
      <c r="L159" s="26"/>
      <c r="M159" s="83"/>
      <c r="N159" s="83"/>
      <c r="O159" s="83"/>
      <c r="P159" s="83"/>
      <c r="Q159" s="83"/>
      <c r="R159" s="83"/>
      <c r="S159" s="83"/>
      <c r="T159" s="83"/>
      <c r="U159" s="3"/>
      <c r="V159" s="88"/>
      <c r="W159" s="88"/>
      <c r="X159" s="88"/>
      <c r="Y159" s="88"/>
      <c r="Z159" s="88"/>
      <c r="AA159" s="88"/>
      <c r="AB159" s="88"/>
      <c r="AC159" s="88"/>
      <c r="AE159">
        <f t="shared" si="22"/>
        <v>1</v>
      </c>
      <c r="AF159" s="113">
        <f t="shared" si="29"/>
        <v>86.711058851161368</v>
      </c>
      <c r="AG159" s="124">
        <f t="shared" si="15"/>
        <v>0.67756667633305068</v>
      </c>
      <c r="AH159" s="124">
        <f t="shared" si="16"/>
        <v>86.711058851161368</v>
      </c>
      <c r="AI159" s="124">
        <f t="shared" si="23"/>
        <v>3.2727365049186812</v>
      </c>
      <c r="AJ159" s="124">
        <f t="shared" si="24"/>
        <v>0.56565816134396951</v>
      </c>
      <c r="AK159" s="124">
        <f t="shared" si="25"/>
        <v>0.94000963561987316</v>
      </c>
      <c r="AL159" s="124">
        <f t="shared" si="26"/>
        <v>0.55233319379907475</v>
      </c>
      <c r="AM159" s="124">
        <f t="shared" si="27"/>
        <v>0.27589070619334394</v>
      </c>
      <c r="AN159" s="124">
        <f t="shared" si="28"/>
        <v>1.0075785998939457</v>
      </c>
      <c r="AO159" s="3">
        <f t="shared" si="32"/>
        <v>92.317687053036309</v>
      </c>
    </row>
    <row r="160" spans="1:41" ht="14">
      <c r="A160">
        <f t="shared" ref="A160:B180" si="33">A159+1</f>
        <v>2</v>
      </c>
      <c r="B160" s="21">
        <v>82</v>
      </c>
      <c r="C160" s="123">
        <f t="shared" si="13"/>
        <v>87.98815549932786</v>
      </c>
      <c r="D160" s="125">
        <f>(($C$39*$C$118*$D$14)*('Product half-life and C flows'!B61/100))</f>
        <v>0.65448626793895581</v>
      </c>
      <c r="E160" s="26">
        <f t="shared" si="31"/>
        <v>87.98815549932786</v>
      </c>
      <c r="F160" s="54">
        <f t="shared" si="30"/>
        <v>3.2727365049186812</v>
      </c>
      <c r="G160" s="54">
        <f t="shared" si="30"/>
        <v>0.56565816134396951</v>
      </c>
      <c r="H160" s="125">
        <f>(H$118)*('Product half-life and C flows'!L61/100)</f>
        <v>0.92564135609540799</v>
      </c>
      <c r="I160" s="125">
        <f>(($C$39*$C$118*0.28)*H$41)*('Product half-life and C flows'!N61/100)</f>
        <v>0.5619216256684012</v>
      </c>
      <c r="J160" s="125">
        <f>(($C$39*$C$118*0.28)*H$41)*(+'Product half-life and C flows'!P61/100)</f>
        <v>0.280680132701499</v>
      </c>
      <c r="K160" s="54">
        <f t="shared" si="19"/>
        <v>1.0075785998939457</v>
      </c>
      <c r="L160" s="26"/>
      <c r="M160" s="83"/>
      <c r="N160" s="83"/>
      <c r="O160" s="83"/>
      <c r="P160" s="83"/>
      <c r="Q160" s="83"/>
      <c r="R160" s="83"/>
      <c r="S160" s="83"/>
      <c r="T160" s="83"/>
      <c r="U160" s="3"/>
      <c r="V160" s="88"/>
      <c r="W160" s="88"/>
      <c r="X160" s="88"/>
      <c r="Y160" s="88"/>
      <c r="Z160" s="88"/>
      <c r="AA160" s="88"/>
      <c r="AB160" s="88"/>
      <c r="AC160" s="88"/>
      <c r="AE160">
        <f t="shared" si="22"/>
        <v>2</v>
      </c>
      <c r="AF160" s="113">
        <f t="shared" si="29"/>
        <v>87.98815549932786</v>
      </c>
      <c r="AG160" s="124">
        <f t="shared" si="15"/>
        <v>0.65448626793895581</v>
      </c>
      <c r="AH160" s="124">
        <f t="shared" si="16"/>
        <v>87.98815549932786</v>
      </c>
      <c r="AI160" s="124">
        <f t="shared" si="23"/>
        <v>3.2727365049186812</v>
      </c>
      <c r="AJ160" s="124">
        <f t="shared" si="24"/>
        <v>0.56565816134396951</v>
      </c>
      <c r="AK160" s="124">
        <f t="shared" si="25"/>
        <v>0.92564135609540799</v>
      </c>
      <c r="AL160" s="124">
        <f t="shared" si="26"/>
        <v>0.5619216256684012</v>
      </c>
      <c r="AM160" s="124">
        <f t="shared" si="27"/>
        <v>0.280680132701499</v>
      </c>
      <c r="AN160" s="124">
        <f t="shared" si="28"/>
        <v>1.0075785998939457</v>
      </c>
      <c r="AO160" s="3">
        <f t="shared" si="32"/>
        <v>93.594793280055839</v>
      </c>
    </row>
    <row r="161" spans="1:41" ht="14">
      <c r="A161">
        <f t="shared" si="33"/>
        <v>3</v>
      </c>
      <c r="B161" s="21">
        <v>83</v>
      </c>
      <c r="C161" s="123">
        <f t="shared" si="13"/>
        <v>89.25207374798569</v>
      </c>
      <c r="D161" s="125">
        <f>(($C$39*$C$118*$D$14)*('Product half-life and C flows'!B62/100))</f>
        <v>0.63219206298467789</v>
      </c>
      <c r="E161" s="26">
        <f t="shared" si="31"/>
        <v>89.25207374798569</v>
      </c>
      <c r="F161" s="54">
        <f t="shared" si="30"/>
        <v>3.2727365049186812</v>
      </c>
      <c r="G161" s="54">
        <f t="shared" si="30"/>
        <v>0.56565816134396951</v>
      </c>
      <c r="H161" s="125">
        <f>(H$118)*('Product half-life and C flows'!L62/100)</f>
        <v>0.91149269927338161</v>
      </c>
      <c r="I161" s="125">
        <f>(($C$39*$C$118*0.28)*H$41)*('Product half-life and C flows'!N62/100)</f>
        <v>0.57136349598763347</v>
      </c>
      <c r="J161" s="125">
        <f>(($C$39*$C$118*0.28)*H$41)*(+'Product half-life and C flows'!P62/100)</f>
        <v>0.28539635164217447</v>
      </c>
      <c r="K161" s="54">
        <f t="shared" si="19"/>
        <v>1.0075785998939457</v>
      </c>
      <c r="L161" s="26"/>
      <c r="M161" s="83"/>
      <c r="N161" s="83"/>
      <c r="O161" s="83"/>
      <c r="P161" s="83"/>
      <c r="Q161" s="83"/>
      <c r="R161" s="83"/>
      <c r="S161" s="83"/>
      <c r="T161" s="83"/>
      <c r="U161" s="3"/>
      <c r="V161" s="88"/>
      <c r="W161" s="88"/>
      <c r="X161" s="88"/>
      <c r="Y161" s="88"/>
      <c r="Z161" s="88"/>
      <c r="AA161" s="88"/>
      <c r="AB161" s="88"/>
      <c r="AC161" s="88"/>
      <c r="AE161">
        <f t="shared" si="22"/>
        <v>3</v>
      </c>
      <c r="AF161" s="113">
        <f t="shared" si="29"/>
        <v>89.25207374798569</v>
      </c>
      <c r="AG161" s="124">
        <f t="shared" si="15"/>
        <v>0.63219206298467789</v>
      </c>
      <c r="AH161" s="124">
        <f t="shared" si="16"/>
        <v>89.25207374798569</v>
      </c>
      <c r="AI161" s="124">
        <f t="shared" si="23"/>
        <v>3.2727365049186812</v>
      </c>
      <c r="AJ161" s="124">
        <f t="shared" si="24"/>
        <v>0.56565816134396951</v>
      </c>
      <c r="AK161" s="124">
        <f t="shared" si="25"/>
        <v>0.91149269927338161</v>
      </c>
      <c r="AL161" s="124">
        <f t="shared" si="26"/>
        <v>0.57136349598763347</v>
      </c>
      <c r="AM161" s="124">
        <f t="shared" si="27"/>
        <v>0.28539635164217447</v>
      </c>
      <c r="AN161" s="124">
        <f t="shared" si="28"/>
        <v>1.0075785998939457</v>
      </c>
      <c r="AO161" s="3">
        <f t="shared" si="32"/>
        <v>94.858720961151548</v>
      </c>
    </row>
    <row r="162" spans="1:41" ht="14">
      <c r="A162">
        <f t="shared" si="33"/>
        <v>4</v>
      </c>
      <c r="B162" s="21">
        <v>84</v>
      </c>
      <c r="C162" s="123">
        <f t="shared" si="13"/>
        <v>90.502655169824934</v>
      </c>
      <c r="D162" s="125">
        <f>(($C$39*$C$118*$D$14)*('Product half-life and C flows'!B63/100))</f>
        <v>0.61065728049484447</v>
      </c>
      <c r="E162" s="26">
        <f t="shared" si="31"/>
        <v>90.502655169824934</v>
      </c>
      <c r="F162" s="54">
        <f t="shared" si="30"/>
        <v>3.2727365049186812</v>
      </c>
      <c r="G162" s="54">
        <f t="shared" si="30"/>
        <v>0.56565816134396951</v>
      </c>
      <c r="H162" s="125">
        <f>(H$118)*('Product half-life and C flows'!L63/100)</f>
        <v>0.89756030816652588</v>
      </c>
      <c r="I162" s="125">
        <f>(($C$39*$C$118*0.28)*H$41)*('Product half-life and C flows'!N63/100)</f>
        <v>0.58066104498627524</v>
      </c>
      <c r="J162" s="125">
        <f>(($C$39*$C$118*0.28)*H$41)*(+'Product half-life and C flows'!P63/100)</f>
        <v>0.29004048201112637</v>
      </c>
      <c r="K162" s="54">
        <f t="shared" si="19"/>
        <v>1.0075785998939457</v>
      </c>
      <c r="L162" s="26"/>
      <c r="M162" s="83"/>
      <c r="N162" s="83"/>
      <c r="O162" s="83"/>
      <c r="P162" s="83"/>
      <c r="Q162" s="83"/>
      <c r="R162" s="83"/>
      <c r="S162" s="83"/>
      <c r="T162" s="83"/>
      <c r="U162" s="3"/>
      <c r="V162" s="88"/>
      <c r="W162" s="88"/>
      <c r="X162" s="88"/>
      <c r="Y162" s="88"/>
      <c r="Z162" s="88"/>
      <c r="AA162" s="88"/>
      <c r="AB162" s="88"/>
      <c r="AC162" s="88"/>
      <c r="AE162">
        <f t="shared" si="22"/>
        <v>4</v>
      </c>
      <c r="AF162" s="113">
        <f t="shared" si="29"/>
        <v>90.502655169824934</v>
      </c>
      <c r="AG162" s="124">
        <f t="shared" si="15"/>
        <v>0.61065728049484447</v>
      </c>
      <c r="AH162" s="124">
        <f t="shared" si="16"/>
        <v>90.502655169824934</v>
      </c>
      <c r="AI162" s="124">
        <f t="shared" si="23"/>
        <v>3.2727365049186812</v>
      </c>
      <c r="AJ162" s="124">
        <f t="shared" si="24"/>
        <v>0.56565816134396951</v>
      </c>
      <c r="AK162" s="124">
        <f t="shared" si="25"/>
        <v>0.89756030816652588</v>
      </c>
      <c r="AL162" s="124">
        <f t="shared" si="26"/>
        <v>0.58066104498627524</v>
      </c>
      <c r="AM162" s="124">
        <f t="shared" si="27"/>
        <v>0.29004048201112637</v>
      </c>
      <c r="AN162" s="124">
        <f t="shared" si="28"/>
        <v>1.0075785998939457</v>
      </c>
      <c r="AO162" s="3">
        <f t="shared" si="32"/>
        <v>96.109311671251518</v>
      </c>
    </row>
    <row r="163" spans="1:41" ht="14">
      <c r="A163">
        <f t="shared" si="33"/>
        <v>5</v>
      </c>
      <c r="B163" s="21">
        <v>85</v>
      </c>
      <c r="C163" s="123">
        <f t="shared" si="13"/>
        <v>91.73975768915416</v>
      </c>
      <c r="D163" s="125">
        <f>(($C$39*$C$118*$D$14)*('Product half-life and C flows'!B64/100))</f>
        <v>0.58985605175241973</v>
      </c>
      <c r="E163" s="26">
        <f t="shared" si="31"/>
        <v>91.73975768915416</v>
      </c>
      <c r="F163" s="54">
        <f t="shared" si="30"/>
        <v>3.2727365049186812</v>
      </c>
      <c r="G163" s="54">
        <f t="shared" si="30"/>
        <v>0.56565816134396951</v>
      </c>
      <c r="H163" s="125">
        <f>(H$118)*('Product half-life and C flows'!L64/100)</f>
        <v>0.8838408770999524</v>
      </c>
      <c r="I163" s="125">
        <f>(($C$39*$C$118*0.28)*H$41)*('Product half-life and C flows'!N64/100)</f>
        <v>0.58981647865136866</v>
      </c>
      <c r="J163" s="125">
        <f>(($C$39*$C$118*0.28)*H$41)*(+'Product half-life and C flows'!P64/100)</f>
        <v>0.29461362569998417</v>
      </c>
      <c r="K163" s="54">
        <f t="shared" si="19"/>
        <v>1.0075785998939457</v>
      </c>
      <c r="L163" s="26"/>
      <c r="M163" s="83"/>
      <c r="N163" s="83"/>
      <c r="O163" s="83"/>
      <c r="P163" s="83"/>
      <c r="Q163" s="83"/>
      <c r="R163" s="83"/>
      <c r="S163" s="83"/>
      <c r="T163" s="83"/>
      <c r="U163" s="3"/>
      <c r="V163" s="88"/>
      <c r="W163" s="88"/>
      <c r="X163" s="88"/>
      <c r="Y163" s="88"/>
      <c r="Z163" s="88"/>
      <c r="AA163" s="88"/>
      <c r="AB163" s="88"/>
      <c r="AC163" s="88"/>
      <c r="AE163">
        <f t="shared" si="22"/>
        <v>5</v>
      </c>
      <c r="AF163" s="113">
        <f t="shared" si="29"/>
        <v>91.73975768915416</v>
      </c>
      <c r="AG163" s="124">
        <f t="shared" si="15"/>
        <v>0.58985605175241973</v>
      </c>
      <c r="AH163" s="124">
        <f t="shared" si="16"/>
        <v>91.73975768915416</v>
      </c>
      <c r="AI163" s="124">
        <f t="shared" si="23"/>
        <v>3.2727365049186812</v>
      </c>
      <c r="AJ163" s="124">
        <f t="shared" si="24"/>
        <v>0.56565816134396951</v>
      </c>
      <c r="AK163" s="124">
        <f t="shared" si="25"/>
        <v>0.8838408770999524</v>
      </c>
      <c r="AL163" s="124">
        <f t="shared" si="26"/>
        <v>0.58981647865136866</v>
      </c>
      <c r="AM163" s="124">
        <f t="shared" si="27"/>
        <v>0.29461362569998417</v>
      </c>
      <c r="AN163" s="124">
        <f t="shared" si="28"/>
        <v>1.0075785998939457</v>
      </c>
      <c r="AO163" s="3">
        <f t="shared" si="32"/>
        <v>97.346423336868128</v>
      </c>
    </row>
    <row r="164" spans="1:41" ht="14">
      <c r="A164">
        <f t="shared" si="33"/>
        <v>6</v>
      </c>
      <c r="B164" s="21">
        <v>86</v>
      </c>
      <c r="C164" s="123">
        <f t="shared" si="13"/>
        <v>92.96325492803625</v>
      </c>
      <c r="D164" s="125">
        <f>(($C$39*$C$118*$D$14)*('Product half-life and C flows'!B65/100))</f>
        <v>0.56976338922383618</v>
      </c>
      <c r="E164" s="26">
        <f t="shared" si="31"/>
        <v>92.96325492803625</v>
      </c>
      <c r="F164" s="54">
        <f t="shared" si="30"/>
        <v>3.2727365049186812</v>
      </c>
      <c r="G164" s="54">
        <f t="shared" si="30"/>
        <v>0.56565816134396951</v>
      </c>
      <c r="H164" s="125">
        <f>(H$118)*('Product half-life and C flows'!L65/100)</f>
        <v>0.87033115092683078</v>
      </c>
      <c r="I164" s="125">
        <f>(($C$39*$C$118*0.28)*H$41)*('Product half-life and C flows'!N65/100)</f>
        <v>0.59883196925089854</v>
      </c>
      <c r="J164" s="125">
        <f>(($C$39*$C$118*0.28)*H$41)*(+'Product half-life and C flows'!P65/100)</f>
        <v>0.29911686775769142</v>
      </c>
      <c r="K164" s="54">
        <f t="shared" si="19"/>
        <v>1.0075785998939457</v>
      </c>
      <c r="L164" s="26"/>
      <c r="M164" s="83"/>
      <c r="N164" s="83"/>
      <c r="O164" s="83"/>
      <c r="P164" s="83"/>
      <c r="Q164" s="83"/>
      <c r="R164" s="83"/>
      <c r="S164" s="83"/>
      <c r="T164" s="83"/>
      <c r="U164" s="3"/>
      <c r="V164" s="88"/>
      <c r="W164" s="88"/>
      <c r="X164" s="88"/>
      <c r="Y164" s="88"/>
      <c r="Z164" s="88"/>
      <c r="AA164" s="88"/>
      <c r="AB164" s="88"/>
      <c r="AC164" s="88"/>
      <c r="AE164">
        <f t="shared" si="22"/>
        <v>6</v>
      </c>
      <c r="AF164" s="113">
        <f t="shared" si="29"/>
        <v>92.96325492803625</v>
      </c>
      <c r="AG164" s="124">
        <f t="shared" si="15"/>
        <v>0.56976338922383618</v>
      </c>
      <c r="AH164" s="124">
        <f t="shared" si="16"/>
        <v>92.96325492803625</v>
      </c>
      <c r="AI164" s="124">
        <f t="shared" si="23"/>
        <v>3.2727365049186812</v>
      </c>
      <c r="AJ164" s="124">
        <f t="shared" si="24"/>
        <v>0.56565816134396951</v>
      </c>
      <c r="AK164" s="124">
        <f t="shared" si="25"/>
        <v>0.87033115092683078</v>
      </c>
      <c r="AL164" s="124">
        <f t="shared" si="26"/>
        <v>0.59883196925089854</v>
      </c>
      <c r="AM164" s="124">
        <f t="shared" si="27"/>
        <v>0.29911686775769142</v>
      </c>
      <c r="AN164" s="124">
        <f t="shared" si="28"/>
        <v>1.0075785998939457</v>
      </c>
      <c r="AO164" s="3">
        <f t="shared" si="32"/>
        <v>98.569929582234323</v>
      </c>
    </row>
    <row r="165" spans="1:41" ht="14">
      <c r="A165">
        <f t="shared" si="33"/>
        <v>7</v>
      </c>
      <c r="B165" s="21">
        <v>87</v>
      </c>
      <c r="C165" s="123">
        <f t="shared" si="13"/>
        <v>94.17303556736168</v>
      </c>
      <c r="D165" s="125">
        <f>(($C$39*$C$118*$D$14)*('Product half-life and C flows'!B66/100))</f>
        <v>0.5503551565426501</v>
      </c>
      <c r="E165" s="26">
        <f t="shared" si="31"/>
        <v>94.17303556736168</v>
      </c>
      <c r="F165" s="54">
        <f t="shared" si="30"/>
        <v>3.2727365049186812</v>
      </c>
      <c r="G165" s="54">
        <f t="shared" si="30"/>
        <v>0.56565816134396951</v>
      </c>
      <c r="H165" s="125">
        <f>(H$118)*('Product half-life and C flows'!L66/100)</f>
        <v>0.85702792425605323</v>
      </c>
      <c r="I165" s="125">
        <f>(($C$39*$C$118*0.28)*H$41)*('Product half-life and C flows'!N66/100)</f>
        <v>0.60770965584919734</v>
      </c>
      <c r="J165" s="125">
        <f>(($C$39*$C$118*0.28)*H$41)*(+'Product half-life and C flows'!P66/100)</f>
        <v>0.30355127664795062</v>
      </c>
      <c r="K165" s="54">
        <f t="shared" si="19"/>
        <v>1.0075785998939457</v>
      </c>
      <c r="L165" s="26"/>
      <c r="M165" s="83"/>
      <c r="N165" s="83"/>
      <c r="O165" s="83"/>
      <c r="P165" s="83"/>
      <c r="Q165" s="83"/>
      <c r="R165" s="83"/>
      <c r="S165" s="83"/>
      <c r="T165" s="83"/>
      <c r="U165" s="3"/>
      <c r="V165" s="88"/>
      <c r="W165" s="88"/>
      <c r="X165" s="88"/>
      <c r="Y165" s="88"/>
      <c r="Z165" s="88"/>
      <c r="AA165" s="88"/>
      <c r="AB165" s="88"/>
      <c r="AC165" s="88"/>
      <c r="AE165">
        <f t="shared" si="22"/>
        <v>7</v>
      </c>
      <c r="AF165" s="113">
        <f t="shared" si="29"/>
        <v>94.17303556736168</v>
      </c>
      <c r="AG165" s="124">
        <f t="shared" si="15"/>
        <v>0.5503551565426501</v>
      </c>
      <c r="AH165" s="124">
        <f t="shared" si="16"/>
        <v>94.17303556736168</v>
      </c>
      <c r="AI165" s="124">
        <f t="shared" si="23"/>
        <v>3.2727365049186812</v>
      </c>
      <c r="AJ165" s="124">
        <f t="shared" si="24"/>
        <v>0.56565816134396951</v>
      </c>
      <c r="AK165" s="124">
        <f t="shared" si="25"/>
        <v>0.85702792425605323</v>
      </c>
      <c r="AL165" s="124">
        <f t="shared" si="26"/>
        <v>0.60770965584919734</v>
      </c>
      <c r="AM165" s="124">
        <f t="shared" si="27"/>
        <v>0.30355127664795062</v>
      </c>
      <c r="AN165" s="124">
        <f t="shared" si="28"/>
        <v>1.0075785998939457</v>
      </c>
      <c r="AO165" s="3">
        <f t="shared" si="32"/>
        <v>99.77971909037754</v>
      </c>
    </row>
    <row r="166" spans="1:41" ht="14">
      <c r="A166">
        <f t="shared" si="33"/>
        <v>8</v>
      </c>
      <c r="B166" s="21">
        <v>88</v>
      </c>
      <c r="C166" s="123">
        <f t="shared" si="13"/>
        <v>95.369002723123899</v>
      </c>
      <c r="D166" s="125">
        <f>(($C$39*$C$118*$D$14)*('Product half-life and C flows'!B67/100))</f>
        <v>0.53160803951566604</v>
      </c>
      <c r="E166" s="26">
        <f t="shared" si="31"/>
        <v>95.369002723123899</v>
      </c>
      <c r="F166" s="54">
        <f t="shared" si="30"/>
        <v>3.2727365049186812</v>
      </c>
      <c r="G166" s="54">
        <f t="shared" si="30"/>
        <v>0.56565816134396951</v>
      </c>
      <c r="H166" s="125">
        <f>(H$118)*('Product half-life and C flows'!L67/100)</f>
        <v>0.8439280406917079</v>
      </c>
      <c r="I166" s="125">
        <f>(($C$39*$C$118*0.28)*H$41)*('Product half-life and C flows'!N67/100)</f>
        <v>0.61645164481447046</v>
      </c>
      <c r="J166" s="125">
        <f>(($C$39*$C$118*0.28)*H$41)*(+'Product half-life and C flows'!P67/100)</f>
        <v>0.30791790450273232</v>
      </c>
      <c r="K166" s="54">
        <f t="shared" si="19"/>
        <v>1.0075785998939457</v>
      </c>
      <c r="L166" s="26"/>
      <c r="M166" s="83"/>
      <c r="N166" s="83"/>
      <c r="O166" s="83"/>
      <c r="P166" s="83"/>
      <c r="Q166" s="83"/>
      <c r="R166" s="83"/>
      <c r="S166" s="83"/>
      <c r="T166" s="83"/>
      <c r="U166" s="3"/>
      <c r="V166" s="88"/>
      <c r="W166" s="88"/>
      <c r="X166" s="88"/>
      <c r="Y166" s="88"/>
      <c r="Z166" s="88"/>
      <c r="AA166" s="88"/>
      <c r="AB166" s="88"/>
      <c r="AC166" s="88"/>
      <c r="AE166">
        <f t="shared" si="22"/>
        <v>8</v>
      </c>
      <c r="AF166" s="113">
        <f t="shared" si="29"/>
        <v>95.369002723123899</v>
      </c>
      <c r="AG166" s="124">
        <f t="shared" si="15"/>
        <v>0.53160803951566604</v>
      </c>
      <c r="AH166" s="124">
        <f t="shared" si="16"/>
        <v>95.369002723123899</v>
      </c>
      <c r="AI166" s="124">
        <f t="shared" si="23"/>
        <v>3.2727365049186812</v>
      </c>
      <c r="AJ166" s="124">
        <f t="shared" si="24"/>
        <v>0.56565816134396951</v>
      </c>
      <c r="AK166" s="124">
        <f t="shared" si="25"/>
        <v>0.8439280406917079</v>
      </c>
      <c r="AL166" s="124">
        <f t="shared" si="26"/>
        <v>0.61645164481447046</v>
      </c>
      <c r="AM166" s="124">
        <f t="shared" si="27"/>
        <v>0.30791790450273232</v>
      </c>
      <c r="AN166" s="124">
        <f t="shared" si="28"/>
        <v>1.0075785998939457</v>
      </c>
      <c r="AO166" s="3">
        <f t="shared" si="32"/>
        <v>100.97569497939547</v>
      </c>
    </row>
    <row r="167" spans="1:41" ht="14">
      <c r="A167">
        <f t="shared" si="33"/>
        <v>9</v>
      </c>
      <c r="B167" s="21">
        <v>89</v>
      </c>
      <c r="C167" s="123">
        <f t="shared" si="13"/>
        <v>96.551073338095861</v>
      </c>
      <c r="D167" s="125">
        <f>(($C$39*$C$118*$D$14)*('Product half-life and C flows'!B68/100))</f>
        <v>0.5134995181166967</v>
      </c>
      <c r="E167" s="26">
        <f t="shared" si="31"/>
        <v>96.551073338095861</v>
      </c>
      <c r="F167" s="54">
        <f t="shared" si="30"/>
        <v>3.2727365049186812</v>
      </c>
      <c r="G167" s="54">
        <f t="shared" si="30"/>
        <v>0.56565816134396951</v>
      </c>
      <c r="H167" s="125">
        <f>(H$118)*('Product half-life and C flows'!L68/100)</f>
        <v>0.83102839208417378</v>
      </c>
      <c r="I167" s="125">
        <f>(($C$39*$C$118*0.28)*H$41)*('Product half-life and C flows'!N68/100)</f>
        <v>0.62506001031856484</v>
      </c>
      <c r="J167" s="125">
        <f>(($C$39*$C$118*0.28)*H$41)*(+'Product half-life and C flows'!P68/100)</f>
        <v>0.3122177873719103</v>
      </c>
      <c r="K167" s="54">
        <f t="shared" si="19"/>
        <v>1.0075785998939457</v>
      </c>
      <c r="L167" s="26"/>
      <c r="M167" s="83"/>
      <c r="N167" s="83"/>
      <c r="O167" s="83"/>
      <c r="P167" s="83"/>
      <c r="Q167" s="83"/>
      <c r="R167" s="83"/>
      <c r="S167" s="83"/>
      <c r="T167" s="83"/>
      <c r="U167" s="3"/>
      <c r="V167" s="88"/>
      <c r="W167" s="88"/>
      <c r="X167" s="88"/>
      <c r="Y167" s="88"/>
      <c r="Z167" s="88"/>
      <c r="AA167" s="88"/>
      <c r="AB167" s="88"/>
      <c r="AC167" s="88"/>
      <c r="AE167">
        <f t="shared" si="22"/>
        <v>9</v>
      </c>
      <c r="AF167" s="113">
        <f t="shared" si="29"/>
        <v>96.551073338095861</v>
      </c>
      <c r="AG167" s="124">
        <f t="shared" si="15"/>
        <v>0.5134995181166967</v>
      </c>
      <c r="AH167" s="124">
        <f t="shared" si="16"/>
        <v>96.551073338095861</v>
      </c>
      <c r="AI167" s="124">
        <f t="shared" si="23"/>
        <v>3.2727365049186812</v>
      </c>
      <c r="AJ167" s="124">
        <f t="shared" si="24"/>
        <v>0.56565816134396951</v>
      </c>
      <c r="AK167" s="124">
        <f t="shared" si="25"/>
        <v>0.83102839208417378</v>
      </c>
      <c r="AL167" s="124">
        <f t="shared" si="26"/>
        <v>0.62506001031856484</v>
      </c>
      <c r="AM167" s="124">
        <f t="shared" si="27"/>
        <v>0.3122177873719103</v>
      </c>
      <c r="AN167" s="124">
        <f t="shared" si="28"/>
        <v>1.0075785998939457</v>
      </c>
      <c r="AO167" s="3">
        <f t="shared" si="32"/>
        <v>102.15777419413317</v>
      </c>
    </row>
    <row r="168" spans="1:41" ht="14">
      <c r="A168">
        <f t="shared" si="33"/>
        <v>10</v>
      </c>
      <c r="B168" s="21">
        <v>90</v>
      </c>
      <c r="C168" s="123">
        <f t="shared" si="13"/>
        <v>97.71917758904894</v>
      </c>
      <c r="D168" s="125">
        <f>(($C$39*$C$118*$D$14)*('Product half-life and C flows'!B69/100))</f>
        <v>0.49600783943431931</v>
      </c>
      <c r="E168" s="26">
        <f t="shared" si="31"/>
        <v>97.71917758904894</v>
      </c>
      <c r="F168" s="54">
        <f t="shared" ref="F168:G183" si="34">F167</f>
        <v>3.2727365049186812</v>
      </c>
      <c r="G168" s="54">
        <f t="shared" si="34"/>
        <v>0.56565816134396951</v>
      </c>
      <c r="H168" s="125">
        <f>(H$118)*('Product half-life and C flows'!L69/100)</f>
        <v>0.81832591779266484</v>
      </c>
      <c r="I168" s="125">
        <f>(($C$39*$C$118*0.28)*H$41)*('Product half-life and C flows'!N69/100)</f>
        <v>0.63353679482909853</v>
      </c>
      <c r="J168" s="125">
        <f>(($C$39*$C$118*0.28)*H$41)*(+'Product half-life and C flows'!P69/100)</f>
        <v>0.31645194546908006</v>
      </c>
      <c r="K168" s="54">
        <f t="shared" si="19"/>
        <v>1.0075785998939457</v>
      </c>
      <c r="L168" s="26"/>
      <c r="M168" s="83"/>
      <c r="N168" s="83"/>
      <c r="O168" s="83"/>
      <c r="P168" s="83"/>
      <c r="Q168" s="83"/>
      <c r="R168" s="83"/>
      <c r="S168" s="83"/>
      <c r="T168" s="83"/>
      <c r="U168" s="3"/>
      <c r="V168" s="88"/>
      <c r="W168" s="88"/>
      <c r="X168" s="88"/>
      <c r="Y168" s="88"/>
      <c r="Z168" s="88"/>
      <c r="AA168" s="88"/>
      <c r="AB168" s="88"/>
      <c r="AC168" s="88"/>
      <c r="AE168">
        <f t="shared" si="22"/>
        <v>10</v>
      </c>
      <c r="AF168" s="113">
        <f t="shared" si="29"/>
        <v>97.71917758904894</v>
      </c>
      <c r="AG168" s="124">
        <f t="shared" si="15"/>
        <v>0.49600783943431931</v>
      </c>
      <c r="AH168" s="124">
        <f t="shared" si="16"/>
        <v>97.71917758904894</v>
      </c>
      <c r="AI168" s="124">
        <f t="shared" si="23"/>
        <v>3.2727365049186812</v>
      </c>
      <c r="AJ168" s="124">
        <f t="shared" si="24"/>
        <v>0.56565816134396951</v>
      </c>
      <c r="AK168" s="124">
        <f t="shared" si="25"/>
        <v>0.81832591779266484</v>
      </c>
      <c r="AL168" s="124">
        <f t="shared" si="26"/>
        <v>0.63353679482909853</v>
      </c>
      <c r="AM168" s="124">
        <f t="shared" si="27"/>
        <v>0.31645194546908006</v>
      </c>
      <c r="AN168" s="124">
        <f t="shared" si="28"/>
        <v>1.0075785998939457</v>
      </c>
      <c r="AO168" s="3">
        <f t="shared" si="32"/>
        <v>103.32588691340244</v>
      </c>
    </row>
    <row r="169" spans="1:41" ht="14">
      <c r="A169">
        <f t="shared" si="33"/>
        <v>11</v>
      </c>
      <c r="B169" s="21">
        <v>91</v>
      </c>
      <c r="C169" s="123">
        <f t="shared" si="13"/>
        <v>98.87325830960242</v>
      </c>
      <c r="D169" s="125">
        <f>(($C$39*$C$118*$D$14)*('Product half-life and C flows'!B70/100))</f>
        <v>0.47911199154113082</v>
      </c>
      <c r="E169" s="26">
        <f t="shared" si="31"/>
        <v>98.87325830960242</v>
      </c>
      <c r="F169" s="54">
        <f t="shared" si="34"/>
        <v>3.2727365049186812</v>
      </c>
      <c r="G169" s="54">
        <f t="shared" si="34"/>
        <v>0.56565816134396951</v>
      </c>
      <c r="H169" s="125">
        <f>(H$118)*('Product half-life and C flows'!L70/100)</f>
        <v>0.80581760395904578</v>
      </c>
      <c r="I169" s="125">
        <f>(($C$39*$C$118*0.28)*H$41)*('Product half-life and C flows'!N70/100)</f>
        <v>0.641884009594067</v>
      </c>
      <c r="J169" s="125">
        <f>(($C$39*$C$118*0.28)*H$41)*(+'Product half-life and C flows'!P70/100)</f>
        <v>0.32062138341361973</v>
      </c>
      <c r="K169" s="54">
        <f t="shared" si="19"/>
        <v>1.0075785998939457</v>
      </c>
      <c r="L169" s="26"/>
      <c r="M169" s="83"/>
      <c r="N169" s="83"/>
      <c r="O169" s="83"/>
      <c r="P169" s="83"/>
      <c r="Q169" s="83"/>
      <c r="R169" s="83"/>
      <c r="S169" s="83"/>
      <c r="T169" s="83"/>
      <c r="U169" s="3"/>
      <c r="V169" s="88"/>
      <c r="W169" s="88"/>
      <c r="X169" s="88"/>
      <c r="Y169" s="88"/>
      <c r="Z169" s="88"/>
      <c r="AA169" s="88"/>
      <c r="AB169" s="88"/>
      <c r="AC169" s="88"/>
      <c r="AE169">
        <f t="shared" si="22"/>
        <v>11</v>
      </c>
      <c r="AF169" s="113">
        <f t="shared" si="29"/>
        <v>98.87325830960242</v>
      </c>
      <c r="AG169" s="124">
        <f t="shared" si="15"/>
        <v>0.47911199154113082</v>
      </c>
      <c r="AH169" s="124">
        <f t="shared" si="16"/>
        <v>98.87325830960242</v>
      </c>
      <c r="AI169" s="124">
        <f t="shared" si="23"/>
        <v>3.2727365049186812</v>
      </c>
      <c r="AJ169" s="124">
        <f t="shared" si="24"/>
        <v>0.56565816134396951</v>
      </c>
      <c r="AK169" s="124">
        <f t="shared" si="25"/>
        <v>0.80581760395904578</v>
      </c>
      <c r="AL169" s="124">
        <f t="shared" si="26"/>
        <v>0.641884009594067</v>
      </c>
      <c r="AM169" s="124">
        <f t="shared" si="27"/>
        <v>0.32062138341361973</v>
      </c>
      <c r="AN169" s="124">
        <f t="shared" si="28"/>
        <v>1.0075785998939457</v>
      </c>
      <c r="AO169" s="3">
        <f t="shared" si="32"/>
        <v>104.47997597283181</v>
      </c>
    </row>
    <row r="170" spans="1:41" ht="14">
      <c r="A170">
        <f t="shared" si="33"/>
        <v>12</v>
      </c>
      <c r="B170" s="21">
        <v>92</v>
      </c>
      <c r="C170" s="123">
        <f t="shared" si="13"/>
        <v>100.0132704287426</v>
      </c>
      <c r="D170" s="125">
        <f>(($C$39*$C$118*$D$14)*('Product half-life and C flows'!B71/100))</f>
        <v>0.46279167825311135</v>
      </c>
      <c r="E170" s="26">
        <f t="shared" si="31"/>
        <v>100.0132704287426</v>
      </c>
      <c r="F170" s="54">
        <f t="shared" si="34"/>
        <v>3.2727365049186812</v>
      </c>
      <c r="G170" s="54">
        <f t="shared" si="34"/>
        <v>0.56565816134396951</v>
      </c>
      <c r="H170" s="125">
        <f>(H$118)*('Product half-life and C flows'!L71/100)</f>
        <v>0.79350048279274699</v>
      </c>
      <c r="I170" s="125">
        <f>(($C$39*$C$118*0.28)*H$41)*('Product half-life and C flows'!N71/100)</f>
        <v>0.65010363511904368</v>
      </c>
      <c r="J170" s="125">
        <f>(($C$39*$C$118*0.28)*H$41)*(+'Product half-life and C flows'!P71/100)</f>
        <v>0.32472709046905263</v>
      </c>
      <c r="K170" s="54">
        <f t="shared" si="19"/>
        <v>1.0075785998939457</v>
      </c>
      <c r="L170" s="26"/>
      <c r="M170" s="83"/>
      <c r="N170" s="83"/>
      <c r="O170" s="83"/>
      <c r="P170" s="83"/>
      <c r="Q170" s="83"/>
      <c r="R170" s="83"/>
      <c r="S170" s="83"/>
      <c r="T170" s="83"/>
      <c r="U170" s="3"/>
      <c r="V170" s="88"/>
      <c r="W170" s="88"/>
      <c r="X170" s="88"/>
      <c r="Y170" s="88"/>
      <c r="Z170" s="88"/>
      <c r="AA170" s="88"/>
      <c r="AB170" s="88"/>
      <c r="AC170" s="88"/>
      <c r="AE170">
        <f t="shared" si="22"/>
        <v>12</v>
      </c>
      <c r="AF170" s="113">
        <f t="shared" si="29"/>
        <v>100.0132704287426</v>
      </c>
      <c r="AG170" s="124">
        <f t="shared" si="15"/>
        <v>0.46279167825311135</v>
      </c>
      <c r="AH170" s="124">
        <f t="shared" si="16"/>
        <v>100.0132704287426</v>
      </c>
      <c r="AI170" s="124">
        <f t="shared" si="23"/>
        <v>3.2727365049186812</v>
      </c>
      <c r="AJ170" s="124">
        <f t="shared" si="24"/>
        <v>0.56565816134396951</v>
      </c>
      <c r="AK170" s="124">
        <f t="shared" si="25"/>
        <v>0.79350048279274699</v>
      </c>
      <c r="AL170" s="124">
        <f t="shared" si="26"/>
        <v>0.65010363511904368</v>
      </c>
      <c r="AM170" s="124">
        <f t="shared" si="27"/>
        <v>0.32472709046905263</v>
      </c>
      <c r="AN170" s="124">
        <f t="shared" si="28"/>
        <v>1.0075785998939457</v>
      </c>
      <c r="AO170" s="3">
        <f t="shared" si="32"/>
        <v>105.6199963033861</v>
      </c>
    </row>
    <row r="171" spans="1:41" ht="14">
      <c r="A171">
        <f t="shared" si="33"/>
        <v>13</v>
      </c>
      <c r="B171" s="21">
        <v>93</v>
      </c>
      <c r="C171" s="123">
        <f t="shared" si="13"/>
        <v>101.13918042500804</v>
      </c>
      <c r="D171" s="125">
        <f>(($C$39*$C$118*$D$14)*('Product half-life and C flows'!B72/100))</f>
        <v>0.44702729474877878</v>
      </c>
      <c r="E171" s="26">
        <f t="shared" si="31"/>
        <v>101.13918042500804</v>
      </c>
      <c r="F171" s="54">
        <f t="shared" si="34"/>
        <v>3.2727365049186812</v>
      </c>
      <c r="G171" s="54">
        <f t="shared" si="34"/>
        <v>0.56565816134396951</v>
      </c>
      <c r="H171" s="125">
        <f>(H$118)*('Product half-life and C flows'!L72/100)</f>
        <v>0.78137163186661174</v>
      </c>
      <c r="I171" s="125">
        <f>(($C$39*$C$118*0.28)*H$41)*('Product half-life and C flows'!N72/100)</f>
        <v>0.65819762163708462</v>
      </c>
      <c r="J171" s="125">
        <f>(($C$39*$C$118*0.28)*H$41)*(+'Product half-life and C flows'!P72/100)</f>
        <v>0.32877004077776445</v>
      </c>
      <c r="K171" s="54">
        <f t="shared" si="19"/>
        <v>1.0075785998939457</v>
      </c>
      <c r="L171" s="26"/>
      <c r="M171" s="83"/>
      <c r="N171" s="83"/>
      <c r="O171" s="83"/>
      <c r="P171" s="83"/>
      <c r="Q171" s="83"/>
      <c r="R171" s="83"/>
      <c r="S171" s="83"/>
      <c r="T171" s="83"/>
      <c r="U171" s="3"/>
      <c r="V171" s="88"/>
      <c r="W171" s="88"/>
      <c r="X171" s="88"/>
      <c r="Y171" s="88"/>
      <c r="Z171" s="88"/>
      <c r="AA171" s="88"/>
      <c r="AB171" s="88"/>
      <c r="AC171" s="88"/>
      <c r="AE171">
        <f t="shared" si="22"/>
        <v>13</v>
      </c>
      <c r="AF171" s="113">
        <f t="shared" si="29"/>
        <v>101.13918042500804</v>
      </c>
      <c r="AG171" s="124">
        <f t="shared" si="15"/>
        <v>0.44702729474877878</v>
      </c>
      <c r="AH171" s="124">
        <f t="shared" si="16"/>
        <v>101.13918042500804</v>
      </c>
      <c r="AI171" s="124">
        <f t="shared" si="23"/>
        <v>3.2727365049186812</v>
      </c>
      <c r="AJ171" s="124">
        <f t="shared" si="24"/>
        <v>0.56565816134396951</v>
      </c>
      <c r="AK171" s="124">
        <f t="shared" si="25"/>
        <v>0.78137163186661174</v>
      </c>
      <c r="AL171" s="124">
        <f t="shared" si="26"/>
        <v>0.65819762163708462</v>
      </c>
      <c r="AM171" s="124">
        <f t="shared" si="27"/>
        <v>0.32877004077776445</v>
      </c>
      <c r="AN171" s="124">
        <f t="shared" si="28"/>
        <v>1.0075785998939457</v>
      </c>
      <c r="AO171" s="3">
        <f t="shared" si="32"/>
        <v>106.74591438555215</v>
      </c>
    </row>
    <row r="172" spans="1:41" ht="14">
      <c r="A172">
        <f t="shared" si="33"/>
        <v>14</v>
      </c>
      <c r="B172" s="21">
        <v>94</v>
      </c>
      <c r="C172" s="123">
        <f t="shared" si="13"/>
        <v>102.25096579629684</v>
      </c>
      <c r="D172" s="125">
        <f>(($C$39*$C$118*$D$14)*('Product half-life and C flows'!B73/100))</f>
        <v>0.43179990401884016</v>
      </c>
      <c r="E172" s="26">
        <f t="shared" si="31"/>
        <v>102.25096579629684</v>
      </c>
      <c r="F172" s="54">
        <f t="shared" si="34"/>
        <v>3.2727365049186812</v>
      </c>
      <c r="G172" s="54">
        <f t="shared" si="34"/>
        <v>0.56565816134396951</v>
      </c>
      <c r="H172" s="125">
        <f>(H$118)*('Product half-life and C flows'!L73/100)</f>
        <v>0.769428173423504</v>
      </c>
      <c r="I172" s="125">
        <f>(($C$39*$C$118*0.28)*H$41)*('Product half-life and C flows'!N73/100)</f>
        <v>0.66616788957145179</v>
      </c>
      <c r="J172" s="125">
        <f>(($C$39*$C$118*0.28)*H$41)*(+'Product half-life and C flows'!P73/100)</f>
        <v>0.33275119359213368</v>
      </c>
      <c r="K172" s="54">
        <f t="shared" si="19"/>
        <v>1.0075785998939457</v>
      </c>
      <c r="L172" s="26"/>
      <c r="M172" s="83"/>
      <c r="N172" s="83"/>
      <c r="O172" s="83"/>
      <c r="P172" s="83"/>
      <c r="Q172" s="83"/>
      <c r="R172" s="83"/>
      <c r="S172" s="83"/>
      <c r="T172" s="83"/>
      <c r="U172" s="3"/>
      <c r="V172" s="88"/>
      <c r="W172" s="88"/>
      <c r="X172" s="88"/>
      <c r="Y172" s="88"/>
      <c r="Z172" s="88"/>
      <c r="AA172" s="88"/>
      <c r="AB172" s="88"/>
      <c r="AC172" s="88"/>
      <c r="AE172">
        <f t="shared" si="22"/>
        <v>14</v>
      </c>
      <c r="AF172" s="113">
        <f t="shared" si="29"/>
        <v>102.25096579629684</v>
      </c>
      <c r="AG172" s="124">
        <f t="shared" si="15"/>
        <v>0.43179990401884016</v>
      </c>
      <c r="AH172" s="124">
        <f t="shared" si="16"/>
        <v>102.25096579629684</v>
      </c>
      <c r="AI172" s="124">
        <f t="shared" si="23"/>
        <v>3.2727365049186812</v>
      </c>
      <c r="AJ172" s="124">
        <f t="shared" si="24"/>
        <v>0.56565816134396951</v>
      </c>
      <c r="AK172" s="124">
        <f t="shared" si="25"/>
        <v>0.769428173423504</v>
      </c>
      <c r="AL172" s="124">
        <f t="shared" si="26"/>
        <v>0.66616788957145179</v>
      </c>
      <c r="AM172" s="124">
        <f t="shared" si="27"/>
        <v>0.33275119359213368</v>
      </c>
      <c r="AN172" s="124">
        <f t="shared" si="28"/>
        <v>1.0075785998939457</v>
      </c>
      <c r="AO172" s="3">
        <f t="shared" si="32"/>
        <v>107.85770771914659</v>
      </c>
    </row>
    <row r="173" spans="1:41" ht="14">
      <c r="A173">
        <f t="shared" si="33"/>
        <v>15</v>
      </c>
      <c r="B173" s="21">
        <v>95</v>
      </c>
      <c r="C173" s="123">
        <f t="shared" si="13"/>
        <v>103.34861454521752</v>
      </c>
      <c r="D173" s="125">
        <f>(($C$39*$C$118*$D$14)*('Product half-life and C flows'!B74/100))</f>
        <v>0.41709121411805911</v>
      </c>
      <c r="E173" s="26">
        <f t="shared" si="31"/>
        <v>103.34861454521752</v>
      </c>
      <c r="F173" s="54">
        <f t="shared" si="34"/>
        <v>3.2727365049186812</v>
      </c>
      <c r="G173" s="54">
        <f t="shared" si="34"/>
        <v>0.56565816134396951</v>
      </c>
      <c r="H173" s="125">
        <f>(H$118)*('Product half-life and C flows'!L74/100)</f>
        <v>0.75766727369351627</v>
      </c>
      <c r="I173" s="125">
        <f>(($C$39*$C$118*0.28)*H$41)*('Product half-life and C flows'!N74/100)</f>
        <v>0.6740163299912636</v>
      </c>
      <c r="J173" s="125">
        <f>(($C$39*$C$118*0.28)*H$41)*(+'Product half-life and C flows'!P74/100)</f>
        <v>0.33667149350212955</v>
      </c>
      <c r="K173" s="54">
        <f t="shared" si="19"/>
        <v>1.0075785998939457</v>
      </c>
      <c r="L173" s="26"/>
      <c r="M173" s="83"/>
      <c r="N173" s="83"/>
      <c r="O173" s="83"/>
      <c r="P173" s="83"/>
      <c r="Q173" s="83"/>
      <c r="R173" s="83"/>
      <c r="S173" s="83"/>
      <c r="T173" s="83"/>
      <c r="U173" s="3"/>
      <c r="V173" s="88"/>
      <c r="W173" s="88"/>
      <c r="X173" s="88"/>
      <c r="Y173" s="88"/>
      <c r="Z173" s="88"/>
      <c r="AA173" s="88"/>
      <c r="AB173" s="88"/>
      <c r="AC173" s="88"/>
      <c r="AE173">
        <f t="shared" si="22"/>
        <v>15</v>
      </c>
      <c r="AF173" s="113">
        <f t="shared" si="29"/>
        <v>103.34861454521752</v>
      </c>
      <c r="AG173" s="124">
        <f t="shared" si="15"/>
        <v>0.41709121411805911</v>
      </c>
      <c r="AH173" s="124">
        <f t="shared" si="16"/>
        <v>103.34861454521752</v>
      </c>
      <c r="AI173" s="124">
        <f t="shared" si="23"/>
        <v>3.2727365049186812</v>
      </c>
      <c r="AJ173" s="124">
        <f t="shared" si="24"/>
        <v>0.56565816134396951</v>
      </c>
      <c r="AK173" s="124">
        <f t="shared" si="25"/>
        <v>0.75766727369351627</v>
      </c>
      <c r="AL173" s="124">
        <f t="shared" si="26"/>
        <v>0.6740163299912636</v>
      </c>
      <c r="AM173" s="124">
        <f t="shared" si="27"/>
        <v>0.33667149350212955</v>
      </c>
      <c r="AN173" s="124">
        <f t="shared" si="28"/>
        <v>1.0075785998939457</v>
      </c>
      <c r="AO173" s="3">
        <f t="shared" si="32"/>
        <v>108.95536430866707</v>
      </c>
    </row>
    <row r="174" spans="1:41" ht="14">
      <c r="A174">
        <f t="shared" si="33"/>
        <v>16</v>
      </c>
      <c r="B174" s="21">
        <v>96</v>
      </c>
      <c r="C174" s="123">
        <f t="shared" si="13"/>
        <v>104.43212467987155</v>
      </c>
      <c r="D174" s="125">
        <f>(($C$39*$C$118*$D$14)*('Product half-life and C flows'!B75/100))</f>
        <v>0.40288355619200483</v>
      </c>
      <c r="E174" s="26">
        <f t="shared" si="31"/>
        <v>104.43212467987155</v>
      </c>
      <c r="F174" s="54">
        <f t="shared" si="34"/>
        <v>3.2727365049186812</v>
      </c>
      <c r="G174" s="54">
        <f t="shared" si="34"/>
        <v>0.56565816134396951</v>
      </c>
      <c r="H174" s="125">
        <f>(H$118)*('Product half-life and C flows'!L75/100)</f>
        <v>0.74608614222161518</v>
      </c>
      <c r="I174" s="125">
        <f>(($C$39*$C$118*0.28)*H$41)*('Product half-life and C flows'!N75/100)</f>
        <v>0.68174480506017898</v>
      </c>
      <c r="J174" s="125">
        <f>(($C$39*$C$118*0.28)*H$41)*(+'Product half-life and C flows'!P75/100)</f>
        <v>0.34053187065942991</v>
      </c>
      <c r="K174" s="54">
        <f t="shared" si="19"/>
        <v>1.0075785998939457</v>
      </c>
      <c r="L174" s="26"/>
      <c r="M174" s="83"/>
      <c r="N174" s="83"/>
      <c r="O174" s="83"/>
      <c r="P174" s="83"/>
      <c r="Q174" s="83"/>
      <c r="R174" s="83"/>
      <c r="S174" s="83"/>
      <c r="T174" s="83"/>
      <c r="U174" s="3"/>
      <c r="V174" s="88"/>
      <c r="W174" s="88"/>
      <c r="X174" s="88"/>
      <c r="Y174" s="88"/>
      <c r="Z174" s="88"/>
      <c r="AA174" s="88"/>
      <c r="AB174" s="88"/>
      <c r="AC174" s="88"/>
      <c r="AE174">
        <f t="shared" si="22"/>
        <v>16</v>
      </c>
      <c r="AF174" s="113">
        <f t="shared" si="29"/>
        <v>104.43212467987155</v>
      </c>
      <c r="AG174" s="124">
        <f t="shared" si="15"/>
        <v>0.40288355619200483</v>
      </c>
      <c r="AH174" s="124">
        <f t="shared" si="16"/>
        <v>104.43212467987155</v>
      </c>
      <c r="AI174" s="124">
        <f t="shared" si="23"/>
        <v>3.2727365049186812</v>
      </c>
      <c r="AJ174" s="124">
        <f t="shared" si="24"/>
        <v>0.56565816134396951</v>
      </c>
      <c r="AK174" s="124">
        <f t="shared" si="25"/>
        <v>0.74608614222161518</v>
      </c>
      <c r="AL174" s="124">
        <f t="shared" si="26"/>
        <v>0.68174480506017898</v>
      </c>
      <c r="AM174" s="124">
        <f t="shared" si="27"/>
        <v>0.34053187065942991</v>
      </c>
      <c r="AN174" s="124">
        <f t="shared" si="28"/>
        <v>1.0075785998939457</v>
      </c>
      <c r="AO174" s="3">
        <f t="shared" si="32"/>
        <v>110.03888216407543</v>
      </c>
    </row>
    <row r="175" spans="1:41" ht="14">
      <c r="A175">
        <f t="shared" si="33"/>
        <v>17</v>
      </c>
      <c r="B175" s="21">
        <v>97</v>
      </c>
      <c r="C175" s="123">
        <f t="shared" si="13"/>
        <v>105.50150372992968</v>
      </c>
      <c r="D175" s="125">
        <f>(($C$39*$C$118*$D$14)*('Product half-life and C flows'!B76/100))</f>
        <v>0.38915986325229179</v>
      </c>
      <c r="E175" s="26">
        <f t="shared" si="31"/>
        <v>105.50150372992968</v>
      </c>
      <c r="F175" s="54">
        <f t="shared" si="34"/>
        <v>3.2727365049186812</v>
      </c>
      <c r="G175" s="54">
        <f t="shared" si="34"/>
        <v>0.56565816134396951</v>
      </c>
      <c r="H175" s="125">
        <f>(H$118)*('Product half-life and C flows'!L76/100)</f>
        <v>0.73468203120556064</v>
      </c>
      <c r="I175" s="125">
        <f>(($C$39*$C$118*0.28)*H$41)*('Product half-life and C flows'!N76/100)</f>
        <v>0.68935514847822599</v>
      </c>
      <c r="J175" s="125">
        <f>(($C$39*$C$118*0.28)*H$41)*(+'Product half-life and C flows'!P76/100)</f>
        <v>0.34433324099811474</v>
      </c>
      <c r="K175" s="54">
        <f t="shared" si="19"/>
        <v>1.0075785998939457</v>
      </c>
      <c r="L175" s="26"/>
      <c r="M175" s="83"/>
      <c r="N175" s="83"/>
      <c r="O175" s="83"/>
      <c r="P175" s="83"/>
      <c r="Q175" s="83"/>
      <c r="R175" s="83"/>
      <c r="S175" s="83"/>
      <c r="T175" s="83"/>
      <c r="U175" s="3"/>
      <c r="V175" s="88"/>
      <c r="W175" s="88"/>
      <c r="X175" s="88"/>
      <c r="Y175" s="88"/>
      <c r="Z175" s="88"/>
      <c r="AA175" s="88"/>
      <c r="AB175" s="88"/>
      <c r="AC175" s="88"/>
      <c r="AE175">
        <f t="shared" si="22"/>
        <v>17</v>
      </c>
      <c r="AF175" s="113">
        <f t="shared" si="29"/>
        <v>105.50150372992968</v>
      </c>
      <c r="AG175" s="124">
        <f t="shared" si="15"/>
        <v>0.38915986325229179</v>
      </c>
      <c r="AH175" s="124">
        <f t="shared" si="16"/>
        <v>105.50150372992968</v>
      </c>
      <c r="AI175" s="124">
        <f t="shared" si="23"/>
        <v>3.2727365049186812</v>
      </c>
      <c r="AJ175" s="124">
        <f t="shared" si="24"/>
        <v>0.56565816134396951</v>
      </c>
      <c r="AK175" s="124">
        <f t="shared" si="25"/>
        <v>0.73468203120556064</v>
      </c>
      <c r="AL175" s="124">
        <f t="shared" si="26"/>
        <v>0.68935514847822599</v>
      </c>
      <c r="AM175" s="124">
        <f t="shared" si="27"/>
        <v>0.34433324099811474</v>
      </c>
      <c r="AN175" s="124">
        <f t="shared" si="28"/>
        <v>1.0075785998939457</v>
      </c>
      <c r="AO175" s="3">
        <f t="shared" si="32"/>
        <v>111.10826881687424</v>
      </c>
    </row>
    <row r="176" spans="1:41" ht="14">
      <c r="A176">
        <f t="shared" si="33"/>
        <v>18</v>
      </c>
      <c r="B176" s="21">
        <v>98</v>
      </c>
      <c r="C176" s="123">
        <f t="shared" si="13"/>
        <v>106.55676827783559</v>
      </c>
      <c r="D176" s="125">
        <f>(($C$39*$C$118*$D$14)*('Product half-life and C flows'!B77/100))</f>
        <v>0.37590364967481371</v>
      </c>
      <c r="E176" s="26">
        <f t="shared" si="31"/>
        <v>106.55676827783559</v>
      </c>
      <c r="F176" s="54">
        <f t="shared" si="34"/>
        <v>3.2727365049186812</v>
      </c>
      <c r="G176" s="54">
        <f t="shared" si="34"/>
        <v>0.56565816134396951</v>
      </c>
      <c r="H176" s="125">
        <f>(H$118)*('Product half-life and C flows'!L77/100)</f>
        <v>0.72345223484394983</v>
      </c>
      <c r="I176" s="125">
        <f>(($C$39*$C$118*0.28)*H$41)*('Product half-life and C flows'!N77/100)</f>
        <v>0.6968491659168744</v>
      </c>
      <c r="J176" s="125">
        <f>(($C$39*$C$118*0.28)*H$41)*(+'Product half-life and C flows'!P77/100)</f>
        <v>0.34807650645198501</v>
      </c>
      <c r="K176" s="54">
        <f t="shared" si="19"/>
        <v>1.0075785998939457</v>
      </c>
      <c r="L176" s="26"/>
      <c r="M176" s="83"/>
      <c r="N176" s="83"/>
      <c r="O176" s="83"/>
      <c r="P176" s="83"/>
      <c r="Q176" s="83"/>
      <c r="R176" s="83"/>
      <c r="S176" s="83"/>
      <c r="T176" s="83"/>
      <c r="U176" s="3"/>
      <c r="V176" s="88"/>
      <c r="W176" s="88"/>
      <c r="X176" s="88"/>
      <c r="Y176" s="88"/>
      <c r="Z176" s="88"/>
      <c r="AA176" s="88"/>
      <c r="AB176" s="88"/>
      <c r="AC176" s="88"/>
      <c r="AE176">
        <f t="shared" si="22"/>
        <v>18</v>
      </c>
      <c r="AF176" s="113">
        <f t="shared" si="29"/>
        <v>106.55676827783559</v>
      </c>
      <c r="AG176" s="124">
        <f t="shared" si="15"/>
        <v>0.37590364967481371</v>
      </c>
      <c r="AH176" s="124">
        <f t="shared" si="16"/>
        <v>106.55676827783559</v>
      </c>
      <c r="AI176" s="124">
        <f t="shared" si="23"/>
        <v>3.2727365049186812</v>
      </c>
      <c r="AJ176" s="124">
        <f t="shared" si="24"/>
        <v>0.56565816134396951</v>
      </c>
      <c r="AK176" s="124">
        <f t="shared" si="25"/>
        <v>0.72345223484394983</v>
      </c>
      <c r="AL176" s="124">
        <f t="shared" si="26"/>
        <v>0.6968491659168744</v>
      </c>
      <c r="AM176" s="124">
        <f t="shared" si="27"/>
        <v>0.34807650645198501</v>
      </c>
      <c r="AN176" s="124">
        <f t="shared" si="28"/>
        <v>1.0075785998939457</v>
      </c>
      <c r="AO176" s="3">
        <f t="shared" si="32"/>
        <v>112.16354085131105</v>
      </c>
    </row>
    <row r="177" spans="1:41" ht="14">
      <c r="A177">
        <f t="shared" si="33"/>
        <v>19</v>
      </c>
      <c r="B177" s="21">
        <v>99</v>
      </c>
      <c r="C177" s="123">
        <f t="shared" si="13"/>
        <v>107.59794350495081</v>
      </c>
      <c r="D177" s="125">
        <f>(($C$39*$C$118*$D$14)*('Product half-life and C flows'!B78/100))</f>
        <v>0.36309899139634055</v>
      </c>
      <c r="E177" s="26">
        <f t="shared" si="31"/>
        <v>107.59794350495081</v>
      </c>
      <c r="F177" s="54">
        <f t="shared" si="34"/>
        <v>3.2727365049186812</v>
      </c>
      <c r="G177" s="54">
        <f t="shared" si="34"/>
        <v>0.56565816134396951</v>
      </c>
      <c r="H177" s="125">
        <f>(H$118)*('Product half-life and C flows'!L78/100)</f>
        <v>0.71239408869422216</v>
      </c>
      <c r="I177" s="125">
        <f>(($C$39*$C$118*0.28)*H$41)*('Product half-life and C flows'!N78/100)</f>
        <v>0.70422863544745928</v>
      </c>
      <c r="J177" s="125">
        <f>(($C$39*$C$118*0.28)*H$41)*(+'Product half-life and C flows'!P78/100)</f>
        <v>0.35176255516856092</v>
      </c>
      <c r="K177" s="54">
        <f t="shared" si="19"/>
        <v>1.0075785998939457</v>
      </c>
      <c r="L177" s="26"/>
      <c r="M177" s="83"/>
      <c r="N177" s="83"/>
      <c r="O177" s="83"/>
      <c r="P177" s="83"/>
      <c r="Q177" s="83"/>
      <c r="R177" s="83"/>
      <c r="S177" s="83"/>
      <c r="T177" s="83"/>
      <c r="U177" s="3"/>
      <c r="V177" s="88"/>
      <c r="W177" s="88"/>
      <c r="X177" s="88"/>
      <c r="Y177" s="88"/>
      <c r="Z177" s="88"/>
      <c r="AA177" s="88"/>
      <c r="AB177" s="88"/>
      <c r="AC177" s="88"/>
      <c r="AE177">
        <f t="shared" si="22"/>
        <v>19</v>
      </c>
      <c r="AF177" s="113">
        <f t="shared" si="29"/>
        <v>107.59794350495081</v>
      </c>
      <c r="AG177" s="124">
        <f t="shared" si="15"/>
        <v>0.36309899139634055</v>
      </c>
      <c r="AH177" s="124">
        <f t="shared" si="16"/>
        <v>107.59794350495081</v>
      </c>
      <c r="AI177" s="124">
        <f t="shared" si="23"/>
        <v>3.2727365049186812</v>
      </c>
      <c r="AJ177" s="124">
        <f t="shared" si="24"/>
        <v>0.56565816134396951</v>
      </c>
      <c r="AK177" s="124">
        <f t="shared" si="25"/>
        <v>0.71239408869422216</v>
      </c>
      <c r="AL177" s="124">
        <f t="shared" si="26"/>
        <v>0.70422863544745928</v>
      </c>
      <c r="AM177" s="124">
        <f t="shared" si="27"/>
        <v>0.35176255516856092</v>
      </c>
      <c r="AN177" s="124">
        <f t="shared" si="28"/>
        <v>1.0075785998939457</v>
      </c>
      <c r="AO177" s="3">
        <f t="shared" si="32"/>
        <v>113.20472345052372</v>
      </c>
    </row>
    <row r="178" spans="1:41" ht="14">
      <c r="A178">
        <f t="shared" si="33"/>
        <v>20</v>
      </c>
      <c r="B178" s="21">
        <v>100</v>
      </c>
      <c r="C178" s="123">
        <f t="shared" si="13"/>
        <v>108.62506275243267</v>
      </c>
      <c r="D178" s="125">
        <f>(($C$39*$C$118*$D$14)*('Product half-life and C flows'!B79/100))</f>
        <v>0.3507305067856954</v>
      </c>
      <c r="E178" s="26">
        <f t="shared" si="31"/>
        <v>108.62506275243267</v>
      </c>
      <c r="F178" s="54">
        <f t="shared" si="34"/>
        <v>3.2727365049186812</v>
      </c>
      <c r="G178" s="54">
        <f t="shared" si="34"/>
        <v>0.56565816134396951</v>
      </c>
      <c r="H178" s="125">
        <f>(H$118)*('Product half-life and C flows'!L79/100)</f>
        <v>0.70150496904048032</v>
      </c>
      <c r="I178" s="125">
        <f>(($C$39*$C$118*0.28)*H$41)*('Product half-life and C flows'!N79/100)</f>
        <v>0.71149530796305638</v>
      </c>
      <c r="J178" s="125">
        <f>(($C$39*$C$118*0.28)*H$41)*(+'Product half-life and C flows'!P79/100)</f>
        <v>0.3553922617198082</v>
      </c>
      <c r="K178" s="54">
        <f t="shared" si="19"/>
        <v>1.0075785998939457</v>
      </c>
      <c r="L178" s="26"/>
      <c r="M178" s="83"/>
      <c r="N178" s="83"/>
      <c r="O178" s="83"/>
      <c r="P178" s="83"/>
      <c r="Q178" s="83"/>
      <c r="R178" s="83"/>
      <c r="S178" s="83"/>
      <c r="T178" s="83"/>
      <c r="U178" s="3"/>
      <c r="V178" s="88"/>
      <c r="W178" s="88"/>
      <c r="X178" s="88"/>
      <c r="Y178" s="88"/>
      <c r="Z178" s="88"/>
      <c r="AA178" s="88"/>
      <c r="AB178" s="88"/>
      <c r="AC178" s="88"/>
      <c r="AE178">
        <f t="shared" si="22"/>
        <v>20</v>
      </c>
      <c r="AF178" s="113">
        <f t="shared" si="29"/>
        <v>108.62506275243267</v>
      </c>
      <c r="AG178" s="124">
        <f t="shared" si="15"/>
        <v>0.3507305067856954</v>
      </c>
      <c r="AH178" s="124">
        <f t="shared" si="16"/>
        <v>108.62506275243267</v>
      </c>
      <c r="AI178" s="124">
        <f t="shared" si="23"/>
        <v>3.2727365049186812</v>
      </c>
      <c r="AJ178" s="124">
        <f t="shared" si="24"/>
        <v>0.56565816134396951</v>
      </c>
      <c r="AK178" s="124">
        <f t="shared" si="25"/>
        <v>0.70150496904048032</v>
      </c>
      <c r="AL178" s="124">
        <f t="shared" si="26"/>
        <v>0.71149530796305638</v>
      </c>
      <c r="AM178" s="124">
        <f t="shared" si="27"/>
        <v>0.3553922617198082</v>
      </c>
      <c r="AN178" s="124">
        <f t="shared" si="28"/>
        <v>1.0075785998939457</v>
      </c>
      <c r="AO178" s="3">
        <f t="shared" si="32"/>
        <v>114.23184995741869</v>
      </c>
    </row>
    <row r="179" spans="1:41" ht="14">
      <c r="A179">
        <f t="shared" si="33"/>
        <v>21</v>
      </c>
      <c r="B179" s="19">
        <f>B178+1</f>
        <v>101</v>
      </c>
      <c r="C179" s="123">
        <f t="shared" si="13"/>
        <v>109.63816709662152</v>
      </c>
      <c r="D179" s="125">
        <f>(($C$39*$C$118*$D$14)*('Product half-life and C flows'!B80/100))</f>
        <v>0.33878333816652534</v>
      </c>
      <c r="E179" s="26">
        <f t="shared" si="31"/>
        <v>109.63816709662152</v>
      </c>
      <c r="F179" s="54">
        <f t="shared" si="34"/>
        <v>3.2727365049186812</v>
      </c>
      <c r="G179" s="54">
        <f t="shared" si="34"/>
        <v>0.56565816134396951</v>
      </c>
      <c r="H179" s="125">
        <f>(H$118)*('Product half-life and C flows'!L80/100)</f>
        <v>0.69078229227097254</v>
      </c>
      <c r="I179" s="125">
        <f>(($C$39*$C$118*0.28)*H$41)*('Product half-life and C flows'!N80/100)</f>
        <v>0.71865090759390804</v>
      </c>
      <c r="J179" s="125">
        <f>(($C$39*$C$118*0.28)*H$41)*(+'Product half-life and C flows'!P80/100)</f>
        <v>0.3589664873096442</v>
      </c>
      <c r="K179" s="54">
        <f t="shared" si="19"/>
        <v>1.0075785998939457</v>
      </c>
      <c r="L179" s="26"/>
      <c r="M179" s="83"/>
      <c r="N179" s="83"/>
      <c r="O179" s="83"/>
      <c r="P179" s="83"/>
      <c r="Q179" s="83"/>
      <c r="R179" s="83"/>
      <c r="S179" s="83"/>
      <c r="T179" s="83"/>
      <c r="U179" s="3"/>
      <c r="V179" s="88"/>
      <c r="W179" s="88"/>
      <c r="X179" s="88"/>
      <c r="Y179" s="88"/>
      <c r="Z179" s="88"/>
      <c r="AA179" s="88"/>
      <c r="AB179" s="88"/>
      <c r="AC179" s="88"/>
      <c r="AE179">
        <f t="shared" si="22"/>
        <v>21</v>
      </c>
      <c r="AF179" s="113">
        <f t="shared" si="29"/>
        <v>109.63816709662152</v>
      </c>
      <c r="AG179" s="124">
        <f t="shared" si="15"/>
        <v>0.33878333816652534</v>
      </c>
      <c r="AH179" s="124">
        <f t="shared" si="16"/>
        <v>109.63816709662152</v>
      </c>
      <c r="AI179" s="124">
        <f t="shared" si="23"/>
        <v>3.2727365049186812</v>
      </c>
      <c r="AJ179" s="124">
        <f t="shared" si="24"/>
        <v>0.56565816134396951</v>
      </c>
      <c r="AK179" s="124">
        <f t="shared" si="25"/>
        <v>0.69078229227097254</v>
      </c>
      <c r="AL179" s="124">
        <f t="shared" si="26"/>
        <v>0.71865090759390804</v>
      </c>
      <c r="AM179" s="124">
        <f t="shared" si="27"/>
        <v>0.3589664873096442</v>
      </c>
      <c r="AN179" s="124">
        <f t="shared" si="28"/>
        <v>1.0075785998939457</v>
      </c>
      <c r="AO179" s="3">
        <f t="shared" si="32"/>
        <v>115.2449614500587</v>
      </c>
    </row>
    <row r="180" spans="1:41" ht="14">
      <c r="A180">
        <f t="shared" si="33"/>
        <v>22</v>
      </c>
      <c r="B180" s="19">
        <f t="shared" si="33"/>
        <v>102</v>
      </c>
      <c r="C180" s="123">
        <f t="shared" si="13"/>
        <v>110.63730493869643</v>
      </c>
      <c r="D180" s="125">
        <f>(($C$39*$C$118*$D$14)*('Product half-life and C flows'!B81/100))</f>
        <v>0.32724313396947796</v>
      </c>
      <c r="E180" s="26">
        <f t="shared" si="31"/>
        <v>110.63730493869643</v>
      </c>
      <c r="F180" s="54">
        <f t="shared" si="34"/>
        <v>3.2727365049186812</v>
      </c>
      <c r="G180" s="54">
        <f t="shared" si="34"/>
        <v>0.56565816134396951</v>
      </c>
      <c r="H180" s="125">
        <f>(H$118)*('Product half-life and C flows'!L81/100)</f>
        <v>0.68022351426509065</v>
      </c>
      <c r="I180" s="125">
        <f>(($C$39*$C$118*0.28)*H$41)*('Product half-life and C flows'!N81/100)</f>
        <v>0.72569713211649967</v>
      </c>
      <c r="J180" s="125">
        <f>(($C$39*$C$118*0.28)*H$41)*(+'Product half-life and C flows'!P81/100)</f>
        <v>0.36248607997827142</v>
      </c>
      <c r="K180" s="54">
        <f t="shared" si="19"/>
        <v>1.0075785998939457</v>
      </c>
      <c r="L180" s="26"/>
      <c r="M180" s="83"/>
      <c r="N180" s="83"/>
      <c r="O180" s="83"/>
      <c r="P180" s="83"/>
      <c r="Q180" s="83"/>
      <c r="R180" s="83"/>
      <c r="S180" s="83"/>
      <c r="T180" s="83"/>
      <c r="U180" s="3"/>
      <c r="V180" s="88"/>
      <c r="W180" s="88"/>
      <c r="X180" s="88"/>
      <c r="Y180" s="88"/>
      <c r="Z180" s="88"/>
      <c r="AA180" s="88"/>
      <c r="AB180" s="88"/>
      <c r="AC180" s="88"/>
      <c r="AE180">
        <f t="shared" si="22"/>
        <v>22</v>
      </c>
      <c r="AF180" s="113">
        <f t="shared" si="29"/>
        <v>110.63730493869643</v>
      </c>
      <c r="AG180" s="124">
        <f t="shared" si="15"/>
        <v>0.32724313396947796</v>
      </c>
      <c r="AH180" s="124">
        <f t="shared" si="16"/>
        <v>110.63730493869643</v>
      </c>
      <c r="AI180" s="124">
        <f t="shared" si="23"/>
        <v>3.2727365049186812</v>
      </c>
      <c r="AJ180" s="124">
        <f t="shared" si="24"/>
        <v>0.56565816134396951</v>
      </c>
      <c r="AK180" s="124">
        <f t="shared" si="25"/>
        <v>0.68022351426509065</v>
      </c>
      <c r="AL180" s="124">
        <f t="shared" si="26"/>
        <v>0.72569713211649967</v>
      </c>
      <c r="AM180" s="124">
        <f t="shared" si="27"/>
        <v>0.36248607997827142</v>
      </c>
      <c r="AN180" s="124">
        <f t="shared" si="28"/>
        <v>1.0075785998939457</v>
      </c>
      <c r="AO180" s="3">
        <f t="shared" si="32"/>
        <v>116.24410633131895</v>
      </c>
    </row>
    <row r="181" spans="1:41" ht="14">
      <c r="A181">
        <f t="shared" ref="A181:B196" si="35">A180+1</f>
        <v>23</v>
      </c>
      <c r="B181" s="19">
        <f t="shared" si="35"/>
        <v>103</v>
      </c>
      <c r="C181" s="123">
        <f t="shared" si="13"/>
        <v>111.62253160834713</v>
      </c>
      <c r="D181" s="125">
        <f>(($C$39*$C$118*$D$14)*('Product half-life and C flows'!B82/100))</f>
        <v>0.31609603149233895</v>
      </c>
      <c r="E181" s="26">
        <f t="shared" si="31"/>
        <v>111.62253160834713</v>
      </c>
      <c r="F181" s="54">
        <f t="shared" si="34"/>
        <v>3.2727365049186812</v>
      </c>
      <c r="G181" s="54">
        <f t="shared" si="34"/>
        <v>0.56565816134396951</v>
      </c>
      <c r="H181" s="125">
        <f>(H$118)*('Product half-life and C flows'!L82/100)</f>
        <v>0.66982612978973932</v>
      </c>
      <c r="I181" s="125">
        <f>(($C$39*$C$118*0.28)*H$41)*('Product half-life and C flows'!N82/100)</f>
        <v>0.73263565335638414</v>
      </c>
      <c r="J181" s="125">
        <f>(($C$39*$C$118*0.28)*H$41)*(+'Product half-life and C flows'!P82/100)</f>
        <v>0.36595187480338848</v>
      </c>
      <c r="K181" s="54">
        <f t="shared" si="19"/>
        <v>1.0075785998939457</v>
      </c>
      <c r="L181" s="26"/>
      <c r="M181" s="83"/>
      <c r="N181" s="83"/>
      <c r="O181" s="83"/>
      <c r="P181" s="83"/>
      <c r="Q181" s="83"/>
      <c r="R181" s="83"/>
      <c r="S181" s="83"/>
      <c r="T181" s="83"/>
      <c r="U181" s="3"/>
      <c r="V181" s="88"/>
      <c r="W181" s="88"/>
      <c r="X181" s="88"/>
      <c r="Y181" s="88"/>
      <c r="Z181" s="88"/>
      <c r="AA181" s="88"/>
      <c r="AB181" s="88"/>
      <c r="AC181" s="88"/>
      <c r="AE181">
        <f t="shared" si="22"/>
        <v>23</v>
      </c>
      <c r="AF181" s="113">
        <f t="shared" si="29"/>
        <v>111.62253160834713</v>
      </c>
      <c r="AG181" s="124">
        <f t="shared" si="15"/>
        <v>0.31609603149233895</v>
      </c>
      <c r="AH181" s="124">
        <f t="shared" si="16"/>
        <v>111.62253160834713</v>
      </c>
      <c r="AI181" s="124">
        <f t="shared" si="23"/>
        <v>3.2727365049186812</v>
      </c>
      <c r="AJ181" s="124">
        <f t="shared" si="24"/>
        <v>0.56565816134396951</v>
      </c>
      <c r="AK181" s="124">
        <f t="shared" si="25"/>
        <v>0.66982612978973932</v>
      </c>
      <c r="AL181" s="124">
        <f t="shared" si="26"/>
        <v>0.73263565335638414</v>
      </c>
      <c r="AM181" s="124">
        <f t="shared" si="27"/>
        <v>0.36595187480338848</v>
      </c>
      <c r="AN181" s="124">
        <f t="shared" si="28"/>
        <v>1.0075785998939457</v>
      </c>
      <c r="AO181" s="3">
        <f t="shared" si="32"/>
        <v>117.2293399325593</v>
      </c>
    </row>
    <row r="182" spans="1:41" ht="14">
      <c r="A182">
        <f t="shared" si="35"/>
        <v>24</v>
      </c>
      <c r="B182" s="19">
        <f t="shared" si="35"/>
        <v>104</v>
      </c>
      <c r="C182" s="123">
        <f t="shared" si="13"/>
        <v>112.59390898119706</v>
      </c>
      <c r="D182" s="125">
        <f>(($C$39*$C$118*$D$14)*('Product half-life and C flows'!B83/100))</f>
        <v>0.30532864024742223</v>
      </c>
      <c r="E182" s="26">
        <f t="shared" si="31"/>
        <v>112.59390898119706</v>
      </c>
      <c r="F182" s="54">
        <f t="shared" si="34"/>
        <v>3.2727365049186812</v>
      </c>
      <c r="G182" s="54">
        <f t="shared" si="34"/>
        <v>0.56565816134396951</v>
      </c>
      <c r="H182" s="125">
        <f>(H$118)*('Product half-life and C flows'!L83/100)</f>
        <v>0.6595876719049294</v>
      </c>
      <c r="I182" s="125">
        <f>(($C$39*$C$118*0.28)*H$41)*('Product half-life and C flows'!N83/100)</f>
        <v>0.73946811758484732</v>
      </c>
      <c r="J182" s="125">
        <f>(($C$39*$C$118*0.28)*H$41)*(+'Product half-life and C flows'!P83/100)</f>
        <v>0.36936469409832517</v>
      </c>
      <c r="K182" s="54">
        <f t="shared" si="19"/>
        <v>1.0075785998939457</v>
      </c>
      <c r="L182" s="26"/>
      <c r="M182" s="83"/>
      <c r="N182" s="83"/>
      <c r="O182" s="83"/>
      <c r="P182" s="83"/>
      <c r="Q182" s="83"/>
      <c r="R182" s="83"/>
      <c r="S182" s="83"/>
      <c r="T182" s="83"/>
      <c r="U182" s="3"/>
      <c r="V182" s="88"/>
      <c r="W182" s="88"/>
      <c r="X182" s="88"/>
      <c r="Y182" s="88"/>
      <c r="Z182" s="88"/>
      <c r="AA182" s="88"/>
      <c r="AB182" s="88"/>
      <c r="AC182" s="88"/>
      <c r="AE182">
        <f t="shared" si="22"/>
        <v>24</v>
      </c>
      <c r="AF182" s="113">
        <f t="shared" si="29"/>
        <v>112.59390898119706</v>
      </c>
      <c r="AG182" s="124">
        <f t="shared" si="15"/>
        <v>0.30532864024742223</v>
      </c>
      <c r="AH182" s="124">
        <f t="shared" si="16"/>
        <v>112.59390898119706</v>
      </c>
      <c r="AI182" s="124">
        <f t="shared" ref="AI182:AI213" si="36">F182+O182+X182</f>
        <v>3.2727365049186812</v>
      </c>
      <c r="AJ182" s="124">
        <f t="shared" ref="AJ182:AJ213" si="37">G182+P182+Y182</f>
        <v>0.56565816134396951</v>
      </c>
      <c r="AK182" s="124">
        <f t="shared" ref="AK182:AK213" si="38">H182+Q182+Z182</f>
        <v>0.6595876719049294</v>
      </c>
      <c r="AL182" s="124">
        <f t="shared" ref="AL182:AL213" si="39">I182+R182+AA182</f>
        <v>0.73946811758484732</v>
      </c>
      <c r="AM182" s="124">
        <f t="shared" ref="AM182:AM213" si="40">J182+S182+AB182</f>
        <v>0.36936469409832517</v>
      </c>
      <c r="AN182" s="124">
        <f t="shared" ref="AN182:AN213" si="41">K182+T182+AC182</f>
        <v>1.0075785998939457</v>
      </c>
      <c r="AO182" s="3">
        <f t="shared" si="32"/>
        <v>118.20072413104782</v>
      </c>
    </row>
    <row r="183" spans="1:41" ht="14">
      <c r="A183">
        <f t="shared" si="35"/>
        <v>25</v>
      </c>
      <c r="B183" s="19">
        <f t="shared" si="35"/>
        <v>105</v>
      </c>
      <c r="C183" s="123">
        <f t="shared" ref="C183:C246" si="42">B$8*(1-EXP(-B$9*$B183))^3</f>
        <v>113.55150510970481</v>
      </c>
      <c r="D183" s="125">
        <f>(($C$39*$C$118*$D$14)*('Product half-life and C flows'!B84/100))</f>
        <v>0.29492802587620992</v>
      </c>
      <c r="E183" s="26">
        <f t="shared" si="31"/>
        <v>113.55150510970481</v>
      </c>
      <c r="F183" s="54">
        <f t="shared" si="34"/>
        <v>3.2727365049186812</v>
      </c>
      <c r="G183" s="54">
        <f t="shared" si="34"/>
        <v>0.56565816134396951</v>
      </c>
      <c r="H183" s="125">
        <f>(H$118)*('Product half-life and C flows'!L84/100)</f>
        <v>0.64950571137845925</v>
      </c>
      <c r="I183" s="125">
        <f>(($C$39*$C$118*0.28)*H$41)*('Product half-life and C flows'!N84/100)</f>
        <v>0.74619614590951167</v>
      </c>
      <c r="J183" s="125">
        <f>(($C$39*$C$118*0.28)*H$41)*(+'Product half-life and C flows'!P84/100)</f>
        <v>0.37272534760714859</v>
      </c>
      <c r="K183" s="54">
        <f t="shared" si="19"/>
        <v>1.0075785998939457</v>
      </c>
      <c r="L183" s="26"/>
      <c r="M183" s="83"/>
      <c r="N183" s="83"/>
      <c r="O183" s="83"/>
      <c r="P183" s="83"/>
      <c r="Q183" s="83"/>
      <c r="R183" s="83"/>
      <c r="S183" s="83"/>
      <c r="T183" s="83"/>
      <c r="U183" s="3"/>
      <c r="V183" s="88"/>
      <c r="W183" s="88"/>
      <c r="X183" s="88"/>
      <c r="Y183" s="88"/>
      <c r="Z183" s="88"/>
      <c r="AA183" s="88"/>
      <c r="AB183" s="88"/>
      <c r="AC183" s="88"/>
      <c r="AE183">
        <f t="shared" si="22"/>
        <v>25</v>
      </c>
      <c r="AF183" s="113">
        <f t="shared" ref="AF183:AF214" si="43">E183</f>
        <v>113.55150510970481</v>
      </c>
      <c r="AG183" s="124">
        <f t="shared" ref="AG183:AG246" si="44">D183+M183+V183</f>
        <v>0.29492802587620992</v>
      </c>
      <c r="AH183" s="124">
        <f t="shared" ref="AH183:AH246" si="45">E183</f>
        <v>113.55150510970481</v>
      </c>
      <c r="AI183" s="124">
        <f t="shared" si="36"/>
        <v>3.2727365049186812</v>
      </c>
      <c r="AJ183" s="124">
        <f t="shared" si="37"/>
        <v>0.56565816134396951</v>
      </c>
      <c r="AK183" s="124">
        <f t="shared" si="38"/>
        <v>0.64950571137845925</v>
      </c>
      <c r="AL183" s="124">
        <f t="shared" si="39"/>
        <v>0.74619614590951167</v>
      </c>
      <c r="AM183" s="124">
        <f t="shared" si="40"/>
        <v>0.37272534760714859</v>
      </c>
      <c r="AN183" s="124">
        <f t="shared" si="41"/>
        <v>1.0075785998939457</v>
      </c>
      <c r="AO183" s="3">
        <f t="shared" si="32"/>
        <v>119.15832698086257</v>
      </c>
    </row>
    <row r="184" spans="1:41" ht="14">
      <c r="A184">
        <f t="shared" si="35"/>
        <v>26</v>
      </c>
      <c r="B184" s="19">
        <f t="shared" si="35"/>
        <v>106</v>
      </c>
      <c r="C184" s="123">
        <f t="shared" si="42"/>
        <v>114.4953938672609</v>
      </c>
      <c r="D184" s="125">
        <f>(($C$39*$C$118*$D$14)*('Product half-life and C flows'!B85/100))</f>
        <v>0.28488169461191809</v>
      </c>
      <c r="E184" s="26">
        <f t="shared" si="31"/>
        <v>114.4953938672609</v>
      </c>
      <c r="F184" s="54">
        <f t="shared" ref="F184:G199" si="46">F183</f>
        <v>3.2727365049186812</v>
      </c>
      <c r="G184" s="54">
        <f t="shared" si="46"/>
        <v>0.56565816134396951</v>
      </c>
      <c r="H184" s="125">
        <f>(H$118)*('Product half-life and C flows'!L85/100)</f>
        <v>0.63957785610954143</v>
      </c>
      <c r="I184" s="125">
        <f>(($C$39*$C$118*0.28)*H$41)*('Product half-life and C flows'!N85/100)</f>
        <v>0.7528213346589695</v>
      </c>
      <c r="J184" s="125">
        <f>(($C$39*$C$118*0.28)*H$41)*(+'Product half-life and C flows'!P85/100)</f>
        <v>0.37603463269678783</v>
      </c>
      <c r="K184" s="54">
        <f t="shared" ref="K184:K247" si="47">K183</f>
        <v>1.0075785998939457</v>
      </c>
      <c r="L184" s="26"/>
      <c r="M184" s="83"/>
      <c r="N184" s="83"/>
      <c r="O184" s="83"/>
      <c r="P184" s="83"/>
      <c r="Q184" s="83"/>
      <c r="R184" s="83"/>
      <c r="S184" s="83"/>
      <c r="T184" s="83"/>
      <c r="U184" s="3"/>
      <c r="V184" s="88"/>
      <c r="W184" s="88"/>
      <c r="X184" s="88"/>
      <c r="Y184" s="88"/>
      <c r="Z184" s="88"/>
      <c r="AA184" s="88"/>
      <c r="AB184" s="88"/>
      <c r="AC184" s="88"/>
      <c r="AE184">
        <f t="shared" si="22"/>
        <v>26</v>
      </c>
      <c r="AF184" s="113">
        <f t="shared" si="43"/>
        <v>114.4953938672609</v>
      </c>
      <c r="AG184" s="124">
        <f t="shared" si="44"/>
        <v>0.28488169461191809</v>
      </c>
      <c r="AH184" s="124">
        <f t="shared" si="45"/>
        <v>114.4953938672609</v>
      </c>
      <c r="AI184" s="124">
        <f t="shared" si="36"/>
        <v>3.2727365049186812</v>
      </c>
      <c r="AJ184" s="124">
        <f t="shared" si="37"/>
        <v>0.56565816134396951</v>
      </c>
      <c r="AK184" s="124">
        <f t="shared" si="38"/>
        <v>0.63957785610954143</v>
      </c>
      <c r="AL184" s="124">
        <f t="shared" si="39"/>
        <v>0.7528213346589695</v>
      </c>
      <c r="AM184" s="124">
        <f t="shared" si="40"/>
        <v>0.37603463269678783</v>
      </c>
      <c r="AN184" s="124">
        <f t="shared" si="41"/>
        <v>1.0075785998939457</v>
      </c>
      <c r="AO184" s="3">
        <f t="shared" si="32"/>
        <v>120.10222235698886</v>
      </c>
    </row>
    <row r="185" spans="1:41" ht="14">
      <c r="A185">
        <f t="shared" si="35"/>
        <v>27</v>
      </c>
      <c r="B185" s="19">
        <f t="shared" si="35"/>
        <v>107</v>
      </c>
      <c r="C185" s="123">
        <f t="shared" si="42"/>
        <v>115.42565460519332</v>
      </c>
      <c r="D185" s="125">
        <f>(($C$39*$C$118*$D$14)*('Product half-life and C flows'!B86/100))</f>
        <v>0.27517757827132511</v>
      </c>
      <c r="E185" s="26">
        <f t="shared" si="31"/>
        <v>115.42565460519332</v>
      </c>
      <c r="F185" s="54">
        <f t="shared" si="46"/>
        <v>3.2727365049186812</v>
      </c>
      <c r="G185" s="54">
        <f t="shared" si="46"/>
        <v>0.56565816134396951</v>
      </c>
      <c r="H185" s="125">
        <f>(H$118)*('Product half-life and C flows'!L86/100)</f>
        <v>0.62980175056124055</v>
      </c>
      <c r="I185" s="125">
        <f>(($C$39*$C$118*0.28)*H$41)*('Product half-life and C flows'!N86/100)</f>
        <v>0.75934525576153566</v>
      </c>
      <c r="J185" s="125">
        <f>(($C$39*$C$118*0.28)*H$41)*(+'Product half-life and C flows'!P86/100)</f>
        <v>0.37929333454622149</v>
      </c>
      <c r="K185" s="54">
        <f t="shared" si="47"/>
        <v>1.0075785998939457</v>
      </c>
      <c r="L185" s="26"/>
      <c r="M185" s="83"/>
      <c r="N185" s="83"/>
      <c r="O185" s="83"/>
      <c r="P185" s="83"/>
      <c r="Q185" s="83"/>
      <c r="R185" s="83"/>
      <c r="S185" s="83"/>
      <c r="T185" s="83"/>
      <c r="U185" s="3"/>
      <c r="V185" s="88"/>
      <c r="W185" s="88"/>
      <c r="X185" s="88"/>
      <c r="Y185" s="88"/>
      <c r="Z185" s="88"/>
      <c r="AA185" s="88"/>
      <c r="AB185" s="88"/>
      <c r="AC185" s="88"/>
      <c r="AE185">
        <f t="shared" si="22"/>
        <v>27</v>
      </c>
      <c r="AF185" s="113">
        <f t="shared" si="43"/>
        <v>115.42565460519332</v>
      </c>
      <c r="AG185" s="124">
        <f t="shared" si="44"/>
        <v>0.27517757827132511</v>
      </c>
      <c r="AH185" s="124">
        <f t="shared" si="45"/>
        <v>115.42565460519332</v>
      </c>
      <c r="AI185" s="124">
        <f t="shared" si="36"/>
        <v>3.2727365049186812</v>
      </c>
      <c r="AJ185" s="124">
        <f t="shared" si="37"/>
        <v>0.56565816134396951</v>
      </c>
      <c r="AK185" s="124">
        <f t="shared" si="38"/>
        <v>0.62980175056124055</v>
      </c>
      <c r="AL185" s="124">
        <f t="shared" si="39"/>
        <v>0.75934525576153566</v>
      </c>
      <c r="AM185" s="124">
        <f t="shared" si="40"/>
        <v>0.37929333454622149</v>
      </c>
      <c r="AN185" s="124">
        <f t="shared" si="41"/>
        <v>1.0075785998939457</v>
      </c>
      <c r="AO185" s="3">
        <f t="shared" si="32"/>
        <v>121.03248961232497</v>
      </c>
    </row>
    <row r="186" spans="1:41" ht="14">
      <c r="A186">
        <f t="shared" si="35"/>
        <v>28</v>
      </c>
      <c r="B186" s="19">
        <f t="shared" si="35"/>
        <v>108</v>
      </c>
      <c r="C186" s="123">
        <f t="shared" si="42"/>
        <v>116.34237182238667</v>
      </c>
      <c r="D186" s="125">
        <f>(($C$39*$C$118*$D$14)*('Product half-life and C flows'!B87/100))</f>
        <v>0.26580401975783308</v>
      </c>
      <c r="E186" s="26">
        <f t="shared" si="31"/>
        <v>116.34237182238667</v>
      </c>
      <c r="F186" s="54">
        <f t="shared" si="46"/>
        <v>3.2727365049186812</v>
      </c>
      <c r="G186" s="54">
        <f t="shared" si="46"/>
        <v>0.56565816134396951</v>
      </c>
      <c r="H186" s="125">
        <f>(H$118)*('Product half-life and C flows'!L87/100)</f>
        <v>0.62017507520158432</v>
      </c>
      <c r="I186" s="125">
        <f>(($C$39*$C$118*0.28)*H$41)*('Product half-life and C flows'!N87/100)</f>
        <v>0.76576945711821298</v>
      </c>
      <c r="J186" s="125">
        <f>(($C$39*$C$118*0.28)*H$41)*(+'Product half-life and C flows'!P87/100)</f>
        <v>0.38250222633277359</v>
      </c>
      <c r="K186" s="54">
        <f t="shared" si="47"/>
        <v>1.0075785998939457</v>
      </c>
      <c r="L186" s="26"/>
      <c r="M186" s="83"/>
      <c r="N186" s="83"/>
      <c r="O186" s="83"/>
      <c r="P186" s="83"/>
      <c r="Q186" s="83"/>
      <c r="R186" s="83"/>
      <c r="S186" s="83"/>
      <c r="T186" s="83"/>
      <c r="U186" s="3"/>
      <c r="V186" s="88"/>
      <c r="W186" s="88"/>
      <c r="X186" s="88"/>
      <c r="Y186" s="88"/>
      <c r="Z186" s="88"/>
      <c r="AA186" s="88"/>
      <c r="AB186" s="88"/>
      <c r="AC186" s="88"/>
      <c r="AE186">
        <f t="shared" si="22"/>
        <v>28</v>
      </c>
      <c r="AF186" s="113">
        <f t="shared" si="43"/>
        <v>116.34237182238667</v>
      </c>
      <c r="AG186" s="124">
        <f t="shared" si="44"/>
        <v>0.26580401975783308</v>
      </c>
      <c r="AH186" s="124">
        <f t="shared" si="45"/>
        <v>116.34237182238667</v>
      </c>
      <c r="AI186" s="124">
        <f t="shared" si="36"/>
        <v>3.2727365049186812</v>
      </c>
      <c r="AJ186" s="124">
        <f t="shared" si="37"/>
        <v>0.56565816134396951</v>
      </c>
      <c r="AK186" s="124">
        <f t="shared" si="38"/>
        <v>0.62017507520158432</v>
      </c>
      <c r="AL186" s="124">
        <f t="shared" si="39"/>
        <v>0.76576945711821298</v>
      </c>
      <c r="AM186" s="124">
        <f t="shared" si="40"/>
        <v>0.38250222633277359</v>
      </c>
      <c r="AN186" s="124">
        <f t="shared" si="41"/>
        <v>1.0075785998939457</v>
      </c>
      <c r="AO186" s="3">
        <f t="shared" si="32"/>
        <v>121.9492132473019</v>
      </c>
    </row>
    <row r="187" spans="1:41" ht="14">
      <c r="A187">
        <f t="shared" si="35"/>
        <v>29</v>
      </c>
      <c r="B187" s="19">
        <f t="shared" si="35"/>
        <v>109</v>
      </c>
      <c r="C187" s="123">
        <f t="shared" si="42"/>
        <v>117.24563484721969</v>
      </c>
      <c r="D187" s="125">
        <f>(($C$39*$C$118*$D$14)*('Product half-life and C flows'!B88/100))</f>
        <v>0.25674975905834846</v>
      </c>
      <c r="E187" s="26">
        <f t="shared" si="31"/>
        <v>117.24563484721969</v>
      </c>
      <c r="F187" s="54">
        <f t="shared" si="46"/>
        <v>3.2727365049186812</v>
      </c>
      <c r="G187" s="54">
        <f t="shared" si="46"/>
        <v>0.56565816134396951</v>
      </c>
      <c r="H187" s="125">
        <f>(H$118)*('Product half-life and C flows'!L88/100)</f>
        <v>0.61069554595322006</v>
      </c>
      <c r="I187" s="125">
        <f>(($C$39*$C$118*0.28)*H$41)*('Product half-life and C flows'!N88/100)</f>
        <v>0.77209546296995457</v>
      </c>
      <c r="J187" s="125">
        <f>(($C$39*$C$118*0.28)*H$41)*(+'Product half-life and C flows'!P88/100)</f>
        <v>0.38566206941556164</v>
      </c>
      <c r="K187" s="54">
        <f t="shared" si="47"/>
        <v>1.0075785998939457</v>
      </c>
      <c r="L187" s="26"/>
      <c r="M187" s="83"/>
      <c r="N187" s="83"/>
      <c r="O187" s="83"/>
      <c r="P187" s="83"/>
      <c r="Q187" s="83"/>
      <c r="R187" s="83"/>
      <c r="S187" s="83"/>
      <c r="T187" s="83"/>
      <c r="U187" s="3"/>
      <c r="V187" s="88"/>
      <c r="W187" s="88"/>
      <c r="X187" s="88"/>
      <c r="Y187" s="88"/>
      <c r="Z187" s="88"/>
      <c r="AA187" s="88"/>
      <c r="AB187" s="88"/>
      <c r="AC187" s="88"/>
      <c r="AE187">
        <f t="shared" si="22"/>
        <v>29</v>
      </c>
      <c r="AF187" s="113">
        <f t="shared" si="43"/>
        <v>117.24563484721969</v>
      </c>
      <c r="AG187" s="124">
        <f t="shared" si="44"/>
        <v>0.25674975905834846</v>
      </c>
      <c r="AH187" s="124">
        <f t="shared" si="45"/>
        <v>117.24563484721969</v>
      </c>
      <c r="AI187" s="124">
        <f t="shared" si="36"/>
        <v>3.2727365049186812</v>
      </c>
      <c r="AJ187" s="124">
        <f t="shared" si="37"/>
        <v>0.56565816134396951</v>
      </c>
      <c r="AK187" s="124">
        <f t="shared" si="38"/>
        <v>0.61069554595322006</v>
      </c>
      <c r="AL187" s="124">
        <f t="shared" si="39"/>
        <v>0.77209546296995457</v>
      </c>
      <c r="AM187" s="124">
        <f t="shared" si="40"/>
        <v>0.38566206941556164</v>
      </c>
      <c r="AN187" s="124">
        <f t="shared" si="41"/>
        <v>1.0075785998939457</v>
      </c>
      <c r="AO187" s="3">
        <f t="shared" si="32"/>
        <v>122.85248259182109</v>
      </c>
    </row>
    <row r="188" spans="1:41" ht="14">
      <c r="A188">
        <f t="shared" si="35"/>
        <v>30</v>
      </c>
      <c r="B188" s="19">
        <f t="shared" si="35"/>
        <v>110</v>
      </c>
      <c r="C188" s="123">
        <f t="shared" si="42"/>
        <v>118.1355375315197</v>
      </c>
      <c r="D188" s="125">
        <f>(($C$39*$C$118*$D$14)*('Product half-life and C flows'!B89/100))</f>
        <v>0.24800391971715965</v>
      </c>
      <c r="E188" s="26">
        <f t="shared" si="31"/>
        <v>118.1355375315197</v>
      </c>
      <c r="F188" s="54">
        <f t="shared" si="46"/>
        <v>3.2727365049186812</v>
      </c>
      <c r="G188" s="54">
        <f t="shared" si="46"/>
        <v>0.56565816134396951</v>
      </c>
      <c r="H188" s="125">
        <f>(H$118)*('Product half-life and C flows'!L89/100)</f>
        <v>0.60136091365148281</v>
      </c>
      <c r="I188" s="125">
        <f>(($C$39*$C$118*0.28)*H$41)*('Product half-life and C flows'!N89/100)</f>
        <v>0.7783247742593139</v>
      </c>
      <c r="J188" s="125">
        <f>(($C$39*$C$118*0.28)*H$41)*(+'Product half-life and C flows'!P89/100)</f>
        <v>0.38877361351614065</v>
      </c>
      <c r="K188" s="54">
        <f t="shared" si="47"/>
        <v>1.0075785998939457</v>
      </c>
      <c r="L188" s="26"/>
      <c r="M188" s="83"/>
      <c r="N188" s="83"/>
      <c r="O188" s="83"/>
      <c r="P188" s="83"/>
      <c r="Q188" s="83"/>
      <c r="R188" s="83"/>
      <c r="S188" s="83"/>
      <c r="T188" s="83"/>
      <c r="U188" s="3"/>
      <c r="V188" s="88"/>
      <c r="W188" s="88"/>
      <c r="X188" s="88"/>
      <c r="Y188" s="88"/>
      <c r="Z188" s="88"/>
      <c r="AA188" s="88"/>
      <c r="AB188" s="88"/>
      <c r="AC188" s="88"/>
      <c r="AE188">
        <f t="shared" si="22"/>
        <v>30</v>
      </c>
      <c r="AF188" s="113">
        <f t="shared" si="43"/>
        <v>118.1355375315197</v>
      </c>
      <c r="AG188" s="124">
        <f t="shared" si="44"/>
        <v>0.24800391971715965</v>
      </c>
      <c r="AH188" s="124">
        <f t="shared" si="45"/>
        <v>118.1355375315197</v>
      </c>
      <c r="AI188" s="124">
        <f t="shared" si="36"/>
        <v>3.2727365049186812</v>
      </c>
      <c r="AJ188" s="124">
        <f t="shared" si="37"/>
        <v>0.56565816134396951</v>
      </c>
      <c r="AK188" s="124">
        <f t="shared" si="38"/>
        <v>0.60136091365148281</v>
      </c>
      <c r="AL188" s="124">
        <f t="shared" si="39"/>
        <v>0.7783247742593139</v>
      </c>
      <c r="AM188" s="124">
        <f t="shared" si="40"/>
        <v>0.38877361351614065</v>
      </c>
      <c r="AN188" s="124">
        <f t="shared" si="41"/>
        <v>1.0075785998939457</v>
      </c>
      <c r="AO188" s="3">
        <f t="shared" si="32"/>
        <v>123.74239149920929</v>
      </c>
    </row>
    <row r="189" spans="1:41" ht="14">
      <c r="A189">
        <f t="shared" si="35"/>
        <v>31</v>
      </c>
      <c r="B189" s="19">
        <f t="shared" si="35"/>
        <v>111</v>
      </c>
      <c r="C189" s="123">
        <f t="shared" si="42"/>
        <v>119.01217795623283</v>
      </c>
      <c r="D189" s="125">
        <f>(($C$39*$C$118*$D$14)*('Product half-life and C flows'!B90/100))</f>
        <v>0.23955599577056533</v>
      </c>
      <c r="E189" s="26">
        <f t="shared" si="31"/>
        <v>119.01217795623283</v>
      </c>
      <c r="F189" s="54">
        <f t="shared" si="46"/>
        <v>3.2727365049186812</v>
      </c>
      <c r="G189" s="54">
        <f t="shared" si="46"/>
        <v>0.56565816134396951</v>
      </c>
      <c r="H189" s="125">
        <f>(H$118)*('Product half-life and C flows'!L90/100)</f>
        <v>0.59216896351074388</v>
      </c>
      <c r="I189" s="125">
        <f>(($C$39*$C$118*0.28)*H$41)*('Product half-life and C flows'!N90/100)</f>
        <v>0.78445886898656703</v>
      </c>
      <c r="J189" s="125">
        <f>(($C$39*$C$118*0.28)*H$41)*(+'Product half-life and C flows'!P90/100)</f>
        <v>0.39183759689638703</v>
      </c>
      <c r="K189" s="54">
        <f t="shared" si="47"/>
        <v>1.0075785998939457</v>
      </c>
      <c r="L189" s="26"/>
      <c r="M189" s="83"/>
      <c r="N189" s="83"/>
      <c r="O189" s="83"/>
      <c r="P189" s="83"/>
      <c r="Q189" s="83"/>
      <c r="R189" s="83"/>
      <c r="S189" s="83"/>
      <c r="T189" s="83"/>
      <c r="U189" s="3"/>
      <c r="V189" s="88"/>
      <c r="W189" s="88"/>
      <c r="X189" s="88"/>
      <c r="Y189" s="88"/>
      <c r="Z189" s="88"/>
      <c r="AA189" s="88"/>
      <c r="AB189" s="88"/>
      <c r="AC189" s="88"/>
      <c r="AE189">
        <f t="shared" si="22"/>
        <v>31</v>
      </c>
      <c r="AF189" s="113">
        <f t="shared" si="43"/>
        <v>119.01217795623283</v>
      </c>
      <c r="AG189" s="124">
        <f t="shared" si="44"/>
        <v>0.23955599577056533</v>
      </c>
      <c r="AH189" s="124">
        <f t="shared" si="45"/>
        <v>119.01217795623283</v>
      </c>
      <c r="AI189" s="124">
        <f t="shared" si="36"/>
        <v>3.2727365049186812</v>
      </c>
      <c r="AJ189" s="124">
        <f t="shared" si="37"/>
        <v>0.56565816134396951</v>
      </c>
      <c r="AK189" s="124">
        <f t="shared" si="38"/>
        <v>0.59216896351074388</v>
      </c>
      <c r="AL189" s="124">
        <f t="shared" si="39"/>
        <v>0.78445886898656703</v>
      </c>
      <c r="AM189" s="124">
        <f t="shared" si="40"/>
        <v>0.39183759689638703</v>
      </c>
      <c r="AN189" s="124">
        <f t="shared" si="41"/>
        <v>1.0075785998939457</v>
      </c>
      <c r="AO189" s="3">
        <f t="shared" si="32"/>
        <v>124.61903805188918</v>
      </c>
    </row>
    <row r="190" spans="1:41" ht="14">
      <c r="A190">
        <f t="shared" si="35"/>
        <v>32</v>
      </c>
      <c r="B190" s="19">
        <f t="shared" si="35"/>
        <v>112</v>
      </c>
      <c r="C190" s="123">
        <f t="shared" si="42"/>
        <v>119.8756581485074</v>
      </c>
      <c r="D190" s="125">
        <f>(($C$39*$C$118*$D$14)*('Product half-life and C flows'!B91/100))</f>
        <v>0.2313958391265557</v>
      </c>
      <c r="E190" s="26">
        <f t="shared" ref="E190:E221" si="48">B$8*(1-EXP(-B$9*$B190))^3</f>
        <v>119.8756581485074</v>
      </c>
      <c r="F190" s="54">
        <f t="shared" si="46"/>
        <v>3.2727365049186812</v>
      </c>
      <c r="G190" s="54">
        <f t="shared" si="46"/>
        <v>0.56565816134396951</v>
      </c>
      <c r="H190" s="125">
        <f>(H$118)*('Product half-life and C flows'!L91/100)</f>
        <v>0.58311751459892036</v>
      </c>
      <c r="I190" s="125">
        <f>(($C$39*$C$118*0.28)*H$41)*('Product half-life and C flows'!N91/100)</f>
        <v>0.79049920256039063</v>
      </c>
      <c r="J190" s="125">
        <f>(($C$39*$C$118*0.28)*H$41)*(+'Product half-life and C flows'!P91/100)</f>
        <v>0.39485474653366154</v>
      </c>
      <c r="K190" s="54">
        <f t="shared" si="47"/>
        <v>1.0075785998939457</v>
      </c>
      <c r="L190" s="26"/>
      <c r="M190" s="83"/>
      <c r="N190" s="83"/>
      <c r="O190" s="83"/>
      <c r="P190" s="83"/>
      <c r="Q190" s="83"/>
      <c r="R190" s="83"/>
      <c r="S190" s="83"/>
      <c r="T190" s="83"/>
      <c r="U190" s="3"/>
      <c r="V190" s="88"/>
      <c r="W190" s="88"/>
      <c r="X190" s="88"/>
      <c r="Y190" s="88"/>
      <c r="Z190" s="88"/>
      <c r="AA190" s="88"/>
      <c r="AB190" s="88"/>
      <c r="AC190" s="88"/>
      <c r="AE190">
        <f t="shared" si="22"/>
        <v>32</v>
      </c>
      <c r="AF190" s="113">
        <f t="shared" si="43"/>
        <v>119.8756581485074</v>
      </c>
      <c r="AG190" s="124">
        <f t="shared" si="44"/>
        <v>0.2313958391265557</v>
      </c>
      <c r="AH190" s="124">
        <f t="shared" si="45"/>
        <v>119.8756581485074</v>
      </c>
      <c r="AI190" s="124">
        <f t="shared" si="36"/>
        <v>3.2727365049186812</v>
      </c>
      <c r="AJ190" s="124">
        <f t="shared" si="37"/>
        <v>0.56565816134396951</v>
      </c>
      <c r="AK190" s="124">
        <f t="shared" si="38"/>
        <v>0.58311751459892036</v>
      </c>
      <c r="AL190" s="124">
        <f t="shared" si="39"/>
        <v>0.79049920256039063</v>
      </c>
      <c r="AM190" s="124">
        <f t="shared" si="40"/>
        <v>0.39485474653366154</v>
      </c>
      <c r="AN190" s="124">
        <f t="shared" si="41"/>
        <v>1.0075785998939457</v>
      </c>
      <c r="AO190" s="3">
        <f t="shared" si="32"/>
        <v>125.48252427846305</v>
      </c>
    </row>
    <row r="191" spans="1:41" ht="14">
      <c r="A191">
        <f t="shared" si="35"/>
        <v>33</v>
      </c>
      <c r="B191" s="19">
        <f t="shared" si="35"/>
        <v>113</v>
      </c>
      <c r="C191" s="123">
        <f t="shared" si="42"/>
        <v>120.72608380988746</v>
      </c>
      <c r="D191" s="125">
        <f>(($C$39*$C$118*$D$14)*('Product half-life and C flows'!B92/100))</f>
        <v>0.22351364737438933</v>
      </c>
      <c r="E191" s="26">
        <f t="shared" si="48"/>
        <v>120.72608380988746</v>
      </c>
      <c r="F191" s="54">
        <f t="shared" si="46"/>
        <v>3.2727365049186812</v>
      </c>
      <c r="G191" s="54">
        <f t="shared" si="46"/>
        <v>0.56565816134396951</v>
      </c>
      <c r="H191" s="125">
        <f>(H$118)*('Product half-life and C flows'!L92/100)</f>
        <v>0.57420441932001542</v>
      </c>
      <c r="I191" s="125">
        <f>(($C$39*$C$118*0.28)*H$41)*('Product half-life and C flows'!N92/100)</f>
        <v>0.79644720814317982</v>
      </c>
      <c r="J191" s="125">
        <f>(($C$39*$C$118*0.28)*H$41)*(+'Product half-life and C flows'!P92/100)</f>
        <v>0.39782577829329657</v>
      </c>
      <c r="K191" s="54">
        <f t="shared" si="47"/>
        <v>1.0075785998939457</v>
      </c>
      <c r="L191" s="26"/>
      <c r="M191" s="83"/>
      <c r="N191" s="83"/>
      <c r="O191" s="83"/>
      <c r="P191" s="83"/>
      <c r="Q191" s="83"/>
      <c r="R191" s="83"/>
      <c r="S191" s="83"/>
      <c r="T191" s="83"/>
      <c r="U191" s="3"/>
      <c r="V191" s="88"/>
      <c r="W191" s="88"/>
      <c r="X191" s="88"/>
      <c r="Y191" s="88"/>
      <c r="Z191" s="88"/>
      <c r="AA191" s="88"/>
      <c r="AB191" s="88"/>
      <c r="AC191" s="88"/>
      <c r="AE191">
        <f t="shared" si="22"/>
        <v>33</v>
      </c>
      <c r="AF191" s="113">
        <f t="shared" si="43"/>
        <v>120.72608380988746</v>
      </c>
      <c r="AG191" s="124">
        <f t="shared" si="44"/>
        <v>0.22351364737438933</v>
      </c>
      <c r="AH191" s="124">
        <f t="shared" si="45"/>
        <v>120.72608380988746</v>
      </c>
      <c r="AI191" s="124">
        <f t="shared" si="36"/>
        <v>3.2727365049186812</v>
      </c>
      <c r="AJ191" s="124">
        <f t="shared" si="37"/>
        <v>0.56565816134396951</v>
      </c>
      <c r="AK191" s="124">
        <f t="shared" si="38"/>
        <v>0.57420441932001542</v>
      </c>
      <c r="AL191" s="124">
        <f t="shared" si="39"/>
        <v>0.79644720814317982</v>
      </c>
      <c r="AM191" s="124">
        <f t="shared" si="40"/>
        <v>0.39782577829329657</v>
      </c>
      <c r="AN191" s="124">
        <f t="shared" si="41"/>
        <v>1.0075785998939457</v>
      </c>
      <c r="AO191" s="3">
        <f t="shared" si="32"/>
        <v>126.3329558819066</v>
      </c>
    </row>
    <row r="192" spans="1:41" ht="14">
      <c r="A192">
        <f t="shared" si="35"/>
        <v>34</v>
      </c>
      <c r="B192" s="19">
        <f t="shared" si="35"/>
        <v>114</v>
      </c>
      <c r="C192" s="123">
        <f t="shared" si="42"/>
        <v>121.56356405531533</v>
      </c>
      <c r="D192" s="125">
        <f>(($C$39*$C$118*$D$14)*('Product half-life and C flows'!B93/100))</f>
        <v>0.21589995200942011</v>
      </c>
      <c r="E192" s="26">
        <f t="shared" si="48"/>
        <v>121.56356405531533</v>
      </c>
      <c r="F192" s="54">
        <f t="shared" si="46"/>
        <v>3.2727365049186812</v>
      </c>
      <c r="G192" s="54">
        <f t="shared" si="46"/>
        <v>0.56565816134396951</v>
      </c>
      <c r="H192" s="125">
        <f>(H$118)*('Product half-life and C flows'!L93/100)</f>
        <v>0.56542756290456764</v>
      </c>
      <c r="I192" s="125">
        <f>(($C$39*$C$118*0.28)*H$41)*('Product half-life and C flows'!N93/100)</f>
        <v>0.80230429699108863</v>
      </c>
      <c r="J192" s="125">
        <f>(($C$39*$C$118*0.28)*H$41)*(+'Product half-life and C flows'!P93/100)</f>
        <v>0.40075139709844582</v>
      </c>
      <c r="K192" s="54">
        <f t="shared" si="47"/>
        <v>1.0075785998939457</v>
      </c>
      <c r="L192" s="26"/>
      <c r="M192" s="83"/>
      <c r="N192" s="83"/>
      <c r="O192" s="83"/>
      <c r="P192" s="83"/>
      <c r="Q192" s="83"/>
      <c r="R192" s="83"/>
      <c r="S192" s="83"/>
      <c r="T192" s="83"/>
      <c r="U192" s="3"/>
      <c r="V192" s="88"/>
      <c r="W192" s="88"/>
      <c r="X192" s="88"/>
      <c r="Y192" s="88"/>
      <c r="Z192" s="88"/>
      <c r="AA192" s="88"/>
      <c r="AB192" s="88"/>
      <c r="AC192" s="88"/>
      <c r="AE192">
        <f t="shared" si="22"/>
        <v>34</v>
      </c>
      <c r="AF192" s="113">
        <f t="shared" si="43"/>
        <v>121.56356405531533</v>
      </c>
      <c r="AG192" s="124">
        <f t="shared" si="44"/>
        <v>0.21589995200942011</v>
      </c>
      <c r="AH192" s="124">
        <f t="shared" si="45"/>
        <v>121.56356405531533</v>
      </c>
      <c r="AI192" s="124">
        <f t="shared" si="36"/>
        <v>3.2727365049186812</v>
      </c>
      <c r="AJ192" s="124">
        <f t="shared" si="37"/>
        <v>0.56565816134396951</v>
      </c>
      <c r="AK192" s="124">
        <f t="shared" si="38"/>
        <v>0.56542756290456764</v>
      </c>
      <c r="AL192" s="124">
        <f t="shared" si="39"/>
        <v>0.80230429699108863</v>
      </c>
      <c r="AM192" s="124">
        <f t="shared" si="40"/>
        <v>0.40075139709844582</v>
      </c>
      <c r="AN192" s="124">
        <f t="shared" si="41"/>
        <v>1.0075785998939457</v>
      </c>
      <c r="AO192" s="3">
        <f t="shared" si="32"/>
        <v>127.17044197857209</v>
      </c>
    </row>
    <row r="193" spans="1:41" ht="14">
      <c r="A193">
        <f t="shared" si="35"/>
        <v>35</v>
      </c>
      <c r="B193" s="19">
        <f t="shared" si="35"/>
        <v>115</v>
      </c>
      <c r="C193" s="123">
        <f t="shared" si="42"/>
        <v>122.3882111626412</v>
      </c>
      <c r="D193" s="125">
        <f>(($C$39*$C$118*$D$14)*('Product half-life and C flows'!B94/100))</f>
        <v>0.20854560705902958</v>
      </c>
      <c r="E193" s="26">
        <f t="shared" si="48"/>
        <v>122.3882111626412</v>
      </c>
      <c r="F193" s="54">
        <f t="shared" si="46"/>
        <v>3.2727365049186812</v>
      </c>
      <c r="G193" s="54">
        <f t="shared" si="46"/>
        <v>0.56565816134396951</v>
      </c>
      <c r="H193" s="125">
        <f>(H$118)*('Product half-life and C flows'!L94/100)</f>
        <v>0.55678486290788876</v>
      </c>
      <c r="I193" s="125">
        <f>(($C$39*$C$118*0.28)*H$41)*('Product half-life and C flows'!N94/100)</f>
        <v>0.80807185878887222</v>
      </c>
      <c r="J193" s="125">
        <f>(($C$39*$C$118*0.28)*H$41)*(+'Product half-life and C flows'!P94/100)</f>
        <v>0.40363229709733878</v>
      </c>
      <c r="K193" s="54">
        <f t="shared" si="47"/>
        <v>1.0075785998939457</v>
      </c>
      <c r="L193" s="26"/>
      <c r="M193" s="83"/>
      <c r="N193" s="83"/>
      <c r="O193" s="83"/>
      <c r="P193" s="83"/>
      <c r="Q193" s="83"/>
      <c r="R193" s="83"/>
      <c r="S193" s="83"/>
      <c r="T193" s="83"/>
      <c r="U193" s="3"/>
      <c r="V193" s="88"/>
      <c r="W193" s="88"/>
      <c r="X193" s="88"/>
      <c r="Y193" s="88"/>
      <c r="Z193" s="88"/>
      <c r="AA193" s="88"/>
      <c r="AB193" s="88"/>
      <c r="AC193" s="88"/>
      <c r="AE193">
        <f t="shared" si="22"/>
        <v>35</v>
      </c>
      <c r="AF193" s="113">
        <f t="shared" si="43"/>
        <v>122.3882111626412</v>
      </c>
      <c r="AG193" s="124">
        <f t="shared" si="44"/>
        <v>0.20854560705902958</v>
      </c>
      <c r="AH193" s="124">
        <f t="shared" si="45"/>
        <v>122.3882111626412</v>
      </c>
      <c r="AI193" s="124">
        <f t="shared" si="36"/>
        <v>3.2727365049186812</v>
      </c>
      <c r="AJ193" s="124">
        <f t="shared" si="37"/>
        <v>0.56565816134396951</v>
      </c>
      <c r="AK193" s="124">
        <f t="shared" si="38"/>
        <v>0.55678486290788876</v>
      </c>
      <c r="AL193" s="124">
        <f t="shared" si="39"/>
        <v>0.80807185878887222</v>
      </c>
      <c r="AM193" s="124">
        <f t="shared" si="40"/>
        <v>0.40363229709733878</v>
      </c>
      <c r="AN193" s="124">
        <f t="shared" si="41"/>
        <v>1.0075785998939457</v>
      </c>
      <c r="AO193" s="3">
        <f t="shared" si="32"/>
        <v>127.99509484769797</v>
      </c>
    </row>
    <row r="194" spans="1:41" ht="14">
      <c r="A194">
        <f t="shared" si="35"/>
        <v>36</v>
      </c>
      <c r="B194" s="19">
        <f t="shared" si="35"/>
        <v>116</v>
      </c>
      <c r="C194" s="123">
        <f t="shared" si="42"/>
        <v>123.20014033234281</v>
      </c>
      <c r="D194" s="125">
        <f>(($C$39*$C$118*$D$14)*('Product half-life and C flows'!B95/100))</f>
        <v>0.20144177809600239</v>
      </c>
      <c r="E194" s="26">
        <f t="shared" si="48"/>
        <v>123.20014033234281</v>
      </c>
      <c r="F194" s="54">
        <f t="shared" si="46"/>
        <v>3.2727365049186812</v>
      </c>
      <c r="G194" s="54">
        <f t="shared" si="46"/>
        <v>0.56565816134396951</v>
      </c>
      <c r="H194" s="125">
        <f>(H$118)*('Product half-life and C flows'!L95/100)</f>
        <v>0.54827426871597296</v>
      </c>
      <c r="I194" s="125">
        <f>(($C$39*$C$118*0.28)*H$41)*('Product half-life and C flows'!N95/100)</f>
        <v>0.81375126197961078</v>
      </c>
      <c r="J194" s="125">
        <f>(($C$39*$C$118*0.28)*H$41)*(+'Product half-life and C flows'!P95/100)</f>
        <v>0.40646916182797738</v>
      </c>
      <c r="K194" s="54">
        <f t="shared" si="47"/>
        <v>1.0075785998939457</v>
      </c>
      <c r="L194" s="26"/>
      <c r="M194" s="83"/>
      <c r="N194" s="83"/>
      <c r="O194" s="83"/>
      <c r="P194" s="83"/>
      <c r="Q194" s="83"/>
      <c r="R194" s="83"/>
      <c r="S194" s="83"/>
      <c r="T194" s="83"/>
      <c r="U194" s="3"/>
      <c r="V194" s="88"/>
      <c r="W194" s="88"/>
      <c r="X194" s="88"/>
      <c r="Y194" s="88"/>
      <c r="Z194" s="88"/>
      <c r="AA194" s="88"/>
      <c r="AB194" s="88"/>
      <c r="AC194" s="88"/>
      <c r="AE194">
        <f t="shared" si="22"/>
        <v>36</v>
      </c>
      <c r="AF194" s="113">
        <f t="shared" si="43"/>
        <v>123.20014033234281</v>
      </c>
      <c r="AG194" s="124">
        <f t="shared" si="44"/>
        <v>0.20144177809600239</v>
      </c>
      <c r="AH194" s="124">
        <f t="shared" si="45"/>
        <v>123.20014033234281</v>
      </c>
      <c r="AI194" s="124">
        <f t="shared" si="36"/>
        <v>3.2727365049186812</v>
      </c>
      <c r="AJ194" s="124">
        <f t="shared" si="37"/>
        <v>0.56565816134396951</v>
      </c>
      <c r="AK194" s="124">
        <f t="shared" si="38"/>
        <v>0.54827426871597296</v>
      </c>
      <c r="AL194" s="124">
        <f t="shared" si="39"/>
        <v>0.81375126197961078</v>
      </c>
      <c r="AM194" s="124">
        <f t="shared" si="40"/>
        <v>0.40646916182797738</v>
      </c>
      <c r="AN194" s="124">
        <f t="shared" si="41"/>
        <v>1.0075785998939457</v>
      </c>
      <c r="AO194" s="3">
        <f t="shared" si="32"/>
        <v>128.80702969112903</v>
      </c>
    </row>
    <row r="195" spans="1:41" ht="14">
      <c r="A195">
        <f t="shared" si="35"/>
        <v>37</v>
      </c>
      <c r="B195" s="19">
        <f t="shared" si="35"/>
        <v>117</v>
      </c>
      <c r="C195" s="123">
        <f t="shared" si="42"/>
        <v>123.99946945715783</v>
      </c>
      <c r="D195" s="125">
        <f>(($C$39*$C$118*$D$14)*('Product half-life and C flows'!B96/100))</f>
        <v>0.1945799316261459</v>
      </c>
      <c r="E195" s="26">
        <f t="shared" si="48"/>
        <v>123.99946945715783</v>
      </c>
      <c r="F195" s="54">
        <f t="shared" si="46"/>
        <v>3.2727365049186812</v>
      </c>
      <c r="G195" s="54">
        <f t="shared" si="46"/>
        <v>0.56565816134396951</v>
      </c>
      <c r="H195" s="125">
        <f>(H$118)*('Product half-life and C flows'!L96/100)</f>
        <v>0.53989376105895526</v>
      </c>
      <c r="I195" s="125">
        <f>(($C$39*$C$118*0.28)*H$41)*('Product half-life and C flows'!N96/100)</f>
        <v>0.81934385408939392</v>
      </c>
      <c r="J195" s="125">
        <f>(($C$39*$C$118*0.28)*H$41)*(+'Product half-life and C flows'!P96/100)</f>
        <v>0.40926266438031667</v>
      </c>
      <c r="K195" s="54">
        <f t="shared" si="47"/>
        <v>1.0075785998939457</v>
      </c>
      <c r="L195" s="26"/>
      <c r="M195" s="83"/>
      <c r="N195" s="83"/>
      <c r="O195" s="83"/>
      <c r="P195" s="83"/>
      <c r="Q195" s="83"/>
      <c r="R195" s="83"/>
      <c r="S195" s="83"/>
      <c r="T195" s="83"/>
      <c r="U195" s="3"/>
      <c r="V195" s="88"/>
      <c r="W195" s="88"/>
      <c r="X195" s="88"/>
      <c r="Y195" s="88"/>
      <c r="Z195" s="88"/>
      <c r="AA195" s="88"/>
      <c r="AB195" s="88"/>
      <c r="AC195" s="88"/>
      <c r="AE195">
        <f t="shared" si="22"/>
        <v>37</v>
      </c>
      <c r="AF195" s="113">
        <f t="shared" si="43"/>
        <v>123.99946945715783</v>
      </c>
      <c r="AG195" s="124">
        <f t="shared" si="44"/>
        <v>0.1945799316261459</v>
      </c>
      <c r="AH195" s="124">
        <f t="shared" si="45"/>
        <v>123.99946945715783</v>
      </c>
      <c r="AI195" s="124">
        <f t="shared" si="36"/>
        <v>3.2727365049186812</v>
      </c>
      <c r="AJ195" s="124">
        <f t="shared" si="37"/>
        <v>0.56565816134396951</v>
      </c>
      <c r="AK195" s="124">
        <f t="shared" si="38"/>
        <v>0.53989376105895526</v>
      </c>
      <c r="AL195" s="124">
        <f t="shared" si="39"/>
        <v>0.81934385408939392</v>
      </c>
      <c r="AM195" s="124">
        <f t="shared" si="40"/>
        <v>0.40926266438031667</v>
      </c>
      <c r="AN195" s="124">
        <f t="shared" si="41"/>
        <v>1.0075785998939457</v>
      </c>
      <c r="AO195" s="3">
        <f t="shared" si="32"/>
        <v>129.60636440294917</v>
      </c>
    </row>
    <row r="196" spans="1:41" ht="14">
      <c r="A196">
        <f t="shared" si="35"/>
        <v>38</v>
      </c>
      <c r="B196" s="19">
        <f t="shared" si="35"/>
        <v>118</v>
      </c>
      <c r="C196" s="123">
        <f t="shared" si="42"/>
        <v>124.78631890133678</v>
      </c>
      <c r="D196" s="125">
        <f>(($C$39*$C$118*$D$14)*('Product half-life and C flows'!B97/100))</f>
        <v>0.18795182483740686</v>
      </c>
      <c r="E196" s="26">
        <f t="shared" si="48"/>
        <v>124.78631890133678</v>
      </c>
      <c r="F196" s="54">
        <f t="shared" si="46"/>
        <v>3.2727365049186812</v>
      </c>
      <c r="G196" s="54">
        <f t="shared" si="46"/>
        <v>0.56565816134396951</v>
      </c>
      <c r="H196" s="125">
        <f>(H$118)*('Product half-life and C flows'!L97/100)</f>
        <v>0.53164135153200998</v>
      </c>
      <c r="I196" s="125">
        <f>(($C$39*$C$118*0.28)*H$41)*('Product half-life and C flows'!N97/100)</f>
        <v>0.824850962047042</v>
      </c>
      <c r="J196" s="125">
        <f>(($C$39*$C$118*0.28)*H$41)*(+'Product half-life and C flows'!P97/100)</f>
        <v>0.41201346755596507</v>
      </c>
      <c r="K196" s="54">
        <f t="shared" si="47"/>
        <v>1.0075785998939457</v>
      </c>
      <c r="L196" s="26"/>
      <c r="M196" s="83"/>
      <c r="N196" s="83"/>
      <c r="O196" s="83"/>
      <c r="P196" s="83"/>
      <c r="Q196" s="83"/>
      <c r="R196" s="83"/>
      <c r="S196" s="83"/>
      <c r="T196" s="83"/>
      <c r="U196" s="3"/>
      <c r="V196" s="88"/>
      <c r="W196" s="88"/>
      <c r="X196" s="88"/>
      <c r="Y196" s="88"/>
      <c r="Z196" s="88"/>
      <c r="AA196" s="88"/>
      <c r="AB196" s="88"/>
      <c r="AC196" s="88"/>
      <c r="AE196">
        <f t="shared" si="22"/>
        <v>38</v>
      </c>
      <c r="AF196" s="113">
        <f t="shared" si="43"/>
        <v>124.78631890133678</v>
      </c>
      <c r="AG196" s="124">
        <f t="shared" si="44"/>
        <v>0.18795182483740686</v>
      </c>
      <c r="AH196" s="124">
        <f t="shared" si="45"/>
        <v>124.78631890133678</v>
      </c>
      <c r="AI196" s="124">
        <f t="shared" si="36"/>
        <v>3.2727365049186812</v>
      </c>
      <c r="AJ196" s="124">
        <f t="shared" si="37"/>
        <v>0.56565816134396951</v>
      </c>
      <c r="AK196" s="124">
        <f t="shared" si="38"/>
        <v>0.53164135153200998</v>
      </c>
      <c r="AL196" s="124">
        <f t="shared" si="39"/>
        <v>0.824850962047042</v>
      </c>
      <c r="AM196" s="124">
        <f t="shared" si="40"/>
        <v>0.41201346755596507</v>
      </c>
      <c r="AN196" s="124">
        <f t="shared" si="41"/>
        <v>1.0075785998939457</v>
      </c>
      <c r="AO196" s="3">
        <f t="shared" si="32"/>
        <v>130.39321934873445</v>
      </c>
    </row>
    <row r="197" spans="1:41" ht="14">
      <c r="A197">
        <f t="shared" ref="A197:B212" si="49">A196+1</f>
        <v>39</v>
      </c>
      <c r="B197" s="19">
        <f t="shared" si="49"/>
        <v>119</v>
      </c>
      <c r="C197" s="123">
        <f t="shared" si="42"/>
        <v>125.56081128922662</v>
      </c>
      <c r="D197" s="125">
        <f>(($C$39*$C$118*$D$14)*('Product half-life and C flows'!B98/100))</f>
        <v>0.18154949569817036</v>
      </c>
      <c r="E197" s="26">
        <f t="shared" si="48"/>
        <v>125.56081128922662</v>
      </c>
      <c r="F197" s="54">
        <f t="shared" si="46"/>
        <v>3.2727365049186812</v>
      </c>
      <c r="G197" s="54">
        <f t="shared" si="46"/>
        <v>0.56565816134396951</v>
      </c>
      <c r="H197" s="125">
        <f>(H$118)*('Product half-life and C flows'!L98/100)</f>
        <v>0.52351508212357034</v>
      </c>
      <c r="I197" s="125">
        <f>(($C$39*$C$118*0.28)*H$41)*('Product half-life and C flows'!N98/100)</f>
        <v>0.83027389249894068</v>
      </c>
      <c r="J197" s="125">
        <f>(($C$39*$C$118*0.28)*H$41)*(+'Product half-life and C flows'!P98/100)</f>
        <v>0.41472222402544495</v>
      </c>
      <c r="K197" s="54">
        <f t="shared" si="47"/>
        <v>1.0075785998939457</v>
      </c>
      <c r="L197" s="26"/>
      <c r="M197" s="83"/>
      <c r="N197" s="83"/>
      <c r="O197" s="83"/>
      <c r="P197" s="83"/>
      <c r="Q197" s="83"/>
      <c r="R197" s="83"/>
      <c r="S197" s="83"/>
      <c r="T197" s="83"/>
      <c r="U197" s="3"/>
      <c r="V197" s="88"/>
      <c r="W197" s="88"/>
      <c r="X197" s="88"/>
      <c r="Y197" s="88"/>
      <c r="Z197" s="88"/>
      <c r="AA197" s="88"/>
      <c r="AB197" s="88"/>
      <c r="AC197" s="88"/>
      <c r="AE197">
        <f t="shared" si="22"/>
        <v>39</v>
      </c>
      <c r="AF197" s="113">
        <f t="shared" si="43"/>
        <v>125.56081128922662</v>
      </c>
      <c r="AG197" s="124">
        <f t="shared" si="44"/>
        <v>0.18154949569817036</v>
      </c>
      <c r="AH197" s="124">
        <f t="shared" si="45"/>
        <v>125.56081128922662</v>
      </c>
      <c r="AI197" s="124">
        <f t="shared" si="36"/>
        <v>3.2727365049186812</v>
      </c>
      <c r="AJ197" s="124">
        <f t="shared" si="37"/>
        <v>0.56565816134396951</v>
      </c>
      <c r="AK197" s="124">
        <f t="shared" si="38"/>
        <v>0.52351508212357034</v>
      </c>
      <c r="AL197" s="124">
        <f t="shared" si="39"/>
        <v>0.83027389249894068</v>
      </c>
      <c r="AM197" s="124">
        <f t="shared" si="40"/>
        <v>0.41472222402544495</v>
      </c>
      <c r="AN197" s="124">
        <f t="shared" si="41"/>
        <v>1.0075785998939457</v>
      </c>
      <c r="AO197" s="3">
        <f t="shared" si="32"/>
        <v>131.16771715413722</v>
      </c>
    </row>
    <row r="198" spans="1:41" ht="14">
      <c r="A198">
        <f t="shared" si="49"/>
        <v>40</v>
      </c>
      <c r="B198" s="19">
        <f t="shared" si="49"/>
        <v>120</v>
      </c>
      <c r="C198" s="123">
        <f t="shared" si="42"/>
        <v>126.32307130289904</v>
      </c>
      <c r="D198" s="125">
        <f>(($C$39*$C$118*$D$14)*('Product half-life and C flows'!B99/100))</f>
        <v>0.1753652533928477</v>
      </c>
      <c r="E198" s="26">
        <f t="shared" si="48"/>
        <v>126.32307130289904</v>
      </c>
      <c r="F198" s="54">
        <f t="shared" si="46"/>
        <v>3.2727365049186812</v>
      </c>
      <c r="G198" s="54">
        <f t="shared" si="46"/>
        <v>0.56565816134396951</v>
      </c>
      <c r="H198" s="125">
        <f>(H$118)*('Product half-life and C flows'!L99/100)</f>
        <v>0.51551302475076</v>
      </c>
      <c r="I198" s="125">
        <f>(($C$39*$C$118*0.28)*H$41)*('Product half-life and C flows'!N99/100)</f>
        <v>0.83561393211906287</v>
      </c>
      <c r="J198" s="125">
        <f>(($C$39*$C$118*0.28)*H$41)*(+'Product half-life and C flows'!P99/100)</f>
        <v>0.41738957648304836</v>
      </c>
      <c r="K198" s="54">
        <f t="shared" si="47"/>
        <v>1.0075785998939457</v>
      </c>
      <c r="L198" s="26"/>
      <c r="M198" s="83"/>
      <c r="N198" s="83"/>
      <c r="O198" s="83"/>
      <c r="P198" s="83"/>
      <c r="Q198" s="83"/>
      <c r="R198" s="83"/>
      <c r="S198" s="83"/>
      <c r="T198" s="83"/>
      <c r="U198" s="3"/>
      <c r="V198" s="88"/>
      <c r="W198" s="88"/>
      <c r="X198" s="88"/>
      <c r="Y198" s="88"/>
      <c r="Z198" s="88"/>
      <c r="AA198" s="88"/>
      <c r="AB198" s="88"/>
      <c r="AC198" s="88"/>
      <c r="AE198">
        <f t="shared" si="22"/>
        <v>40</v>
      </c>
      <c r="AF198" s="113">
        <f t="shared" si="43"/>
        <v>126.32307130289904</v>
      </c>
      <c r="AG198" s="124">
        <f t="shared" si="44"/>
        <v>0.1753652533928477</v>
      </c>
      <c r="AH198" s="124">
        <f t="shared" si="45"/>
        <v>126.32307130289904</v>
      </c>
      <c r="AI198" s="124">
        <f t="shared" si="36"/>
        <v>3.2727365049186812</v>
      </c>
      <c r="AJ198" s="124">
        <f t="shared" si="37"/>
        <v>0.56565816134396951</v>
      </c>
      <c r="AK198" s="124">
        <f t="shared" si="38"/>
        <v>0.51551302475076</v>
      </c>
      <c r="AL198" s="124">
        <f t="shared" si="39"/>
        <v>0.83561393211906287</v>
      </c>
      <c r="AM198" s="124">
        <f t="shared" si="40"/>
        <v>0.41738957648304836</v>
      </c>
      <c r="AN198" s="124">
        <f t="shared" si="41"/>
        <v>1.0075785998939457</v>
      </c>
      <c r="AO198" s="3">
        <f t="shared" si="32"/>
        <v>131.92998250251458</v>
      </c>
    </row>
    <row r="199" spans="1:41" ht="14">
      <c r="A199">
        <f t="shared" si="49"/>
        <v>41</v>
      </c>
      <c r="B199" s="19">
        <f t="shared" si="49"/>
        <v>121</v>
      </c>
      <c r="C199" s="123">
        <f t="shared" si="42"/>
        <v>127.07322548854273</v>
      </c>
      <c r="D199" s="125">
        <f>(($C$39*$C$118*$D$14)*('Product half-life and C flows'!B100/100))</f>
        <v>0.16939166908326264</v>
      </c>
      <c r="E199" s="26">
        <f t="shared" si="48"/>
        <v>127.07322548854273</v>
      </c>
      <c r="F199" s="54">
        <f t="shared" si="46"/>
        <v>3.2727365049186812</v>
      </c>
      <c r="G199" s="54">
        <f t="shared" si="46"/>
        <v>0.56565816134396951</v>
      </c>
      <c r="H199" s="125">
        <f>(H$118)*('Product half-life and C flows'!L100/100)</f>
        <v>0.50763328080192605</v>
      </c>
      <c r="I199" s="125">
        <f>(($C$39*$C$118*0.28)*H$41)*('Product half-life and C flows'!N100/100)</f>
        <v>0.84087234791425125</v>
      </c>
      <c r="J199" s="125">
        <f>(($C$39*$C$118*0.28)*H$41)*(+'Product half-life and C flows'!P100/100)</f>
        <v>0.42001615779932633</v>
      </c>
      <c r="K199" s="54">
        <f t="shared" si="47"/>
        <v>1.0075785998939457</v>
      </c>
      <c r="L199" s="26"/>
      <c r="M199" s="83"/>
      <c r="N199" s="83"/>
      <c r="O199" s="83"/>
      <c r="P199" s="83"/>
      <c r="Q199" s="83"/>
      <c r="R199" s="83"/>
      <c r="S199" s="83"/>
      <c r="T199" s="83"/>
      <c r="U199" s="3"/>
      <c r="V199" s="88"/>
      <c r="W199" s="88"/>
      <c r="X199" s="88"/>
      <c r="Y199" s="88"/>
      <c r="Z199" s="88"/>
      <c r="AA199" s="88"/>
      <c r="AB199" s="88"/>
      <c r="AC199" s="88"/>
      <c r="AE199">
        <f t="shared" si="22"/>
        <v>41</v>
      </c>
      <c r="AF199" s="113">
        <f t="shared" si="43"/>
        <v>127.07322548854273</v>
      </c>
      <c r="AG199" s="124">
        <f t="shared" si="44"/>
        <v>0.16939166908326264</v>
      </c>
      <c r="AH199" s="124">
        <f t="shared" si="45"/>
        <v>127.07322548854273</v>
      </c>
      <c r="AI199" s="124">
        <f t="shared" si="36"/>
        <v>3.2727365049186812</v>
      </c>
      <c r="AJ199" s="124">
        <f t="shared" si="37"/>
        <v>0.56565816134396951</v>
      </c>
      <c r="AK199" s="124">
        <f t="shared" si="38"/>
        <v>0.50763328080192605</v>
      </c>
      <c r="AL199" s="124">
        <f t="shared" si="39"/>
        <v>0.84087234791425125</v>
      </c>
      <c r="AM199" s="124">
        <f t="shared" si="40"/>
        <v>0.42001615779932633</v>
      </c>
      <c r="AN199" s="124">
        <f t="shared" si="41"/>
        <v>1.0075785998939457</v>
      </c>
      <c r="AO199" s="3">
        <f t="shared" si="32"/>
        <v>132.6801419413209</v>
      </c>
    </row>
    <row r="200" spans="1:41" ht="14">
      <c r="A200">
        <f t="shared" si="49"/>
        <v>42</v>
      </c>
      <c r="B200" s="19">
        <f t="shared" si="49"/>
        <v>122</v>
      </c>
      <c r="C200" s="123">
        <f t="shared" si="42"/>
        <v>127.81140207134142</v>
      </c>
      <c r="D200" s="125">
        <f>(($C$39*$C$118*$D$14)*('Product half-life and C flows'!B101/100))</f>
        <v>0.16362156698473904</v>
      </c>
      <c r="E200" s="26">
        <f t="shared" si="48"/>
        <v>127.81140207134142</v>
      </c>
      <c r="F200" s="54">
        <f t="shared" ref="F200:G215" si="50">F199</f>
        <v>3.2727365049186812</v>
      </c>
      <c r="G200" s="54">
        <f t="shared" si="50"/>
        <v>0.56565816134396951</v>
      </c>
      <c r="H200" s="125">
        <f>(H$118)*('Product half-life and C flows'!L101/100)</f>
        <v>0.49987398068616329</v>
      </c>
      <c r="I200" s="125">
        <f>(($C$39*$C$118*0.28)*H$41)*('Product half-life and C flows'!N101/100)</f>
        <v>0.84605038752483686</v>
      </c>
      <c r="J200" s="125">
        <f>(($C$39*$C$118*0.28)*H$41)*(+'Product half-life and C flows'!P101/100)</f>
        <v>0.42260259117124727</v>
      </c>
      <c r="K200" s="54">
        <f t="shared" si="47"/>
        <v>1.0075785998939457</v>
      </c>
      <c r="L200" s="26"/>
      <c r="M200" s="83"/>
      <c r="N200" s="83"/>
      <c r="O200" s="83"/>
      <c r="P200" s="83"/>
      <c r="Q200" s="83"/>
      <c r="R200" s="83"/>
      <c r="S200" s="83"/>
      <c r="T200" s="83"/>
      <c r="U200" s="3"/>
      <c r="V200" s="88"/>
      <c r="W200" s="88"/>
      <c r="X200" s="88"/>
      <c r="Y200" s="88"/>
      <c r="Z200" s="88"/>
      <c r="AA200" s="88"/>
      <c r="AB200" s="88"/>
      <c r="AC200" s="88"/>
      <c r="AE200">
        <f t="shared" si="22"/>
        <v>42</v>
      </c>
      <c r="AF200" s="113">
        <f t="shared" si="43"/>
        <v>127.81140207134142</v>
      </c>
      <c r="AG200" s="124">
        <f t="shared" si="44"/>
        <v>0.16362156698473904</v>
      </c>
      <c r="AH200" s="124">
        <f t="shared" si="45"/>
        <v>127.81140207134142</v>
      </c>
      <c r="AI200" s="124">
        <f t="shared" si="36"/>
        <v>3.2727365049186812</v>
      </c>
      <c r="AJ200" s="124">
        <f t="shared" si="37"/>
        <v>0.56565816134396951</v>
      </c>
      <c r="AK200" s="124">
        <f t="shared" si="38"/>
        <v>0.49987398068616329</v>
      </c>
      <c r="AL200" s="124">
        <f t="shared" si="39"/>
        <v>0.84605038752483686</v>
      </c>
      <c r="AM200" s="124">
        <f t="shared" si="40"/>
        <v>0.42260259117124727</v>
      </c>
      <c r="AN200" s="124">
        <f t="shared" si="41"/>
        <v>1.0075785998939457</v>
      </c>
      <c r="AO200" s="3">
        <f t="shared" si="32"/>
        <v>133.41832369698633</v>
      </c>
    </row>
    <row r="201" spans="1:41" ht="14">
      <c r="A201">
        <f t="shared" si="49"/>
        <v>43</v>
      </c>
      <c r="B201" s="19">
        <f t="shared" si="49"/>
        <v>123</v>
      </c>
      <c r="C201" s="123">
        <f t="shared" si="42"/>
        <v>128.53773077856621</v>
      </c>
      <c r="D201" s="125">
        <f>(($C$39*$C$118*$D$14)*('Product half-life and C flows'!B102/100))</f>
        <v>0.15804801574616939</v>
      </c>
      <c r="E201" s="26">
        <f t="shared" si="48"/>
        <v>128.53773077856621</v>
      </c>
      <c r="F201" s="54">
        <f t="shared" si="50"/>
        <v>3.2727365049186812</v>
      </c>
      <c r="G201" s="54">
        <f t="shared" si="50"/>
        <v>0.56565816134396951</v>
      </c>
      <c r="H201" s="125">
        <f>(H$118)*('Product half-life and C flows'!L102/100)</f>
        <v>0.49223328338972594</v>
      </c>
      <c r="I201" s="125">
        <f>(($C$39*$C$118*0.28)*H$41)*('Product half-life and C flows'!N102/100)</f>
        <v>0.85114927952065955</v>
      </c>
      <c r="J201" s="125">
        <f>(($C$39*$C$118*0.28)*H$41)*(+'Product half-life and C flows'!P102/100)</f>
        <v>0.42514949027005966</v>
      </c>
      <c r="K201" s="54">
        <f t="shared" si="47"/>
        <v>1.0075785998939457</v>
      </c>
      <c r="L201" s="26"/>
      <c r="M201" s="83"/>
      <c r="N201" s="83"/>
      <c r="O201" s="83"/>
      <c r="P201" s="83"/>
      <c r="Q201" s="83"/>
      <c r="R201" s="83"/>
      <c r="S201" s="83"/>
      <c r="T201" s="83"/>
      <c r="U201" s="3"/>
      <c r="V201" s="88"/>
      <c r="W201" s="88"/>
      <c r="X201" s="88"/>
      <c r="Y201" s="88"/>
      <c r="Z201" s="88"/>
      <c r="AA201" s="88"/>
      <c r="AB201" s="88"/>
      <c r="AC201" s="88"/>
      <c r="AE201">
        <f t="shared" si="22"/>
        <v>43</v>
      </c>
      <c r="AF201" s="113">
        <f t="shared" si="43"/>
        <v>128.53773077856621</v>
      </c>
      <c r="AG201" s="124">
        <f t="shared" si="44"/>
        <v>0.15804801574616939</v>
      </c>
      <c r="AH201" s="124">
        <f t="shared" si="45"/>
        <v>128.53773077856621</v>
      </c>
      <c r="AI201" s="124">
        <f t="shared" si="36"/>
        <v>3.2727365049186812</v>
      </c>
      <c r="AJ201" s="124">
        <f t="shared" si="37"/>
        <v>0.56565816134396951</v>
      </c>
      <c r="AK201" s="124">
        <f t="shared" si="38"/>
        <v>0.49223328338972594</v>
      </c>
      <c r="AL201" s="124">
        <f t="shared" si="39"/>
        <v>0.85114927952065955</v>
      </c>
      <c r="AM201" s="124">
        <f t="shared" si="40"/>
        <v>0.42514949027005966</v>
      </c>
      <c r="AN201" s="124">
        <f t="shared" si="41"/>
        <v>1.0075785998939457</v>
      </c>
      <c r="AO201" s="3">
        <f t="shared" si="32"/>
        <v>134.14465749800931</v>
      </c>
    </row>
    <row r="202" spans="1:41" ht="14">
      <c r="A202">
        <f t="shared" si="49"/>
        <v>44</v>
      </c>
      <c r="B202" s="19">
        <f t="shared" si="49"/>
        <v>124</v>
      </c>
      <c r="C202" s="123">
        <f t="shared" si="42"/>
        <v>129.2523426706143</v>
      </c>
      <c r="D202" s="125">
        <f>(($C$39*$C$118*$D$14)*('Product half-life and C flows'!B103/100))</f>
        <v>0.15266432012371112</v>
      </c>
      <c r="E202" s="26">
        <f t="shared" si="48"/>
        <v>129.2523426706143</v>
      </c>
      <c r="F202" s="54">
        <f t="shared" si="50"/>
        <v>3.2727365049186812</v>
      </c>
      <c r="G202" s="54">
        <f t="shared" si="50"/>
        <v>0.56565816134396951</v>
      </c>
      <c r="H202" s="125">
        <f>(H$118)*('Product half-life and C flows'!L103/100)</f>
        <v>0.48470937603921782</v>
      </c>
      <c r="I202" s="125">
        <f>(($C$39*$C$118*0.28)*H$41)*('Product half-life and C flows'!N103/100)</f>
        <v>0.8561702336925654</v>
      </c>
      <c r="J202" s="125">
        <f>(($C$39*$C$118*0.28)*H$41)*(+'Product half-life and C flows'!P103/100)</f>
        <v>0.42765745938689576</v>
      </c>
      <c r="K202" s="54">
        <f t="shared" si="47"/>
        <v>1.0075785998939457</v>
      </c>
      <c r="L202" s="26"/>
      <c r="M202" s="83"/>
      <c r="N202" s="83"/>
      <c r="O202" s="83"/>
      <c r="P202" s="83"/>
      <c r="Q202" s="83"/>
      <c r="R202" s="83"/>
      <c r="S202" s="83"/>
      <c r="T202" s="83"/>
      <c r="U202" s="3"/>
      <c r="V202" s="88"/>
      <c r="W202" s="88"/>
      <c r="X202" s="88"/>
      <c r="Y202" s="88"/>
      <c r="Z202" s="88"/>
      <c r="AA202" s="88"/>
      <c r="AB202" s="88"/>
      <c r="AC202" s="88"/>
      <c r="AE202">
        <f t="shared" si="22"/>
        <v>44</v>
      </c>
      <c r="AF202" s="113">
        <f t="shared" si="43"/>
        <v>129.2523426706143</v>
      </c>
      <c r="AG202" s="124">
        <f t="shared" si="44"/>
        <v>0.15266432012371112</v>
      </c>
      <c r="AH202" s="124">
        <f t="shared" si="45"/>
        <v>129.2523426706143</v>
      </c>
      <c r="AI202" s="124">
        <f t="shared" si="36"/>
        <v>3.2727365049186812</v>
      </c>
      <c r="AJ202" s="124">
        <f t="shared" si="37"/>
        <v>0.56565816134396951</v>
      </c>
      <c r="AK202" s="124">
        <f t="shared" si="38"/>
        <v>0.48470937603921782</v>
      </c>
      <c r="AL202" s="124">
        <f t="shared" si="39"/>
        <v>0.8561702336925654</v>
      </c>
      <c r="AM202" s="124">
        <f t="shared" si="40"/>
        <v>0.42765745938689576</v>
      </c>
      <c r="AN202" s="124">
        <f t="shared" si="41"/>
        <v>1.0075785998939457</v>
      </c>
      <c r="AO202" s="3">
        <f t="shared" si="32"/>
        <v>134.85927440599559</v>
      </c>
    </row>
    <row r="203" spans="1:41" ht="14">
      <c r="A203">
        <f t="shared" si="49"/>
        <v>45</v>
      </c>
      <c r="B203" s="19">
        <f t="shared" si="49"/>
        <v>125</v>
      </c>
      <c r="C203" s="123">
        <f t="shared" si="42"/>
        <v>129.9553699797319</v>
      </c>
      <c r="D203" s="125">
        <f>(($C$39*$C$118*$D$14)*('Product half-life and C flows'!B104/100))</f>
        <v>0.14746401293810493</v>
      </c>
      <c r="E203" s="26">
        <f t="shared" si="48"/>
        <v>129.9553699797319</v>
      </c>
      <c r="F203" s="54">
        <f t="shared" si="50"/>
        <v>3.2727365049186812</v>
      </c>
      <c r="G203" s="54">
        <f t="shared" si="50"/>
        <v>0.56565816134396951</v>
      </c>
      <c r="H203" s="125">
        <f>(H$118)*('Product half-life and C flows'!L104/100)</f>
        <v>0.47730047347146071</v>
      </c>
      <c r="I203" s="125">
        <f>(($C$39*$C$118*0.28)*H$41)*('Product half-life and C flows'!N104/100)</f>
        <v>0.86111444133944859</v>
      </c>
      <c r="J203" s="125">
        <f>(($C$39*$C$118*0.28)*H$41)*(+'Product half-life and C flows'!P104/100)</f>
        <v>0.43012709357614803</v>
      </c>
      <c r="K203" s="54">
        <f t="shared" si="47"/>
        <v>1.0075785998939457</v>
      </c>
      <c r="L203" s="26"/>
      <c r="M203" s="83"/>
      <c r="N203" s="83"/>
      <c r="O203" s="83"/>
      <c r="P203" s="83"/>
      <c r="Q203" s="83"/>
      <c r="R203" s="83"/>
      <c r="S203" s="83"/>
      <c r="T203" s="83"/>
      <c r="U203" s="3"/>
      <c r="V203" s="88"/>
      <c r="W203" s="88"/>
      <c r="X203" s="88"/>
      <c r="Y203" s="88"/>
      <c r="Z203" s="88"/>
      <c r="AA203" s="88"/>
      <c r="AB203" s="88"/>
      <c r="AC203" s="88"/>
      <c r="AE203">
        <f t="shared" si="22"/>
        <v>45</v>
      </c>
      <c r="AF203" s="113">
        <f t="shared" si="43"/>
        <v>129.9553699797319</v>
      </c>
      <c r="AG203" s="124">
        <f t="shared" si="44"/>
        <v>0.14746401293810493</v>
      </c>
      <c r="AH203" s="124">
        <f t="shared" si="45"/>
        <v>129.9553699797319</v>
      </c>
      <c r="AI203" s="124">
        <f t="shared" si="36"/>
        <v>3.2727365049186812</v>
      </c>
      <c r="AJ203" s="124">
        <f t="shared" si="37"/>
        <v>0.56565816134396951</v>
      </c>
      <c r="AK203" s="124">
        <f t="shared" si="38"/>
        <v>0.47730047347146071</v>
      </c>
      <c r="AL203" s="124">
        <f t="shared" si="39"/>
        <v>0.86111444133944859</v>
      </c>
      <c r="AM203" s="124">
        <f t="shared" si="40"/>
        <v>0.43012709357614803</v>
      </c>
      <c r="AN203" s="124">
        <f t="shared" si="41"/>
        <v>1.0075785998939457</v>
      </c>
      <c r="AO203" s="3">
        <f t="shared" si="32"/>
        <v>135.56230665438162</v>
      </c>
    </row>
    <row r="204" spans="1:41" ht="14">
      <c r="A204">
        <f t="shared" si="49"/>
        <v>46</v>
      </c>
      <c r="B204" s="19">
        <f t="shared" si="49"/>
        <v>126</v>
      </c>
      <c r="C204" s="123">
        <f t="shared" si="42"/>
        <v>130.6469459561647</v>
      </c>
      <c r="D204" s="125">
        <f>(($C$39*$C$118*$D$14)*('Product half-life and C flows'!B105/100))</f>
        <v>0.14244084730595899</v>
      </c>
      <c r="E204" s="26">
        <f t="shared" si="48"/>
        <v>130.6469459561647</v>
      </c>
      <c r="F204" s="54">
        <f t="shared" si="50"/>
        <v>3.2727365049186812</v>
      </c>
      <c r="G204" s="54">
        <f t="shared" si="50"/>
        <v>0.56565816134396951</v>
      </c>
      <c r="H204" s="125">
        <f>(H$118)*('Product half-life and C flows'!L105/100)</f>
        <v>0.47000481780993658</v>
      </c>
      <c r="I204" s="125">
        <f>(($C$39*$C$118*0.28)*H$41)*('Product half-life and C flows'!N105/100)</f>
        <v>0.8659830755509057</v>
      </c>
      <c r="J204" s="125">
        <f>(($C$39*$C$118*0.28)*H$41)*(+'Product half-life and C flows'!P105/100)</f>
        <v>0.43255897879665611</v>
      </c>
      <c r="K204" s="54">
        <f t="shared" si="47"/>
        <v>1.0075785998939457</v>
      </c>
      <c r="L204" s="26"/>
      <c r="M204" s="83"/>
      <c r="N204" s="83"/>
      <c r="O204" s="83"/>
      <c r="P204" s="83"/>
      <c r="Q204" s="83"/>
      <c r="R204" s="83"/>
      <c r="S204" s="83"/>
      <c r="T204" s="83"/>
      <c r="U204" s="3"/>
      <c r="V204" s="88"/>
      <c r="W204" s="88"/>
      <c r="X204" s="88"/>
      <c r="Y204" s="88"/>
      <c r="Z204" s="88"/>
      <c r="AA204" s="88"/>
      <c r="AB204" s="88"/>
      <c r="AC204" s="88"/>
      <c r="AE204">
        <f t="shared" si="22"/>
        <v>46</v>
      </c>
      <c r="AF204" s="113">
        <f t="shared" si="43"/>
        <v>130.6469459561647</v>
      </c>
      <c r="AG204" s="124">
        <f t="shared" si="44"/>
        <v>0.14244084730595899</v>
      </c>
      <c r="AH204" s="124">
        <f t="shared" si="45"/>
        <v>130.6469459561647</v>
      </c>
      <c r="AI204" s="124">
        <f t="shared" si="36"/>
        <v>3.2727365049186812</v>
      </c>
      <c r="AJ204" s="124">
        <f t="shared" si="37"/>
        <v>0.56565816134396951</v>
      </c>
      <c r="AK204" s="124">
        <f t="shared" si="38"/>
        <v>0.47000481780993658</v>
      </c>
      <c r="AL204" s="124">
        <f t="shared" si="39"/>
        <v>0.8659830755509057</v>
      </c>
      <c r="AM204" s="124">
        <f t="shared" si="40"/>
        <v>0.43255897879665611</v>
      </c>
      <c r="AN204" s="124">
        <f t="shared" si="41"/>
        <v>1.0075785998939457</v>
      </c>
      <c r="AO204" s="3">
        <f t="shared" si="32"/>
        <v>136.25388749458486</v>
      </c>
    </row>
    <row r="205" spans="1:41" ht="14">
      <c r="A205">
        <f t="shared" si="49"/>
        <v>47</v>
      </c>
      <c r="B205" s="19">
        <f t="shared" si="49"/>
        <v>127</v>
      </c>
      <c r="C205" s="123">
        <f t="shared" si="42"/>
        <v>131.32720472148327</v>
      </c>
      <c r="D205" s="125">
        <f>(($C$39*$C$118*$D$14)*('Product half-life and C flows'!B106/100))</f>
        <v>0.13758878913566261</v>
      </c>
      <c r="E205" s="26">
        <f t="shared" si="48"/>
        <v>131.32720472148327</v>
      </c>
      <c r="F205" s="54">
        <f t="shared" si="50"/>
        <v>3.2727365049186812</v>
      </c>
      <c r="G205" s="54">
        <f t="shared" si="50"/>
        <v>0.56565816134396951</v>
      </c>
      <c r="H205" s="125">
        <f>(H$118)*('Product half-life and C flows'!L106/100)</f>
        <v>0.4628206780477041</v>
      </c>
      <c r="I205" s="125">
        <f>(($C$39*$C$118*0.28)*H$41)*('Product half-life and C flows'!N106/100)</f>
        <v>0.87077729148556882</v>
      </c>
      <c r="J205" s="125">
        <f>(($C$39*$C$118*0.28)*H$41)*(+'Product half-life and C flows'!P106/100)</f>
        <v>0.43495369205073353</v>
      </c>
      <c r="K205" s="54">
        <f t="shared" si="47"/>
        <v>1.0075785998939457</v>
      </c>
      <c r="L205" s="26"/>
      <c r="M205" s="83"/>
      <c r="N205" s="83"/>
      <c r="O205" s="83"/>
      <c r="P205" s="83"/>
      <c r="Q205" s="83"/>
      <c r="R205" s="83"/>
      <c r="S205" s="83"/>
      <c r="T205" s="83"/>
      <c r="U205" s="3"/>
      <c r="V205" s="88"/>
      <c r="W205" s="88"/>
      <c r="X205" s="88"/>
      <c r="Y205" s="88"/>
      <c r="Z205" s="88"/>
      <c r="AA205" s="88"/>
      <c r="AB205" s="88"/>
      <c r="AC205" s="88"/>
      <c r="AE205">
        <f t="shared" si="22"/>
        <v>47</v>
      </c>
      <c r="AF205" s="113">
        <f t="shared" si="43"/>
        <v>131.32720472148327</v>
      </c>
      <c r="AG205" s="124">
        <f t="shared" si="44"/>
        <v>0.13758878913566261</v>
      </c>
      <c r="AH205" s="124">
        <f t="shared" si="45"/>
        <v>131.32720472148327</v>
      </c>
      <c r="AI205" s="124">
        <f t="shared" si="36"/>
        <v>3.2727365049186812</v>
      </c>
      <c r="AJ205" s="124">
        <f t="shared" si="37"/>
        <v>0.56565816134396951</v>
      </c>
      <c r="AK205" s="124">
        <f t="shared" si="38"/>
        <v>0.4628206780477041</v>
      </c>
      <c r="AL205" s="124">
        <f t="shared" si="39"/>
        <v>0.87077729148556882</v>
      </c>
      <c r="AM205" s="124">
        <f t="shared" si="40"/>
        <v>0.43495369205073353</v>
      </c>
      <c r="AN205" s="124">
        <f t="shared" si="41"/>
        <v>1.0075785998939457</v>
      </c>
      <c r="AO205" s="3">
        <f t="shared" si="32"/>
        <v>136.93415104932993</v>
      </c>
    </row>
    <row r="206" spans="1:41" ht="14">
      <c r="A206">
        <f t="shared" si="49"/>
        <v>48</v>
      </c>
      <c r="B206" s="19">
        <f t="shared" si="49"/>
        <v>128</v>
      </c>
      <c r="C206" s="123">
        <f t="shared" si="42"/>
        <v>131.99628112883832</v>
      </c>
      <c r="D206" s="125">
        <f>(($C$39*$C$118*$D$14)*('Product half-life and C flows'!B107/100))</f>
        <v>0.13290200987891654</v>
      </c>
      <c r="E206" s="26">
        <f t="shared" si="48"/>
        <v>131.99628112883832</v>
      </c>
      <c r="F206" s="54">
        <f t="shared" si="50"/>
        <v>3.2727365049186812</v>
      </c>
      <c r="G206" s="54">
        <f t="shared" si="50"/>
        <v>0.56565816134396951</v>
      </c>
      <c r="H206" s="125">
        <f>(H$118)*('Product half-life and C flows'!L107/100)</f>
        <v>0.45574634963669086</v>
      </c>
      <c r="I206" s="125">
        <f>(($C$39*$C$118*0.28)*H$41)*('Product half-life and C flows'!N107/100)</f>
        <v>0.87549822664518506</v>
      </c>
      <c r="J206" s="125">
        <f>(($C$39*$C$118*0.28)*H$41)*(+'Product half-life and C flows'!P107/100)</f>
        <v>0.4373118015210713</v>
      </c>
      <c r="K206" s="54">
        <f t="shared" si="47"/>
        <v>1.0075785998939457</v>
      </c>
      <c r="L206" s="26"/>
      <c r="M206" s="83"/>
      <c r="N206" s="83"/>
      <c r="O206" s="83"/>
      <c r="P206" s="83"/>
      <c r="Q206" s="83"/>
      <c r="R206" s="83"/>
      <c r="S206" s="83"/>
      <c r="T206" s="83"/>
      <c r="U206" s="3"/>
      <c r="V206" s="88"/>
      <c r="W206" s="88"/>
      <c r="X206" s="88"/>
      <c r="Y206" s="88"/>
      <c r="Z206" s="88"/>
      <c r="AA206" s="88"/>
      <c r="AB206" s="88"/>
      <c r="AC206" s="88"/>
      <c r="AE206">
        <f t="shared" ref="AE206:AE269" si="51">A206</f>
        <v>48</v>
      </c>
      <c r="AF206" s="113">
        <f t="shared" si="43"/>
        <v>131.99628112883832</v>
      </c>
      <c r="AG206" s="124">
        <f t="shared" si="44"/>
        <v>0.13290200987891654</v>
      </c>
      <c r="AH206" s="124">
        <f t="shared" si="45"/>
        <v>131.99628112883832</v>
      </c>
      <c r="AI206" s="124">
        <f t="shared" si="36"/>
        <v>3.2727365049186812</v>
      </c>
      <c r="AJ206" s="124">
        <f t="shared" si="37"/>
        <v>0.56565816134396951</v>
      </c>
      <c r="AK206" s="124">
        <f t="shared" si="38"/>
        <v>0.45574634963669086</v>
      </c>
      <c r="AL206" s="124">
        <f t="shared" si="39"/>
        <v>0.87549822664518506</v>
      </c>
      <c r="AM206" s="124">
        <f t="shared" si="40"/>
        <v>0.4373118015210713</v>
      </c>
      <c r="AN206" s="124">
        <f t="shared" si="41"/>
        <v>1.0075785998939457</v>
      </c>
      <c r="AO206" s="3">
        <f t="shared" si="32"/>
        <v>137.60323217290392</v>
      </c>
    </row>
    <row r="207" spans="1:41" ht="14">
      <c r="A207">
        <f t="shared" si="49"/>
        <v>49</v>
      </c>
      <c r="B207" s="19">
        <f t="shared" si="49"/>
        <v>129</v>
      </c>
      <c r="C207" s="123">
        <f t="shared" si="42"/>
        <v>132.65431062990476</v>
      </c>
      <c r="D207" s="125">
        <f>(($C$39*$C$118*$D$14)*('Product half-life and C flows'!B108/100))</f>
        <v>0.12837487952917417</v>
      </c>
      <c r="E207" s="26">
        <f t="shared" si="48"/>
        <v>132.65431062990476</v>
      </c>
      <c r="F207" s="54">
        <f t="shared" si="50"/>
        <v>3.2727365049186812</v>
      </c>
      <c r="G207" s="54">
        <f t="shared" si="50"/>
        <v>0.56565816134396951</v>
      </c>
      <c r="H207" s="125">
        <f>(H$118)*('Product half-life and C flows'!L108/100)</f>
        <v>0.44878015408326294</v>
      </c>
      <c r="I207" s="125">
        <f>(($C$39*$C$118*0.28)*H$41)*('Product half-life and C flows'!N108/100)</f>
        <v>0.88014700114450595</v>
      </c>
      <c r="J207" s="125">
        <f>(($C$39*$C$118*0.28)*H$41)*(+'Product half-life and C flows'!P108/100)</f>
        <v>0.43963386670554727</v>
      </c>
      <c r="K207" s="54">
        <f t="shared" si="47"/>
        <v>1.0075785998939457</v>
      </c>
      <c r="L207" s="26"/>
      <c r="M207" s="83"/>
      <c r="N207" s="83"/>
      <c r="O207" s="83"/>
      <c r="P207" s="83"/>
      <c r="Q207" s="83"/>
      <c r="R207" s="83"/>
      <c r="S207" s="83"/>
      <c r="T207" s="83"/>
      <c r="U207" s="3"/>
      <c r="V207" s="88"/>
      <c r="W207" s="88"/>
      <c r="X207" s="88"/>
      <c r="Y207" s="88"/>
      <c r="Z207" s="88"/>
      <c r="AA207" s="88"/>
      <c r="AB207" s="88"/>
      <c r="AC207" s="88"/>
      <c r="AE207">
        <f t="shared" si="51"/>
        <v>49</v>
      </c>
      <c r="AF207" s="113">
        <f t="shared" si="43"/>
        <v>132.65431062990476</v>
      </c>
      <c r="AG207" s="124">
        <f t="shared" si="44"/>
        <v>0.12837487952917417</v>
      </c>
      <c r="AH207" s="124">
        <f t="shared" si="45"/>
        <v>132.65431062990476</v>
      </c>
      <c r="AI207" s="124">
        <f t="shared" si="36"/>
        <v>3.2727365049186812</v>
      </c>
      <c r="AJ207" s="124">
        <f t="shared" si="37"/>
        <v>0.56565816134396951</v>
      </c>
      <c r="AK207" s="124">
        <f t="shared" si="38"/>
        <v>0.44878015408326294</v>
      </c>
      <c r="AL207" s="124">
        <f t="shared" si="39"/>
        <v>0.88014700114450595</v>
      </c>
      <c r="AM207" s="124">
        <f t="shared" si="40"/>
        <v>0.43963386670554727</v>
      </c>
      <c r="AN207" s="124">
        <f t="shared" si="41"/>
        <v>1.0075785998939457</v>
      </c>
      <c r="AO207" s="3">
        <f t="shared" si="32"/>
        <v>138.26126631810072</v>
      </c>
    </row>
    <row r="208" spans="1:41" ht="14">
      <c r="A208">
        <f t="shared" si="49"/>
        <v>50</v>
      </c>
      <c r="B208" s="19">
        <f t="shared" si="49"/>
        <v>130</v>
      </c>
      <c r="C208" s="123">
        <f t="shared" si="42"/>
        <v>133.30142914827974</v>
      </c>
      <c r="D208" s="125">
        <f>(($C$39*$C$118*$D$14)*('Product half-life and C flows'!B109/100))</f>
        <v>0.12400195985857983</v>
      </c>
      <c r="E208" s="26">
        <f t="shared" si="48"/>
        <v>133.30142914827974</v>
      </c>
      <c r="F208" s="54">
        <f t="shared" si="50"/>
        <v>3.2727365049186812</v>
      </c>
      <c r="G208" s="54">
        <f t="shared" si="50"/>
        <v>0.56565816134396951</v>
      </c>
      <c r="H208" s="125">
        <f>(H$118)*('Product half-life and C flows'!L109/100)</f>
        <v>0.4419204385499762</v>
      </c>
      <c r="I208" s="125">
        <f>(($C$39*$C$118*0.28)*H$41)*('Product half-life and C flows'!N109/100)</f>
        <v>0.88472471797705254</v>
      </c>
      <c r="J208" s="125">
        <f>(($C$39*$C$118*0.28)*H$41)*(+'Product half-life and C flows'!P109/100)</f>
        <v>0.4419204385499762</v>
      </c>
      <c r="K208" s="54">
        <f t="shared" si="47"/>
        <v>1.0075785998939457</v>
      </c>
      <c r="L208" s="26"/>
      <c r="M208" s="83"/>
      <c r="N208" s="83"/>
      <c r="O208" s="83"/>
      <c r="P208" s="83"/>
      <c r="Q208" s="83"/>
      <c r="R208" s="83"/>
      <c r="S208" s="83"/>
      <c r="T208" s="83"/>
      <c r="U208" s="3"/>
      <c r="V208" s="88"/>
      <c r="W208" s="88"/>
      <c r="X208" s="88"/>
      <c r="Y208" s="88"/>
      <c r="Z208" s="88"/>
      <c r="AA208" s="88"/>
      <c r="AB208" s="88"/>
      <c r="AC208" s="88"/>
      <c r="AE208">
        <f t="shared" si="51"/>
        <v>50</v>
      </c>
      <c r="AF208" s="113">
        <f t="shared" si="43"/>
        <v>133.30142914827974</v>
      </c>
      <c r="AG208" s="124">
        <f t="shared" si="44"/>
        <v>0.12400195985857983</v>
      </c>
      <c r="AH208" s="124">
        <f t="shared" si="45"/>
        <v>133.30142914827974</v>
      </c>
      <c r="AI208" s="124">
        <f t="shared" si="36"/>
        <v>3.2727365049186812</v>
      </c>
      <c r="AJ208" s="124">
        <f t="shared" si="37"/>
        <v>0.56565816134396951</v>
      </c>
      <c r="AK208" s="124">
        <f t="shared" si="38"/>
        <v>0.4419204385499762</v>
      </c>
      <c r="AL208" s="124">
        <f t="shared" si="39"/>
        <v>0.88472471797705254</v>
      </c>
      <c r="AM208" s="124">
        <f t="shared" si="40"/>
        <v>0.4419204385499762</v>
      </c>
      <c r="AN208" s="124">
        <f t="shared" si="41"/>
        <v>1.0075785998939457</v>
      </c>
      <c r="AO208" s="3">
        <f t="shared" si="32"/>
        <v>138.90838940961939</v>
      </c>
    </row>
    <row r="209" spans="1:41" ht="14">
      <c r="A209">
        <f t="shared" si="49"/>
        <v>51</v>
      </c>
      <c r="B209" s="19">
        <f t="shared" si="49"/>
        <v>131</v>
      </c>
      <c r="C209" s="123">
        <f t="shared" si="42"/>
        <v>133.9377729591053</v>
      </c>
      <c r="D209" s="125">
        <f>(($C$39*$C$118*$D$14)*('Product half-life and C flows'!B110/100))</f>
        <v>0.11977799788528266</v>
      </c>
      <c r="E209" s="26">
        <f t="shared" si="48"/>
        <v>133.9377729591053</v>
      </c>
      <c r="F209" s="54">
        <f t="shared" si="50"/>
        <v>3.2727365049186812</v>
      </c>
      <c r="G209" s="54">
        <f t="shared" si="50"/>
        <v>0.56565816134396951</v>
      </c>
      <c r="H209" s="125">
        <f>(H$118)*('Product half-life and C flows'!L110/100)</f>
        <v>0.43516557546341539</v>
      </c>
      <c r="I209" s="125">
        <f>(($C$39*$C$118*0.28)*H$41)*('Product half-life and C flows'!N110/100)</f>
        <v>0.88923246327681749</v>
      </c>
      <c r="J209" s="125">
        <f>(($C$39*$C$118*0.28)*H$41)*(+'Product half-life and C flows'!P110/100)</f>
        <v>0.44417205957882983</v>
      </c>
      <c r="K209" s="54">
        <f t="shared" si="47"/>
        <v>1.0075785998939457</v>
      </c>
      <c r="L209" s="26"/>
      <c r="M209" s="83"/>
      <c r="N209" s="83"/>
      <c r="O209" s="83"/>
      <c r="P209" s="83"/>
      <c r="Q209" s="83"/>
      <c r="R209" s="83"/>
      <c r="S209" s="83"/>
      <c r="T209" s="83"/>
      <c r="U209" s="3"/>
      <c r="V209" s="88"/>
      <c r="W209" s="88"/>
      <c r="X209" s="88"/>
      <c r="Y209" s="88"/>
      <c r="Z209" s="88"/>
      <c r="AA209" s="88"/>
      <c r="AB209" s="88"/>
      <c r="AC209" s="88"/>
      <c r="AE209">
        <f t="shared" si="51"/>
        <v>51</v>
      </c>
      <c r="AF209" s="113">
        <f t="shared" si="43"/>
        <v>133.9377729591053</v>
      </c>
      <c r="AG209" s="124">
        <f t="shared" si="44"/>
        <v>0.11977799788528266</v>
      </c>
      <c r="AH209" s="124">
        <f t="shared" si="45"/>
        <v>133.9377729591053</v>
      </c>
      <c r="AI209" s="124">
        <f t="shared" si="36"/>
        <v>3.2727365049186812</v>
      </c>
      <c r="AJ209" s="124">
        <f t="shared" si="37"/>
        <v>0.56565816134396951</v>
      </c>
      <c r="AK209" s="124">
        <f t="shared" si="38"/>
        <v>0.43516557546341539</v>
      </c>
      <c r="AL209" s="124">
        <f t="shared" si="39"/>
        <v>0.88923246327681749</v>
      </c>
      <c r="AM209" s="124">
        <f t="shared" si="40"/>
        <v>0.44417205957882983</v>
      </c>
      <c r="AN209" s="124">
        <f t="shared" si="41"/>
        <v>1.0075785998939457</v>
      </c>
      <c r="AO209" s="3">
        <f t="shared" si="32"/>
        <v>139.54473772368701</v>
      </c>
    </row>
    <row r="210" spans="1:41" ht="14">
      <c r="A210">
        <f t="shared" si="49"/>
        <v>52</v>
      </c>
      <c r="B210" s="19">
        <f t="shared" si="49"/>
        <v>132</v>
      </c>
      <c r="C210" s="123">
        <f t="shared" si="42"/>
        <v>134.56347857469208</v>
      </c>
      <c r="D210" s="125">
        <f>(($C$39*$C$118*$D$14)*('Product half-life and C flows'!B111/100))</f>
        <v>0.11569791956327789</v>
      </c>
      <c r="E210" s="26">
        <f t="shared" si="48"/>
        <v>134.56347857469208</v>
      </c>
      <c r="F210" s="54">
        <f t="shared" si="50"/>
        <v>3.2727365049186812</v>
      </c>
      <c r="G210" s="54">
        <f t="shared" si="50"/>
        <v>0.56565816134396951</v>
      </c>
      <c r="H210" s="125">
        <f>(H$118)*('Product half-life and C flows'!L111/100)</f>
        <v>0.42851396212802667</v>
      </c>
      <c r="I210" s="125">
        <f>(($C$39*$C$118*0.28)*H$41)*('Product half-life and C flows'!N111/100)</f>
        <v>0.89367130657596683</v>
      </c>
      <c r="J210" s="125">
        <f>(($C$39*$C$118*0.28)*H$41)*(+'Product half-life and C flows'!P111/100)</f>
        <v>0.44638926402395934</v>
      </c>
      <c r="K210" s="54">
        <f t="shared" si="47"/>
        <v>1.0075785998939457</v>
      </c>
      <c r="L210" s="26"/>
      <c r="M210" s="83"/>
      <c r="N210" s="83"/>
      <c r="O210" s="83"/>
      <c r="P210" s="83"/>
      <c r="Q210" s="83"/>
      <c r="R210" s="83"/>
      <c r="S210" s="83"/>
      <c r="T210" s="83"/>
      <c r="U210" s="3"/>
      <c r="V210" s="88"/>
      <c r="W210" s="88"/>
      <c r="X210" s="88"/>
      <c r="Y210" s="88"/>
      <c r="Z210" s="88"/>
      <c r="AA210" s="88"/>
      <c r="AB210" s="88"/>
      <c r="AC210" s="88"/>
      <c r="AE210">
        <f t="shared" si="51"/>
        <v>52</v>
      </c>
      <c r="AF210" s="113">
        <f t="shared" si="43"/>
        <v>134.56347857469208</v>
      </c>
      <c r="AG210" s="124">
        <f t="shared" si="44"/>
        <v>0.11569791956327789</v>
      </c>
      <c r="AH210" s="124">
        <f t="shared" si="45"/>
        <v>134.56347857469208</v>
      </c>
      <c r="AI210" s="124">
        <f t="shared" si="36"/>
        <v>3.2727365049186812</v>
      </c>
      <c r="AJ210" s="124">
        <f t="shared" si="37"/>
        <v>0.56565816134396951</v>
      </c>
      <c r="AK210" s="124">
        <f t="shared" si="38"/>
        <v>0.42851396212802667</v>
      </c>
      <c r="AL210" s="124">
        <f t="shared" si="39"/>
        <v>0.89367130657596683</v>
      </c>
      <c r="AM210" s="124">
        <f t="shared" si="40"/>
        <v>0.44638926402395934</v>
      </c>
      <c r="AN210" s="124">
        <f t="shared" si="41"/>
        <v>1.0075785998939457</v>
      </c>
      <c r="AO210" s="3">
        <f t="shared" si="32"/>
        <v>140.17044777368267</v>
      </c>
    </row>
    <row r="211" spans="1:41" ht="14">
      <c r="A211">
        <f t="shared" si="49"/>
        <v>53</v>
      </c>
      <c r="B211" s="19">
        <f t="shared" si="49"/>
        <v>133</v>
      </c>
      <c r="C211" s="123">
        <f t="shared" si="42"/>
        <v>135.17868263592746</v>
      </c>
      <c r="D211" s="125">
        <f>(($C$39*$C$118*$D$14)*('Product half-life and C flows'!B112/100))</f>
        <v>0.11175682368719467</v>
      </c>
      <c r="E211" s="26">
        <f t="shared" si="48"/>
        <v>135.17868263592746</v>
      </c>
      <c r="F211" s="54">
        <f t="shared" si="50"/>
        <v>3.2727365049186812</v>
      </c>
      <c r="G211" s="54">
        <f t="shared" si="50"/>
        <v>0.56565816134396951</v>
      </c>
      <c r="H211" s="125">
        <f>(H$118)*('Product half-life and C flows'!L112/100)</f>
        <v>0.42196402034585395</v>
      </c>
      <c r="I211" s="125">
        <f>(($C$39*$C$118*0.28)*H$41)*('Product half-life and C flows'!N112/100)</f>
        <v>0.8980423010586035</v>
      </c>
      <c r="J211" s="125">
        <f>(($C$39*$C$118*0.28)*H$41)*(+'Product half-life and C flows'!P112/100)</f>
        <v>0.44857257795135025</v>
      </c>
      <c r="K211" s="54">
        <f t="shared" si="47"/>
        <v>1.0075785998939457</v>
      </c>
      <c r="L211" s="26"/>
      <c r="M211" s="83"/>
      <c r="N211" s="83"/>
      <c r="O211" s="83"/>
      <c r="P211" s="83"/>
      <c r="Q211" s="83"/>
      <c r="R211" s="83"/>
      <c r="S211" s="83"/>
      <c r="T211" s="83"/>
      <c r="U211" s="3"/>
      <c r="V211" s="88"/>
      <c r="W211" s="88"/>
      <c r="X211" s="88"/>
      <c r="Y211" s="88"/>
      <c r="Z211" s="88"/>
      <c r="AA211" s="88"/>
      <c r="AB211" s="88"/>
      <c r="AC211" s="88"/>
      <c r="AE211">
        <f t="shared" si="51"/>
        <v>53</v>
      </c>
      <c r="AF211" s="113">
        <f t="shared" si="43"/>
        <v>135.17868263592746</v>
      </c>
      <c r="AG211" s="124">
        <f t="shared" si="44"/>
        <v>0.11175682368719467</v>
      </c>
      <c r="AH211" s="124">
        <f t="shared" si="45"/>
        <v>135.17868263592746</v>
      </c>
      <c r="AI211" s="124">
        <f t="shared" si="36"/>
        <v>3.2727365049186812</v>
      </c>
      <c r="AJ211" s="124">
        <f t="shared" si="37"/>
        <v>0.56565816134396951</v>
      </c>
      <c r="AK211" s="124">
        <f t="shared" si="38"/>
        <v>0.42196402034585395</v>
      </c>
      <c r="AL211" s="124">
        <f t="shared" si="39"/>
        <v>0.8980423010586035</v>
      </c>
      <c r="AM211" s="124">
        <f t="shared" si="40"/>
        <v>0.44857257795135025</v>
      </c>
      <c r="AN211" s="124">
        <f t="shared" si="41"/>
        <v>1.0075785998939457</v>
      </c>
      <c r="AO211" s="3">
        <f t="shared" si="32"/>
        <v>140.78565620154592</v>
      </c>
    </row>
    <row r="212" spans="1:41" ht="14">
      <c r="A212">
        <f t="shared" si="49"/>
        <v>54</v>
      </c>
      <c r="B212" s="19">
        <f t="shared" si="49"/>
        <v>134</v>
      </c>
      <c r="C212" s="123">
        <f t="shared" si="42"/>
        <v>135.78352180925319</v>
      </c>
      <c r="D212" s="125">
        <f>(($C$39*$C$118*$D$14)*('Product half-life and C flows'!B113/100))</f>
        <v>0.10794997600471004</v>
      </c>
      <c r="E212" s="26">
        <f t="shared" si="48"/>
        <v>135.78352180925319</v>
      </c>
      <c r="F212" s="54">
        <f t="shared" si="50"/>
        <v>3.2727365049186812</v>
      </c>
      <c r="G212" s="54">
        <f t="shared" si="50"/>
        <v>0.56565816134396951</v>
      </c>
      <c r="H212" s="125">
        <f>(H$118)*('Product half-life and C flows'!L113/100)</f>
        <v>0.41551419604208689</v>
      </c>
      <c r="I212" s="125">
        <f>(($C$39*$C$118*0.28)*H$41)*('Product half-life and C flows'!N113/100)</f>
        <v>0.90234648381065075</v>
      </c>
      <c r="J212" s="125">
        <f>(($C$39*$C$118*0.28)*H$41)*(+'Product half-life and C flows'!P113/100)</f>
        <v>0.45072251938593932</v>
      </c>
      <c r="K212" s="54">
        <f t="shared" si="47"/>
        <v>1.0075785998939457</v>
      </c>
      <c r="L212" s="26"/>
      <c r="M212" s="83"/>
      <c r="N212" s="83"/>
      <c r="O212" s="83"/>
      <c r="P212" s="83"/>
      <c r="Q212" s="83"/>
      <c r="R212" s="83"/>
      <c r="S212" s="83"/>
      <c r="T212" s="83"/>
      <c r="U212" s="3"/>
      <c r="V212" s="88"/>
      <c r="W212" s="88"/>
      <c r="X212" s="88"/>
      <c r="Y212" s="88"/>
      <c r="Z212" s="88"/>
      <c r="AA212" s="88"/>
      <c r="AB212" s="88"/>
      <c r="AC212" s="88"/>
      <c r="AE212">
        <f t="shared" si="51"/>
        <v>54</v>
      </c>
      <c r="AF212" s="113">
        <f t="shared" si="43"/>
        <v>135.78352180925319</v>
      </c>
      <c r="AG212" s="124">
        <f t="shared" si="44"/>
        <v>0.10794997600471004</v>
      </c>
      <c r="AH212" s="124">
        <f t="shared" si="45"/>
        <v>135.78352180925319</v>
      </c>
      <c r="AI212" s="124">
        <f t="shared" si="36"/>
        <v>3.2727365049186812</v>
      </c>
      <c r="AJ212" s="124">
        <f t="shared" si="37"/>
        <v>0.56565816134396951</v>
      </c>
      <c r="AK212" s="124">
        <f t="shared" si="38"/>
        <v>0.41551419604208689</v>
      </c>
      <c r="AL212" s="124">
        <f t="shared" si="39"/>
        <v>0.90234648381065075</v>
      </c>
      <c r="AM212" s="124">
        <f t="shared" si="40"/>
        <v>0.45072251938593932</v>
      </c>
      <c r="AN212" s="124">
        <f t="shared" si="41"/>
        <v>1.0075785998939457</v>
      </c>
      <c r="AO212" s="3">
        <f t="shared" si="32"/>
        <v>141.39049967475452</v>
      </c>
    </row>
    <row r="213" spans="1:41" ht="14">
      <c r="A213">
        <f t="shared" ref="A213:B228" si="52">A212+1</f>
        <v>55</v>
      </c>
      <c r="B213" s="19">
        <f t="shared" si="52"/>
        <v>135</v>
      </c>
      <c r="C213" s="123">
        <f t="shared" si="42"/>
        <v>136.37813268900979</v>
      </c>
      <c r="D213" s="125">
        <f>(($C$39*$C$118*$D$14)*('Product half-life and C flows'!B114/100))</f>
        <v>0.10427280352951478</v>
      </c>
      <c r="E213" s="26">
        <f t="shared" si="48"/>
        <v>136.37813268900979</v>
      </c>
      <c r="F213" s="54">
        <f t="shared" si="50"/>
        <v>3.2727365049186812</v>
      </c>
      <c r="G213" s="54">
        <f t="shared" si="50"/>
        <v>0.56565816134396951</v>
      </c>
      <c r="H213" s="125">
        <f>(H$118)*('Product half-life and C flows'!L114/100)</f>
        <v>0.40916295889633242</v>
      </c>
      <c r="I213" s="125">
        <f>(($C$39*$C$118*0.28)*H$41)*('Product half-life and C flows'!N114/100)</f>
        <v>0.90658487606591753</v>
      </c>
      <c r="J213" s="125">
        <f>(($C$39*$C$118*0.28)*H$41)*(+'Product half-life and C flows'!P114/100)</f>
        <v>0.45283959843452415</v>
      </c>
      <c r="K213" s="54">
        <f t="shared" si="47"/>
        <v>1.0075785998939457</v>
      </c>
      <c r="L213" s="26"/>
      <c r="M213" s="83"/>
      <c r="N213" s="83"/>
      <c r="O213" s="83"/>
      <c r="P213" s="83"/>
      <c r="Q213" s="83"/>
      <c r="R213" s="83"/>
      <c r="S213" s="83"/>
      <c r="T213" s="83"/>
      <c r="U213" s="3"/>
      <c r="V213" s="88"/>
      <c r="W213" s="88"/>
      <c r="X213" s="88"/>
      <c r="Y213" s="88"/>
      <c r="Z213" s="88"/>
      <c r="AA213" s="88"/>
      <c r="AB213" s="88"/>
      <c r="AC213" s="88"/>
      <c r="AE213">
        <f t="shared" si="51"/>
        <v>55</v>
      </c>
      <c r="AF213" s="113">
        <f t="shared" si="43"/>
        <v>136.37813268900979</v>
      </c>
      <c r="AG213" s="124">
        <f t="shared" si="44"/>
        <v>0.10427280352951478</v>
      </c>
      <c r="AH213" s="124">
        <f t="shared" si="45"/>
        <v>136.37813268900979</v>
      </c>
      <c r="AI213" s="124">
        <f t="shared" si="36"/>
        <v>3.2727365049186812</v>
      </c>
      <c r="AJ213" s="124">
        <f t="shared" si="37"/>
        <v>0.56565816134396951</v>
      </c>
      <c r="AK213" s="124">
        <f t="shared" si="38"/>
        <v>0.40916295889633242</v>
      </c>
      <c r="AL213" s="124">
        <f t="shared" si="39"/>
        <v>0.90658487606591753</v>
      </c>
      <c r="AM213" s="124">
        <f t="shared" si="40"/>
        <v>0.45283959843452415</v>
      </c>
      <c r="AN213" s="124">
        <f t="shared" si="41"/>
        <v>1.0075785998939457</v>
      </c>
      <c r="AO213" s="3">
        <f t="shared" si="32"/>
        <v>141.98511478866922</v>
      </c>
    </row>
    <row r="214" spans="1:41" ht="14">
      <c r="A214">
        <f t="shared" si="52"/>
        <v>56</v>
      </c>
      <c r="B214" s="19">
        <f t="shared" si="52"/>
        <v>136</v>
      </c>
      <c r="C214" s="123">
        <f t="shared" si="42"/>
        <v>136.96265170494351</v>
      </c>
      <c r="D214" s="125">
        <f>(($C$39*$C$118*$D$14)*('Product half-life and C flows'!B115/100))</f>
        <v>0.10072088904800119</v>
      </c>
      <c r="E214" s="26">
        <f t="shared" si="48"/>
        <v>136.96265170494351</v>
      </c>
      <c r="F214" s="54">
        <f t="shared" si="50"/>
        <v>3.2727365049186812</v>
      </c>
      <c r="G214" s="54">
        <f t="shared" si="50"/>
        <v>0.56565816134396951</v>
      </c>
      <c r="H214" s="125">
        <f>(H$118)*('Product half-life and C flows'!L115/100)</f>
        <v>0.40290880197952289</v>
      </c>
      <c r="I214" s="125">
        <f>(($C$39*$C$118*0.28)*H$41)*('Product half-life and C flows'!N115/100)</f>
        <v>0.9107584834484016</v>
      </c>
      <c r="J214" s="125">
        <f>(($C$39*$C$118*0.28)*H$41)*(+'Product half-life and C flows'!P115/100)</f>
        <v>0.45492431740679395</v>
      </c>
      <c r="K214" s="54">
        <f t="shared" si="47"/>
        <v>1.0075785998939457</v>
      </c>
      <c r="L214" s="26"/>
      <c r="M214" s="83"/>
      <c r="N214" s="83"/>
      <c r="O214" s="83"/>
      <c r="P214" s="83"/>
      <c r="Q214" s="83"/>
      <c r="R214" s="83"/>
      <c r="S214" s="83"/>
      <c r="T214" s="83"/>
      <c r="U214" s="3"/>
      <c r="V214" s="88"/>
      <c r="W214" s="88"/>
      <c r="X214" s="88"/>
      <c r="Y214" s="88"/>
      <c r="Z214" s="88"/>
      <c r="AA214" s="88"/>
      <c r="AB214" s="88"/>
      <c r="AC214" s="88"/>
      <c r="AE214">
        <f t="shared" si="51"/>
        <v>56</v>
      </c>
      <c r="AF214" s="113">
        <f t="shared" si="43"/>
        <v>136.96265170494351</v>
      </c>
      <c r="AG214" s="124">
        <f t="shared" si="44"/>
        <v>0.10072088904800119</v>
      </c>
      <c r="AH214" s="124">
        <f t="shared" si="45"/>
        <v>136.96265170494351</v>
      </c>
      <c r="AI214" s="124">
        <f t="shared" ref="AI214:AI245" si="53">F214+O214+X214</f>
        <v>3.2727365049186812</v>
      </c>
      <c r="AJ214" s="124">
        <f t="shared" ref="AJ214:AJ245" si="54">G214+P214+Y214</f>
        <v>0.56565816134396951</v>
      </c>
      <c r="AK214" s="124">
        <f t="shared" ref="AK214:AK245" si="55">H214+Q214+Z214</f>
        <v>0.40290880197952289</v>
      </c>
      <c r="AL214" s="124">
        <f t="shared" ref="AL214:AL245" si="56">I214+R214+AA214</f>
        <v>0.9107584834484016</v>
      </c>
      <c r="AM214" s="124">
        <f t="shared" ref="AM214:AM245" si="57">J214+S214+AB214</f>
        <v>0.45492431740679395</v>
      </c>
      <c r="AN214" s="124">
        <f t="shared" ref="AN214:AN245" si="58">K214+T214+AC214</f>
        <v>1.0075785998939457</v>
      </c>
      <c r="AO214" s="3">
        <f t="shared" si="32"/>
        <v>142.56963797404089</v>
      </c>
    </row>
    <row r="215" spans="1:41" ht="14">
      <c r="A215">
        <f t="shared" si="52"/>
        <v>57</v>
      </c>
      <c r="B215" s="19">
        <f t="shared" si="52"/>
        <v>137</v>
      </c>
      <c r="C215" s="123">
        <f t="shared" si="42"/>
        <v>137.5372150346831</v>
      </c>
      <c r="D215" s="125">
        <f>(($C$39*$C$118*$D$14)*('Product half-life and C flows'!B116/100))</f>
        <v>9.728996581307299E-2</v>
      </c>
      <c r="E215" s="26">
        <f t="shared" si="48"/>
        <v>137.5372150346831</v>
      </c>
      <c r="F215" s="54">
        <f t="shared" si="50"/>
        <v>3.2727365049186812</v>
      </c>
      <c r="G215" s="54">
        <f t="shared" si="50"/>
        <v>0.56565816134396951</v>
      </c>
      <c r="H215" s="125">
        <f>(H$118)*('Product half-life and C flows'!L116/100)</f>
        <v>0.3967502413963736</v>
      </c>
      <c r="I215" s="125">
        <f>(($C$39*$C$118*0.28)*H$41)*('Product half-life and C flows'!N116/100)</f>
        <v>0.91486829621088983</v>
      </c>
      <c r="J215" s="125">
        <f>(($C$39*$C$118*0.28)*H$41)*(+'Product half-life and C flows'!P116/100)</f>
        <v>0.4569771709345104</v>
      </c>
      <c r="K215" s="54">
        <f t="shared" si="47"/>
        <v>1.0075785998939457</v>
      </c>
      <c r="L215" s="26"/>
      <c r="M215" s="83"/>
      <c r="N215" s="83"/>
      <c r="O215" s="83"/>
      <c r="P215" s="83"/>
      <c r="Q215" s="83"/>
      <c r="R215" s="83"/>
      <c r="S215" s="83"/>
      <c r="T215" s="83"/>
      <c r="U215" s="3"/>
      <c r="V215" s="88"/>
      <c r="W215" s="88"/>
      <c r="X215" s="88"/>
      <c r="Y215" s="88"/>
      <c r="Z215" s="88"/>
      <c r="AA215" s="88"/>
      <c r="AB215" s="88"/>
      <c r="AC215" s="88"/>
      <c r="AE215">
        <f t="shared" si="51"/>
        <v>57</v>
      </c>
      <c r="AF215" s="113">
        <f t="shared" ref="AF215:AF246" si="59">E215</f>
        <v>137.5372150346831</v>
      </c>
      <c r="AG215" s="124">
        <f t="shared" si="44"/>
        <v>9.728996581307299E-2</v>
      </c>
      <c r="AH215" s="124">
        <f t="shared" si="45"/>
        <v>137.5372150346831</v>
      </c>
      <c r="AI215" s="124">
        <f t="shared" si="53"/>
        <v>3.2727365049186812</v>
      </c>
      <c r="AJ215" s="124">
        <f t="shared" si="54"/>
        <v>0.56565816134396951</v>
      </c>
      <c r="AK215" s="124">
        <f t="shared" si="55"/>
        <v>0.3967502413963736</v>
      </c>
      <c r="AL215" s="124">
        <f t="shared" si="56"/>
        <v>0.91486829621088983</v>
      </c>
      <c r="AM215" s="124">
        <f t="shared" si="57"/>
        <v>0.4569771709345104</v>
      </c>
      <c r="AN215" s="124">
        <f t="shared" si="58"/>
        <v>1.0075785998939457</v>
      </c>
      <c r="AO215" s="3">
        <f t="shared" si="32"/>
        <v>143.14420540948754</v>
      </c>
    </row>
    <row r="216" spans="1:41" ht="14">
      <c r="A216">
        <f t="shared" si="52"/>
        <v>58</v>
      </c>
      <c r="B216" s="19">
        <f t="shared" si="52"/>
        <v>138</v>
      </c>
      <c r="C216" s="123">
        <f t="shared" si="42"/>
        <v>138.10195852099525</v>
      </c>
      <c r="D216" s="125">
        <f>(($C$39*$C$118*$D$14)*('Product half-life and C flows'!B117/100))</f>
        <v>9.39759124187034E-2</v>
      </c>
      <c r="E216" s="26">
        <f t="shared" si="48"/>
        <v>138.10195852099525</v>
      </c>
      <c r="F216" s="54">
        <f t="shared" ref="F216:G231" si="60">F215</f>
        <v>3.2727365049186812</v>
      </c>
      <c r="G216" s="54">
        <f t="shared" si="60"/>
        <v>0.56565816134396951</v>
      </c>
      <c r="H216" s="125">
        <f>(H$118)*('Product half-life and C flows'!L117/100)</f>
        <v>0.39068581593330598</v>
      </c>
      <c r="I216" s="125">
        <f>(($C$39*$C$118*0.28)*H$41)*('Product half-life and C flows'!N117/100)</f>
        <v>0.91891528946991041</v>
      </c>
      <c r="J216" s="125">
        <f>(($C$39*$C$118*0.28)*H$41)*(+'Product half-life and C flows'!P117/100)</f>
        <v>0.45899864608886631</v>
      </c>
      <c r="K216" s="54">
        <f t="shared" si="47"/>
        <v>1.0075785998939457</v>
      </c>
      <c r="L216" s="26"/>
      <c r="M216" s="83"/>
      <c r="N216" s="83"/>
      <c r="O216" s="83"/>
      <c r="P216" s="83"/>
      <c r="Q216" s="83"/>
      <c r="R216" s="83"/>
      <c r="S216" s="83"/>
      <c r="T216" s="83"/>
      <c r="U216" s="3"/>
      <c r="V216" s="88"/>
      <c r="W216" s="88"/>
      <c r="X216" s="88"/>
      <c r="Y216" s="88"/>
      <c r="Z216" s="88"/>
      <c r="AA216" s="88"/>
      <c r="AB216" s="88"/>
      <c r="AC216" s="88"/>
      <c r="AE216">
        <f t="shared" si="51"/>
        <v>58</v>
      </c>
      <c r="AF216" s="113">
        <f t="shared" si="59"/>
        <v>138.10195852099525</v>
      </c>
      <c r="AG216" s="124">
        <f t="shared" si="44"/>
        <v>9.39759124187034E-2</v>
      </c>
      <c r="AH216" s="124">
        <f t="shared" si="45"/>
        <v>138.10195852099525</v>
      </c>
      <c r="AI216" s="124">
        <f t="shared" si="53"/>
        <v>3.2727365049186812</v>
      </c>
      <c r="AJ216" s="124">
        <f t="shared" si="54"/>
        <v>0.56565816134396951</v>
      </c>
      <c r="AK216" s="124">
        <f t="shared" si="55"/>
        <v>0.39068581593330598</v>
      </c>
      <c r="AL216" s="124">
        <f t="shared" si="56"/>
        <v>0.91891528946991041</v>
      </c>
      <c r="AM216" s="124">
        <f t="shared" si="57"/>
        <v>0.45899864608886631</v>
      </c>
      <c r="AN216" s="124">
        <f t="shared" si="58"/>
        <v>1.0075785998939457</v>
      </c>
      <c r="AO216" s="3">
        <f t="shared" si="32"/>
        <v>143.70895293874997</v>
      </c>
    </row>
    <row r="217" spans="1:41" ht="14">
      <c r="A217">
        <f t="shared" si="52"/>
        <v>59</v>
      </c>
      <c r="B217" s="19">
        <f t="shared" si="52"/>
        <v>139</v>
      </c>
      <c r="C217" s="123">
        <f t="shared" si="42"/>
        <v>138.65701759363526</v>
      </c>
      <c r="D217" s="125">
        <f>(($C$39*$C$118*$D$14)*('Product half-life and C flows'!B118/100))</f>
        <v>9.077474784908518E-2</v>
      </c>
      <c r="E217" s="26">
        <f t="shared" si="48"/>
        <v>138.65701759363526</v>
      </c>
      <c r="F217" s="54">
        <f t="shared" si="60"/>
        <v>3.2727365049186812</v>
      </c>
      <c r="G217" s="54">
        <f t="shared" si="60"/>
        <v>0.56565816134396951</v>
      </c>
      <c r="H217" s="125">
        <f>(H$118)*('Product half-life and C flows'!L118/100)</f>
        <v>0.384714086711752</v>
      </c>
      <c r="I217" s="125">
        <f>(($C$39*$C$118*0.28)*H$41)*('Product half-life and C flows'!N118/100)</f>
        <v>0.92290042343709422</v>
      </c>
      <c r="J217" s="125">
        <f>(($C$39*$C$118*0.28)*H$41)*(+'Product half-life and C flows'!P118/100)</f>
        <v>0.46098922249605095</v>
      </c>
      <c r="K217" s="54">
        <f t="shared" si="47"/>
        <v>1.0075785998939457</v>
      </c>
      <c r="L217" s="26"/>
      <c r="M217" s="83"/>
      <c r="N217" s="83"/>
      <c r="O217" s="83"/>
      <c r="P217" s="83"/>
      <c r="Q217" s="83"/>
      <c r="R217" s="83"/>
      <c r="S217" s="83"/>
      <c r="T217" s="83"/>
      <c r="U217" s="3"/>
      <c r="V217" s="88"/>
      <c r="W217" s="88"/>
      <c r="X217" s="88"/>
      <c r="Y217" s="88"/>
      <c r="Z217" s="88"/>
      <c r="AA217" s="88"/>
      <c r="AB217" s="88"/>
      <c r="AC217" s="88"/>
      <c r="AE217">
        <f t="shared" si="51"/>
        <v>59</v>
      </c>
      <c r="AF217" s="113">
        <f t="shared" si="59"/>
        <v>138.65701759363526</v>
      </c>
      <c r="AG217" s="124">
        <f t="shared" si="44"/>
        <v>9.077474784908518E-2</v>
      </c>
      <c r="AH217" s="124">
        <f t="shared" si="45"/>
        <v>138.65701759363526</v>
      </c>
      <c r="AI217" s="124">
        <f t="shared" si="53"/>
        <v>3.2727365049186812</v>
      </c>
      <c r="AJ217" s="124">
        <f t="shared" si="54"/>
        <v>0.56565816134396951</v>
      </c>
      <c r="AK217" s="124">
        <f t="shared" si="55"/>
        <v>0.384714086711752</v>
      </c>
      <c r="AL217" s="124">
        <f t="shared" si="56"/>
        <v>0.92290042343709422</v>
      </c>
      <c r="AM217" s="124">
        <f t="shared" si="57"/>
        <v>0.46098922249605095</v>
      </c>
      <c r="AN217" s="124">
        <f t="shared" si="58"/>
        <v>1.0075785998939457</v>
      </c>
      <c r="AO217" s="3">
        <f t="shared" si="32"/>
        <v>144.26401599254277</v>
      </c>
    </row>
    <row r="218" spans="1:41" ht="14">
      <c r="A218">
        <f t="shared" si="52"/>
        <v>60</v>
      </c>
      <c r="B218" s="19">
        <f t="shared" si="52"/>
        <v>140</v>
      </c>
      <c r="C218" s="123">
        <f t="shared" si="42"/>
        <v>139.20252719561401</v>
      </c>
      <c r="D218" s="125">
        <f>(($C$39*$C$118*$D$14)*('Product half-life and C flows'!B119/100))</f>
        <v>8.7682626696423849E-2</v>
      </c>
      <c r="E218" s="26">
        <f t="shared" si="48"/>
        <v>139.20252719561401</v>
      </c>
      <c r="F218" s="54">
        <f t="shared" si="60"/>
        <v>3.2727365049186812</v>
      </c>
      <c r="G218" s="54">
        <f t="shared" si="60"/>
        <v>0.56565816134396951</v>
      </c>
      <c r="H218" s="125">
        <f>(H$118)*('Product half-life and C flows'!L119/100)</f>
        <v>0.37883363684675825</v>
      </c>
      <c r="I218" s="125">
        <f>(($C$39*$C$118*0.28)*H$41)*('Product half-life and C flows'!N119/100)</f>
        <v>0.9268246436469999</v>
      </c>
      <c r="J218" s="125">
        <f>(($C$39*$C$118*0.28)*H$41)*(+'Product half-life and C flows'!P119/100)</f>
        <v>0.46294937245104889</v>
      </c>
      <c r="K218" s="54">
        <f t="shared" si="47"/>
        <v>1.0075785998939457</v>
      </c>
      <c r="L218" s="26"/>
      <c r="M218" s="83"/>
      <c r="N218" s="83"/>
      <c r="O218" s="83"/>
      <c r="P218" s="83"/>
      <c r="Q218" s="83"/>
      <c r="R218" s="83"/>
      <c r="S218" s="83"/>
      <c r="T218" s="83"/>
      <c r="U218" s="3"/>
      <c r="V218" s="88"/>
      <c r="W218" s="88"/>
      <c r="X218" s="88"/>
      <c r="Y218" s="88"/>
      <c r="Z218" s="88"/>
      <c r="AA218" s="88"/>
      <c r="AB218" s="88"/>
      <c r="AC218" s="88"/>
      <c r="AE218">
        <f t="shared" si="51"/>
        <v>60</v>
      </c>
      <c r="AF218" s="113">
        <f t="shared" si="59"/>
        <v>139.20252719561401</v>
      </c>
      <c r="AG218" s="124">
        <f t="shared" si="44"/>
        <v>8.7682626696423849E-2</v>
      </c>
      <c r="AH218" s="124">
        <f t="shared" si="45"/>
        <v>139.20252719561401</v>
      </c>
      <c r="AI218" s="124">
        <f t="shared" si="53"/>
        <v>3.2727365049186812</v>
      </c>
      <c r="AJ218" s="124">
        <f t="shared" si="54"/>
        <v>0.56565816134396951</v>
      </c>
      <c r="AK218" s="124">
        <f t="shared" si="55"/>
        <v>0.37883363684675825</v>
      </c>
      <c r="AL218" s="124">
        <f t="shared" si="56"/>
        <v>0.9268246436469999</v>
      </c>
      <c r="AM218" s="124">
        <f t="shared" si="57"/>
        <v>0.46294937245104889</v>
      </c>
      <c r="AN218" s="124">
        <f t="shared" si="58"/>
        <v>1.0075785998939457</v>
      </c>
      <c r="AO218" s="3">
        <f t="shared" si="32"/>
        <v>144.80952951482146</v>
      </c>
    </row>
    <row r="219" spans="1:41" ht="14">
      <c r="A219">
        <f t="shared" si="52"/>
        <v>61</v>
      </c>
      <c r="B219" s="19">
        <f t="shared" si="52"/>
        <v>141</v>
      </c>
      <c r="C219" s="123">
        <f t="shared" si="42"/>
        <v>139.73862171370757</v>
      </c>
      <c r="D219" s="125">
        <f>(($C$39*$C$118*$D$14)*('Product half-life and C flows'!B120/100))</f>
        <v>8.4695834541631349E-2</v>
      </c>
      <c r="E219" s="26">
        <f t="shared" si="48"/>
        <v>139.73862171370757</v>
      </c>
      <c r="F219" s="54">
        <f t="shared" si="60"/>
        <v>3.2727365049186812</v>
      </c>
      <c r="G219" s="54">
        <f t="shared" si="60"/>
        <v>0.56565816134396951</v>
      </c>
      <c r="H219" s="125">
        <f>(H$118)*('Product half-life and C flows'!L120/100)</f>
        <v>0.37304307111080764</v>
      </c>
      <c r="I219" s="125">
        <f>(($C$39*$C$118*0.28)*H$41)*('Product half-life and C flows'!N120/100)</f>
        <v>0.93068888118145765</v>
      </c>
      <c r="J219" s="125">
        <f>(($C$39*$C$118*0.28)*H$41)*(+'Product half-life and C flows'!P120/100)</f>
        <v>0.46487956102969907</v>
      </c>
      <c r="K219" s="54">
        <f t="shared" si="47"/>
        <v>1.0075785998939457</v>
      </c>
      <c r="L219" s="26"/>
      <c r="M219" s="83"/>
      <c r="N219" s="83"/>
      <c r="O219" s="83"/>
      <c r="P219" s="83"/>
      <c r="Q219" s="83"/>
      <c r="R219" s="83"/>
      <c r="S219" s="83"/>
      <c r="T219" s="83"/>
      <c r="U219" s="3"/>
      <c r="V219" s="88"/>
      <c r="W219" s="88"/>
      <c r="X219" s="88"/>
      <c r="Y219" s="88"/>
      <c r="Z219" s="88"/>
      <c r="AA219" s="88"/>
      <c r="AB219" s="88"/>
      <c r="AC219" s="88"/>
      <c r="AE219">
        <f t="shared" si="51"/>
        <v>61</v>
      </c>
      <c r="AF219" s="113">
        <f t="shared" si="59"/>
        <v>139.73862171370757</v>
      </c>
      <c r="AG219" s="124">
        <f t="shared" si="44"/>
        <v>8.4695834541631349E-2</v>
      </c>
      <c r="AH219" s="124">
        <f t="shared" si="45"/>
        <v>139.73862171370757</v>
      </c>
      <c r="AI219" s="124">
        <f t="shared" si="53"/>
        <v>3.2727365049186812</v>
      </c>
      <c r="AJ219" s="124">
        <f t="shared" si="54"/>
        <v>0.56565816134396951</v>
      </c>
      <c r="AK219" s="124">
        <f t="shared" si="55"/>
        <v>0.37304307111080764</v>
      </c>
      <c r="AL219" s="124">
        <f t="shared" si="56"/>
        <v>0.93068888118145765</v>
      </c>
      <c r="AM219" s="124">
        <f t="shared" si="57"/>
        <v>0.46487956102969907</v>
      </c>
      <c r="AN219" s="124">
        <f t="shared" si="58"/>
        <v>1.0075785998939457</v>
      </c>
      <c r="AO219" s="3">
        <f t="shared" si="32"/>
        <v>145.34562789329217</v>
      </c>
    </row>
    <row r="220" spans="1:41" ht="14">
      <c r="A220">
        <f t="shared" si="52"/>
        <v>62</v>
      </c>
      <c r="B220" s="19">
        <f t="shared" si="52"/>
        <v>142</v>
      </c>
      <c r="C220" s="123">
        <f t="shared" si="42"/>
        <v>140.26543491304204</v>
      </c>
      <c r="D220" s="125">
        <f>(($C$39*$C$118*$D$14)*('Product half-life and C flows'!B121/100))</f>
        <v>8.1810783492369518E-2</v>
      </c>
      <c r="E220" s="26">
        <f t="shared" si="48"/>
        <v>140.26543491304204</v>
      </c>
      <c r="F220" s="54">
        <f t="shared" si="60"/>
        <v>3.2727365049186812</v>
      </c>
      <c r="G220" s="54">
        <f t="shared" si="60"/>
        <v>0.56565816134396951</v>
      </c>
      <c r="H220" s="125">
        <f>(H$118)*('Product half-life and C flows'!L121/100)</f>
        <v>0.36734101560278037</v>
      </c>
      <c r="I220" s="125">
        <f>(($C$39*$C$118*0.28)*H$41)*('Product half-life and C flows'!N121/100)</f>
        <v>0.93449405289048115</v>
      </c>
      <c r="J220" s="125">
        <f>(($C$39*$C$118*0.28)*H$41)*(+'Product half-life and C flows'!P121/100)</f>
        <v>0.4667802461990414</v>
      </c>
      <c r="K220" s="54">
        <f t="shared" si="47"/>
        <v>1.0075785998939457</v>
      </c>
      <c r="L220" s="26"/>
      <c r="M220" s="83"/>
      <c r="N220" s="83"/>
      <c r="O220" s="83"/>
      <c r="P220" s="83"/>
      <c r="Q220" s="83"/>
      <c r="R220" s="83"/>
      <c r="S220" s="83"/>
      <c r="T220" s="83"/>
      <c r="U220" s="3"/>
      <c r="V220" s="88"/>
      <c r="W220" s="88"/>
      <c r="X220" s="88"/>
      <c r="Y220" s="88"/>
      <c r="Z220" s="88"/>
      <c r="AA220" s="88"/>
      <c r="AB220" s="88"/>
      <c r="AC220" s="88"/>
      <c r="AE220">
        <f t="shared" si="51"/>
        <v>62</v>
      </c>
      <c r="AF220" s="113">
        <f t="shared" si="59"/>
        <v>140.26543491304204</v>
      </c>
      <c r="AG220" s="124">
        <f t="shared" si="44"/>
        <v>8.1810783492369518E-2</v>
      </c>
      <c r="AH220" s="124">
        <f t="shared" si="45"/>
        <v>140.26543491304204</v>
      </c>
      <c r="AI220" s="124">
        <f t="shared" si="53"/>
        <v>3.2727365049186812</v>
      </c>
      <c r="AJ220" s="124">
        <f t="shared" si="54"/>
        <v>0.56565816134396951</v>
      </c>
      <c r="AK220" s="124">
        <f t="shared" si="55"/>
        <v>0.36734101560278037</v>
      </c>
      <c r="AL220" s="124">
        <f t="shared" si="56"/>
        <v>0.93449405289048115</v>
      </c>
      <c r="AM220" s="124">
        <f t="shared" si="57"/>
        <v>0.4667802461990414</v>
      </c>
      <c r="AN220" s="124">
        <f t="shared" si="58"/>
        <v>1.0075785998939457</v>
      </c>
      <c r="AO220" s="3">
        <f t="shared" si="32"/>
        <v>145.872444893997</v>
      </c>
    </row>
    <row r="221" spans="1:41" ht="14">
      <c r="A221">
        <f t="shared" si="52"/>
        <v>63</v>
      </c>
      <c r="B221" s="19">
        <f t="shared" si="52"/>
        <v>143</v>
      </c>
      <c r="C221" s="123">
        <f t="shared" si="42"/>
        <v>140.78309987558936</v>
      </c>
      <c r="D221" s="125">
        <f>(($C$39*$C$118*$D$14)*('Product half-life and C flows'!B122/100))</f>
        <v>7.9024007873084723E-2</v>
      </c>
      <c r="E221" s="26">
        <f t="shared" si="48"/>
        <v>140.78309987558936</v>
      </c>
      <c r="F221" s="54">
        <f t="shared" si="60"/>
        <v>3.2727365049186812</v>
      </c>
      <c r="G221" s="54">
        <f t="shared" si="60"/>
        <v>0.56565816134396951</v>
      </c>
      <c r="H221" s="125">
        <f>(H$118)*('Product half-life and C flows'!L122/100)</f>
        <v>0.36172611742197497</v>
      </c>
      <c r="I221" s="125">
        <f>(($C$39*$C$118*0.28)*H$41)*('Product half-life and C flows'!N122/100)</f>
        <v>0.93824106160980525</v>
      </c>
      <c r="J221" s="125">
        <f>(($C$39*$C$118*0.28)*H$41)*(+'Product half-life and C flows'!P122/100)</f>
        <v>0.46865187892597659</v>
      </c>
      <c r="K221" s="54">
        <f t="shared" si="47"/>
        <v>1.0075785998939457</v>
      </c>
      <c r="L221" s="26"/>
      <c r="M221" s="83"/>
      <c r="N221" s="83"/>
      <c r="O221" s="83"/>
      <c r="P221" s="83"/>
      <c r="Q221" s="83"/>
      <c r="R221" s="83"/>
      <c r="S221" s="83"/>
      <c r="T221" s="83"/>
      <c r="U221" s="3"/>
      <c r="V221" s="88"/>
      <c r="W221" s="88"/>
      <c r="X221" s="88"/>
      <c r="Y221" s="88"/>
      <c r="Z221" s="88"/>
      <c r="AA221" s="88"/>
      <c r="AB221" s="88"/>
      <c r="AC221" s="88"/>
      <c r="AE221">
        <f t="shared" si="51"/>
        <v>63</v>
      </c>
      <c r="AF221" s="113">
        <f t="shared" si="59"/>
        <v>140.78309987558936</v>
      </c>
      <c r="AG221" s="124">
        <f t="shared" si="44"/>
        <v>7.9024007873084723E-2</v>
      </c>
      <c r="AH221" s="124">
        <f t="shared" si="45"/>
        <v>140.78309987558936</v>
      </c>
      <c r="AI221" s="124">
        <f t="shared" si="53"/>
        <v>3.2727365049186812</v>
      </c>
      <c r="AJ221" s="124">
        <f t="shared" si="54"/>
        <v>0.56565816134396951</v>
      </c>
      <c r="AK221" s="124">
        <f t="shared" si="55"/>
        <v>0.36172611742197497</v>
      </c>
      <c r="AL221" s="124">
        <f t="shared" si="56"/>
        <v>0.93824106160980525</v>
      </c>
      <c r="AM221" s="124">
        <f t="shared" si="57"/>
        <v>0.46865187892597659</v>
      </c>
      <c r="AN221" s="124">
        <f t="shared" si="58"/>
        <v>1.0075785998939457</v>
      </c>
      <c r="AO221" s="3">
        <f t="shared" si="32"/>
        <v>146.39011359980975</v>
      </c>
    </row>
    <row r="222" spans="1:41" ht="14">
      <c r="A222">
        <f t="shared" si="52"/>
        <v>64</v>
      </c>
      <c r="B222" s="19">
        <f t="shared" si="52"/>
        <v>144</v>
      </c>
      <c r="C222" s="123">
        <f t="shared" si="42"/>
        <v>141.29174894241757</v>
      </c>
      <c r="D222" s="125">
        <f>(($C$39*$C$118*$D$14)*('Product half-life and C flows'!B123/100))</f>
        <v>7.6332160061855558E-2</v>
      </c>
      <c r="E222" s="26">
        <f t="shared" ref="E222:E253" si="61">B$8*(1-EXP(-B$9*$B222))^3</f>
        <v>141.29174894241757</v>
      </c>
      <c r="F222" s="54">
        <f t="shared" si="60"/>
        <v>3.2727365049186812</v>
      </c>
      <c r="G222" s="54">
        <f t="shared" si="60"/>
        <v>0.56565816134396951</v>
      </c>
      <c r="H222" s="125">
        <f>(H$118)*('Product half-life and C flows'!L123/100)</f>
        <v>0.35619704434711114</v>
      </c>
      <c r="I222" s="125">
        <f>(($C$39*$C$118*0.28)*H$41)*('Product half-life and C flows'!N123/100)</f>
        <v>0.94193079637509769</v>
      </c>
      <c r="J222" s="125">
        <f>(($C$39*$C$118*0.28)*H$41)*(+'Product half-life and C flows'!P123/100)</f>
        <v>0.47049490328426452</v>
      </c>
      <c r="K222" s="54">
        <f t="shared" si="47"/>
        <v>1.0075785998939457</v>
      </c>
      <c r="L222" s="26"/>
      <c r="M222" s="83"/>
      <c r="N222" s="83"/>
      <c r="O222" s="83"/>
      <c r="P222" s="83"/>
      <c r="Q222" s="83"/>
      <c r="R222" s="83"/>
      <c r="S222" s="83"/>
      <c r="T222" s="83"/>
      <c r="U222" s="3"/>
      <c r="V222" s="88"/>
      <c r="W222" s="88"/>
      <c r="X222" s="88"/>
      <c r="Y222" s="88"/>
      <c r="Z222" s="88"/>
      <c r="AA222" s="88"/>
      <c r="AB222" s="88"/>
      <c r="AC222" s="88"/>
      <c r="AE222">
        <f t="shared" si="51"/>
        <v>64</v>
      </c>
      <c r="AF222" s="113">
        <f t="shared" si="59"/>
        <v>141.29174894241757</v>
      </c>
      <c r="AG222" s="124">
        <f t="shared" si="44"/>
        <v>7.6332160061855558E-2</v>
      </c>
      <c r="AH222" s="124">
        <f t="shared" si="45"/>
        <v>141.29174894241757</v>
      </c>
      <c r="AI222" s="124">
        <f t="shared" si="53"/>
        <v>3.2727365049186812</v>
      </c>
      <c r="AJ222" s="124">
        <f t="shared" si="54"/>
        <v>0.56565816134396951</v>
      </c>
      <c r="AK222" s="124">
        <f t="shared" si="55"/>
        <v>0.35619704434711114</v>
      </c>
      <c r="AL222" s="124">
        <f t="shared" si="56"/>
        <v>0.94193079637509769</v>
      </c>
      <c r="AM222" s="124">
        <f t="shared" si="57"/>
        <v>0.47049490328426452</v>
      </c>
      <c r="AN222" s="124">
        <f t="shared" si="58"/>
        <v>1.0075785998939457</v>
      </c>
      <c r="AO222" s="3">
        <f t="shared" ref="AO222:AO285" si="62">SUM(AH222:AM222)</f>
        <v>146.89876635268669</v>
      </c>
    </row>
    <row r="223" spans="1:41" ht="14">
      <c r="A223">
        <f t="shared" si="52"/>
        <v>65</v>
      </c>
      <c r="B223" s="19">
        <f t="shared" si="52"/>
        <v>145</v>
      </c>
      <c r="C223" s="123">
        <f t="shared" si="42"/>
        <v>141.79151365954192</v>
      </c>
      <c r="D223" s="125">
        <f>(($C$39*$C$118*$D$14)*('Product half-life and C flows'!B124/100))</f>
        <v>7.3732006469052466E-2</v>
      </c>
      <c r="E223" s="26">
        <f t="shared" si="61"/>
        <v>141.79151365954192</v>
      </c>
      <c r="F223" s="54">
        <f t="shared" si="60"/>
        <v>3.2727365049186812</v>
      </c>
      <c r="G223" s="54">
        <f t="shared" si="60"/>
        <v>0.56565816134396951</v>
      </c>
      <c r="H223" s="125">
        <f>(H$118)*('Product half-life and C flows'!L124/100)</f>
        <v>0.3507524845202401</v>
      </c>
      <c r="I223" s="125">
        <f>(($C$39*$C$118*0.28)*H$41)*('Product half-life and C flows'!N124/100)</f>
        <v>0.94556413263289629</v>
      </c>
      <c r="J223" s="125">
        <f>(($C$39*$C$118*0.28)*H$41)*(+'Product half-life and C flows'!P124/100)</f>
        <v>0.47230975655988816</v>
      </c>
      <c r="K223" s="54">
        <f t="shared" si="47"/>
        <v>1.0075785998939457</v>
      </c>
      <c r="L223" s="26"/>
      <c r="M223" s="83"/>
      <c r="N223" s="83"/>
      <c r="O223" s="83"/>
      <c r="P223" s="83"/>
      <c r="Q223" s="83"/>
      <c r="R223" s="83"/>
      <c r="S223" s="83"/>
      <c r="T223" s="83"/>
      <c r="U223" s="3"/>
      <c r="V223" s="88"/>
      <c r="W223" s="88"/>
      <c r="X223" s="88"/>
      <c r="Y223" s="88"/>
      <c r="Z223" s="88"/>
      <c r="AA223" s="88"/>
      <c r="AB223" s="88"/>
      <c r="AC223" s="88"/>
      <c r="AE223">
        <f t="shared" si="51"/>
        <v>65</v>
      </c>
      <c r="AF223" s="113">
        <f t="shared" si="59"/>
        <v>141.79151365954192</v>
      </c>
      <c r="AG223" s="124">
        <f t="shared" si="44"/>
        <v>7.3732006469052466E-2</v>
      </c>
      <c r="AH223" s="124">
        <f t="shared" si="45"/>
        <v>141.79151365954192</v>
      </c>
      <c r="AI223" s="124">
        <f t="shared" si="53"/>
        <v>3.2727365049186812</v>
      </c>
      <c r="AJ223" s="124">
        <f t="shared" si="54"/>
        <v>0.56565816134396951</v>
      </c>
      <c r="AK223" s="124">
        <f t="shared" si="55"/>
        <v>0.3507524845202401</v>
      </c>
      <c r="AL223" s="124">
        <f t="shared" si="56"/>
        <v>0.94556413263289629</v>
      </c>
      <c r="AM223" s="124">
        <f t="shared" si="57"/>
        <v>0.47230975655988816</v>
      </c>
      <c r="AN223" s="124">
        <f t="shared" si="58"/>
        <v>1.0075785998939457</v>
      </c>
      <c r="AO223" s="3">
        <f t="shared" si="62"/>
        <v>147.3985346995176</v>
      </c>
    </row>
    <row r="224" spans="1:41" ht="14">
      <c r="A224">
        <f t="shared" si="52"/>
        <v>66</v>
      </c>
      <c r="B224" s="19">
        <f t="shared" si="52"/>
        <v>146</v>
      </c>
      <c r="C224" s="123">
        <f t="shared" si="42"/>
        <v>142.28252472722863</v>
      </c>
      <c r="D224" s="125">
        <f>(($C$39*$C$118*$D$14)*('Product half-life and C flows'!B125/100))</f>
        <v>7.1220423652979536E-2</v>
      </c>
      <c r="E224" s="26">
        <f t="shared" si="61"/>
        <v>142.28252472722863</v>
      </c>
      <c r="F224" s="54">
        <f t="shared" si="60"/>
        <v>3.2727365049186812</v>
      </c>
      <c r="G224" s="54">
        <f t="shared" si="60"/>
        <v>0.56565816134396951</v>
      </c>
      <c r="H224" s="125">
        <f>(H$118)*('Product half-life and C flows'!L125/100)</f>
        <v>0.34539114613548616</v>
      </c>
      <c r="I224" s="125">
        <f>(($C$39*$C$118*0.28)*H$41)*('Product half-life and C flows'!N125/100)</f>
        <v>0.94914193244832212</v>
      </c>
      <c r="J224" s="125">
        <f>(($C$39*$C$118*0.28)*H$41)*(+'Product half-life and C flows'!P125/100)</f>
        <v>0.47409686935480616</v>
      </c>
      <c r="K224" s="54">
        <f t="shared" si="47"/>
        <v>1.0075785998939457</v>
      </c>
      <c r="L224" s="26"/>
      <c r="M224" s="83"/>
      <c r="N224" s="83"/>
      <c r="O224" s="83"/>
      <c r="P224" s="83"/>
      <c r="Q224" s="83"/>
      <c r="R224" s="83"/>
      <c r="S224" s="83"/>
      <c r="T224" s="83"/>
      <c r="U224" s="3"/>
      <c r="V224" s="88"/>
      <c r="W224" s="88"/>
      <c r="X224" s="88"/>
      <c r="Y224" s="88"/>
      <c r="Z224" s="88"/>
      <c r="AA224" s="88"/>
      <c r="AB224" s="88"/>
      <c r="AC224" s="88"/>
      <c r="AE224">
        <f t="shared" si="51"/>
        <v>66</v>
      </c>
      <c r="AF224" s="113">
        <f t="shared" si="59"/>
        <v>142.28252472722863</v>
      </c>
      <c r="AG224" s="124">
        <f t="shared" si="44"/>
        <v>7.1220423652979536E-2</v>
      </c>
      <c r="AH224" s="124">
        <f t="shared" si="45"/>
        <v>142.28252472722863</v>
      </c>
      <c r="AI224" s="124">
        <f t="shared" si="53"/>
        <v>3.2727365049186812</v>
      </c>
      <c r="AJ224" s="124">
        <f t="shared" si="54"/>
        <v>0.56565816134396951</v>
      </c>
      <c r="AK224" s="124">
        <f t="shared" si="55"/>
        <v>0.34539114613548616</v>
      </c>
      <c r="AL224" s="124">
        <f t="shared" si="56"/>
        <v>0.94914193244832212</v>
      </c>
      <c r="AM224" s="124">
        <f t="shared" si="57"/>
        <v>0.47409686935480616</v>
      </c>
      <c r="AN224" s="124">
        <f t="shared" si="58"/>
        <v>1.0075785998939457</v>
      </c>
      <c r="AO224" s="3">
        <f t="shared" si="62"/>
        <v>147.8895493414299</v>
      </c>
    </row>
    <row r="225" spans="1:41" ht="14">
      <c r="A225">
        <f t="shared" si="52"/>
        <v>67</v>
      </c>
      <c r="B225" s="19">
        <f t="shared" si="52"/>
        <v>147</v>
      </c>
      <c r="C225" s="123">
        <f t="shared" si="42"/>
        <v>142.76491195260849</v>
      </c>
      <c r="D225" s="125">
        <f>(($C$39*$C$118*$D$14)*('Product half-life and C flows'!B126/100))</f>
        <v>6.8794394567831305E-2</v>
      </c>
      <c r="E225" s="26">
        <f t="shared" si="61"/>
        <v>142.76491195260849</v>
      </c>
      <c r="F225" s="54">
        <f t="shared" si="60"/>
        <v>3.2727365049186812</v>
      </c>
      <c r="G225" s="54">
        <f t="shared" si="60"/>
        <v>0.56565816134396951</v>
      </c>
      <c r="H225" s="125">
        <f>(H$118)*('Product half-life and C flows'!L126/100)</f>
        <v>0.34011175713254532</v>
      </c>
      <c r="I225" s="125">
        <f>(($C$39*$C$118*0.28)*H$41)*('Product half-life and C flows'!N126/100)</f>
        <v>0.95266504470961788</v>
      </c>
      <c r="J225" s="125">
        <f>(($C$39*$C$118*0.28)*H$41)*(+'Product half-life and C flows'!P126/100)</f>
        <v>0.47585666568911972</v>
      </c>
      <c r="K225" s="54">
        <f t="shared" si="47"/>
        <v>1.0075785998939457</v>
      </c>
      <c r="L225" s="26"/>
      <c r="M225" s="83"/>
      <c r="N225" s="83"/>
      <c r="O225" s="83"/>
      <c r="P225" s="83"/>
      <c r="Q225" s="83"/>
      <c r="R225" s="83"/>
      <c r="S225" s="83"/>
      <c r="T225" s="83"/>
      <c r="U225" s="3"/>
      <c r="V225" s="88"/>
      <c r="W225" s="88"/>
      <c r="X225" s="88"/>
      <c r="Y225" s="88"/>
      <c r="Z225" s="88"/>
      <c r="AA225" s="88"/>
      <c r="AB225" s="88"/>
      <c r="AC225" s="88"/>
      <c r="AE225">
        <f t="shared" si="51"/>
        <v>67</v>
      </c>
      <c r="AF225" s="113">
        <f t="shared" si="59"/>
        <v>142.76491195260849</v>
      </c>
      <c r="AG225" s="124">
        <f t="shared" si="44"/>
        <v>6.8794394567831305E-2</v>
      </c>
      <c r="AH225" s="124">
        <f t="shared" si="45"/>
        <v>142.76491195260849</v>
      </c>
      <c r="AI225" s="124">
        <f t="shared" si="53"/>
        <v>3.2727365049186812</v>
      </c>
      <c r="AJ225" s="124">
        <f t="shared" si="54"/>
        <v>0.56565816134396951</v>
      </c>
      <c r="AK225" s="124">
        <f t="shared" si="55"/>
        <v>0.34011175713254532</v>
      </c>
      <c r="AL225" s="124">
        <f t="shared" si="56"/>
        <v>0.95266504470961788</v>
      </c>
      <c r="AM225" s="124">
        <f t="shared" si="57"/>
        <v>0.47585666568911972</v>
      </c>
      <c r="AN225" s="124">
        <f t="shared" si="58"/>
        <v>1.0075785998939457</v>
      </c>
      <c r="AO225" s="3">
        <f t="shared" si="62"/>
        <v>148.37194008640242</v>
      </c>
    </row>
    <row r="226" spans="1:41" ht="14">
      <c r="A226">
        <f t="shared" si="52"/>
        <v>68</v>
      </c>
      <c r="B226" s="19">
        <f t="shared" si="52"/>
        <v>148</v>
      </c>
      <c r="C226" s="123">
        <f t="shared" si="42"/>
        <v>143.23880420546197</v>
      </c>
      <c r="D226" s="125">
        <f>(($C$39*$C$118*$D$14)*('Product half-life and C flows'!B127/100))</f>
        <v>6.6451004939458255E-2</v>
      </c>
      <c r="E226" s="26">
        <f t="shared" si="61"/>
        <v>143.23880420546197</v>
      </c>
      <c r="F226" s="54">
        <f t="shared" si="60"/>
        <v>3.2727365049186812</v>
      </c>
      <c r="G226" s="54">
        <f t="shared" si="60"/>
        <v>0.56565816134396951</v>
      </c>
      <c r="H226" s="125">
        <f>(H$118)*('Product half-life and C flows'!L127/100)</f>
        <v>0.33491306489486961</v>
      </c>
      <c r="I226" s="125">
        <f>(($C$39*$C$118*0.28)*H$41)*('Product half-life and C flows'!N127/100)</f>
        <v>0.95613430532956012</v>
      </c>
      <c r="J226" s="125">
        <f>(($C$39*$C$118*0.28)*H$41)*(+'Product half-life and C flows'!P127/100)</f>
        <v>0.47758956310167827</v>
      </c>
      <c r="K226" s="54">
        <f t="shared" si="47"/>
        <v>1.0075785998939457</v>
      </c>
      <c r="L226" s="26"/>
      <c r="M226" s="83"/>
      <c r="N226" s="83"/>
      <c r="O226" s="83"/>
      <c r="P226" s="83"/>
      <c r="Q226" s="83"/>
      <c r="R226" s="83"/>
      <c r="S226" s="83"/>
      <c r="T226" s="83"/>
      <c r="U226" s="3"/>
      <c r="V226" s="88"/>
      <c r="W226" s="88"/>
      <c r="X226" s="88"/>
      <c r="Y226" s="88"/>
      <c r="Z226" s="88"/>
      <c r="AA226" s="88"/>
      <c r="AB226" s="88"/>
      <c r="AC226" s="88"/>
      <c r="AE226">
        <f t="shared" si="51"/>
        <v>68</v>
      </c>
      <c r="AF226" s="113">
        <f t="shared" si="59"/>
        <v>143.23880420546197</v>
      </c>
      <c r="AG226" s="124">
        <f t="shared" si="44"/>
        <v>6.6451004939458255E-2</v>
      </c>
      <c r="AH226" s="124">
        <f t="shared" si="45"/>
        <v>143.23880420546197</v>
      </c>
      <c r="AI226" s="124">
        <f t="shared" si="53"/>
        <v>3.2727365049186812</v>
      </c>
      <c r="AJ226" s="124">
        <f t="shared" si="54"/>
        <v>0.56565816134396951</v>
      </c>
      <c r="AK226" s="124">
        <f t="shared" si="55"/>
        <v>0.33491306489486961</v>
      </c>
      <c r="AL226" s="124">
        <f t="shared" si="56"/>
        <v>0.95613430532956012</v>
      </c>
      <c r="AM226" s="124">
        <f t="shared" si="57"/>
        <v>0.47758956310167827</v>
      </c>
      <c r="AN226" s="124">
        <f t="shared" si="58"/>
        <v>1.0075785998939457</v>
      </c>
      <c r="AO226" s="3">
        <f t="shared" si="62"/>
        <v>148.84583580505071</v>
      </c>
    </row>
    <row r="227" spans="1:41" ht="14">
      <c r="A227">
        <f t="shared" si="52"/>
        <v>69</v>
      </c>
      <c r="B227" s="19">
        <f t="shared" si="52"/>
        <v>149</v>
      </c>
      <c r="C227" s="123">
        <f t="shared" si="42"/>
        <v>143.70432937704084</v>
      </c>
      <c r="D227" s="125">
        <f>(($C$39*$C$118*$D$14)*('Product half-life and C flows'!B128/100))</f>
        <v>6.4187439764587087E-2</v>
      </c>
      <c r="E227" s="26">
        <f t="shared" si="61"/>
        <v>143.70432937704084</v>
      </c>
      <c r="F227" s="54">
        <f t="shared" si="60"/>
        <v>3.2727365049186812</v>
      </c>
      <c r="G227" s="54">
        <f t="shared" si="60"/>
        <v>0.56565816134396951</v>
      </c>
      <c r="H227" s="125">
        <f>(H$118)*('Product half-life and C flows'!L128/100)</f>
        <v>0.32979383595246475</v>
      </c>
      <c r="I227" s="125">
        <f>(($C$39*$C$118*0.28)*H$41)*('Product half-life and C flows'!N128/100)</f>
        <v>0.95955053744379171</v>
      </c>
      <c r="J227" s="125">
        <f>(($C$39*$C$118*0.28)*H$41)*(+'Product half-life and C flows'!P128/100)</f>
        <v>0.47929597274914654</v>
      </c>
      <c r="K227" s="54">
        <f t="shared" si="47"/>
        <v>1.0075785998939457</v>
      </c>
      <c r="L227" s="26"/>
      <c r="M227" s="83"/>
      <c r="N227" s="83"/>
      <c r="O227" s="83"/>
      <c r="P227" s="83"/>
      <c r="Q227" s="83"/>
      <c r="R227" s="83"/>
      <c r="S227" s="83"/>
      <c r="T227" s="83"/>
      <c r="U227" s="3"/>
      <c r="V227" s="88"/>
      <c r="W227" s="88"/>
      <c r="X227" s="88"/>
      <c r="Y227" s="88"/>
      <c r="Z227" s="88"/>
      <c r="AA227" s="88"/>
      <c r="AB227" s="88"/>
      <c r="AC227" s="88"/>
      <c r="AE227">
        <f t="shared" si="51"/>
        <v>69</v>
      </c>
      <c r="AF227" s="113">
        <f t="shared" si="59"/>
        <v>143.70432937704084</v>
      </c>
      <c r="AG227" s="124">
        <f t="shared" si="44"/>
        <v>6.4187439764587087E-2</v>
      </c>
      <c r="AH227" s="124">
        <f t="shared" si="45"/>
        <v>143.70432937704084</v>
      </c>
      <c r="AI227" s="124">
        <f t="shared" si="53"/>
        <v>3.2727365049186812</v>
      </c>
      <c r="AJ227" s="124">
        <f t="shared" si="54"/>
        <v>0.56565816134396951</v>
      </c>
      <c r="AK227" s="124">
        <f t="shared" si="55"/>
        <v>0.32979383595246475</v>
      </c>
      <c r="AL227" s="124">
        <f t="shared" si="56"/>
        <v>0.95955053744379171</v>
      </c>
      <c r="AM227" s="124">
        <f t="shared" si="57"/>
        <v>0.47929597274914654</v>
      </c>
      <c r="AN227" s="124">
        <f t="shared" si="58"/>
        <v>1.0075785998939457</v>
      </c>
      <c r="AO227" s="3">
        <f t="shared" si="62"/>
        <v>149.3113643894489</v>
      </c>
    </row>
    <row r="228" spans="1:41" ht="14">
      <c r="A228">
        <f t="shared" si="52"/>
        <v>70</v>
      </c>
      <c r="B228" s="19">
        <f t="shared" si="52"/>
        <v>150</v>
      </c>
      <c r="C228" s="123">
        <f t="shared" si="42"/>
        <v>144.16161434179853</v>
      </c>
      <c r="D228" s="125">
        <f>(($C$39*$C$118*$D$14)*('Product half-life and C flows'!B129/100))</f>
        <v>6.2000979929289907E-2</v>
      </c>
      <c r="E228" s="26">
        <f t="shared" si="61"/>
        <v>144.16161434179853</v>
      </c>
      <c r="F228" s="54">
        <f t="shared" si="60"/>
        <v>3.2727365049186812</v>
      </c>
      <c r="G228" s="54">
        <f t="shared" si="60"/>
        <v>0.56565816134396951</v>
      </c>
      <c r="H228" s="125">
        <f>(H$118)*('Product half-life and C flows'!L129/100)</f>
        <v>0.32475285568922957</v>
      </c>
      <c r="I228" s="125">
        <f>(($C$39*$C$118*0.28)*H$41)*('Product half-life and C flows'!N129/100)</f>
        <v>0.96291455160612405</v>
      </c>
      <c r="J228" s="125">
        <f>(($C$39*$C$118*0.28)*H$41)*(+'Product half-life and C flows'!P129/100)</f>
        <v>0.4809762995035583</v>
      </c>
      <c r="K228" s="54">
        <f t="shared" si="47"/>
        <v>1.0075785998939457</v>
      </c>
      <c r="L228" s="26"/>
      <c r="M228" s="83"/>
      <c r="N228" s="83"/>
      <c r="O228" s="83"/>
      <c r="P228" s="83"/>
      <c r="Q228" s="83"/>
      <c r="R228" s="83"/>
      <c r="S228" s="83"/>
      <c r="T228" s="83"/>
      <c r="U228" s="3"/>
      <c r="V228" s="88"/>
      <c r="W228" s="88"/>
      <c r="X228" s="88"/>
      <c r="Y228" s="88"/>
      <c r="Z228" s="88"/>
      <c r="AA228" s="88"/>
      <c r="AB228" s="88"/>
      <c r="AC228" s="88"/>
      <c r="AE228">
        <f t="shared" si="51"/>
        <v>70</v>
      </c>
      <c r="AF228" s="113">
        <f t="shared" si="59"/>
        <v>144.16161434179853</v>
      </c>
      <c r="AG228" s="124">
        <f t="shared" si="44"/>
        <v>6.2000979929289907E-2</v>
      </c>
      <c r="AH228" s="124">
        <f t="shared" si="45"/>
        <v>144.16161434179853</v>
      </c>
      <c r="AI228" s="124">
        <f t="shared" si="53"/>
        <v>3.2727365049186812</v>
      </c>
      <c r="AJ228" s="124">
        <f t="shared" si="54"/>
        <v>0.56565816134396951</v>
      </c>
      <c r="AK228" s="124">
        <f t="shared" si="55"/>
        <v>0.32475285568922957</v>
      </c>
      <c r="AL228" s="124">
        <f t="shared" si="56"/>
        <v>0.96291455160612405</v>
      </c>
      <c r="AM228" s="124">
        <f t="shared" si="57"/>
        <v>0.4809762995035583</v>
      </c>
      <c r="AN228" s="124">
        <f t="shared" si="58"/>
        <v>1.0075785998939457</v>
      </c>
      <c r="AO228" s="3">
        <f t="shared" si="62"/>
        <v>149.76865271486011</v>
      </c>
    </row>
    <row r="229" spans="1:41" ht="14">
      <c r="A229">
        <f t="shared" ref="A229:B238" si="63">A228+1</f>
        <v>71</v>
      </c>
      <c r="B229" s="19">
        <f t="shared" si="63"/>
        <v>151</v>
      </c>
      <c r="C229" s="123">
        <f t="shared" si="42"/>
        <v>144.61078492190234</v>
      </c>
      <c r="D229" s="125">
        <f>(($C$39*$C$118*$D$14)*('Product half-life and C flows'!B130/100))</f>
        <v>5.9888998942641353E-2</v>
      </c>
      <c r="E229" s="26">
        <f t="shared" si="61"/>
        <v>144.61078492190234</v>
      </c>
      <c r="F229" s="54">
        <f t="shared" si="60"/>
        <v>3.2727365049186812</v>
      </c>
      <c r="G229" s="54">
        <f t="shared" si="60"/>
        <v>0.56565816134396951</v>
      </c>
      <c r="H229" s="125">
        <f>(H$118)*('Product half-life and C flows'!L130/100)</f>
        <v>0.31978892805477072</v>
      </c>
      <c r="I229" s="125">
        <f>(($C$39*$C$118*0.28)*H$41)*('Product half-life and C flows'!N130/100)</f>
        <v>0.96622714598085302</v>
      </c>
      <c r="J229" s="125">
        <f>(($C$39*$C$118*0.28)*H$41)*(+'Product half-life and C flows'!P130/100)</f>
        <v>0.48263094204837798</v>
      </c>
      <c r="K229" s="54">
        <f t="shared" si="47"/>
        <v>1.0075785998939457</v>
      </c>
      <c r="L229" s="26"/>
      <c r="M229" s="83"/>
      <c r="N229" s="83"/>
      <c r="O229" s="83"/>
      <c r="P229" s="83"/>
      <c r="Q229" s="83"/>
      <c r="R229" s="83"/>
      <c r="S229" s="83"/>
      <c r="T229" s="83"/>
      <c r="U229" s="3"/>
      <c r="V229" s="88"/>
      <c r="W229" s="88"/>
      <c r="X229" s="88"/>
      <c r="Y229" s="88"/>
      <c r="Z229" s="88"/>
      <c r="AA229" s="88"/>
      <c r="AB229" s="88"/>
      <c r="AC229" s="88"/>
      <c r="AE229">
        <f t="shared" si="51"/>
        <v>71</v>
      </c>
      <c r="AF229" s="113">
        <f t="shared" si="59"/>
        <v>144.61078492190234</v>
      </c>
      <c r="AG229" s="124">
        <f t="shared" si="44"/>
        <v>5.9888998942641353E-2</v>
      </c>
      <c r="AH229" s="124">
        <f t="shared" si="45"/>
        <v>144.61078492190234</v>
      </c>
      <c r="AI229" s="124">
        <f t="shared" si="53"/>
        <v>3.2727365049186812</v>
      </c>
      <c r="AJ229" s="124">
        <f t="shared" si="54"/>
        <v>0.56565816134396951</v>
      </c>
      <c r="AK229" s="124">
        <f t="shared" si="55"/>
        <v>0.31978892805477072</v>
      </c>
      <c r="AL229" s="124">
        <f t="shared" si="56"/>
        <v>0.96622714598085302</v>
      </c>
      <c r="AM229" s="124">
        <f t="shared" si="57"/>
        <v>0.48263094204837798</v>
      </c>
      <c r="AN229" s="124">
        <f t="shared" si="58"/>
        <v>1.0075785998939457</v>
      </c>
      <c r="AO229" s="3">
        <f t="shared" si="62"/>
        <v>150.21782660424901</v>
      </c>
    </row>
    <row r="230" spans="1:41" ht="14">
      <c r="A230">
        <f t="shared" si="63"/>
        <v>72</v>
      </c>
      <c r="B230" s="19">
        <f t="shared" si="63"/>
        <v>152</v>
      </c>
      <c r="C230" s="123">
        <f t="shared" si="42"/>
        <v>145.05196585440837</v>
      </c>
      <c r="D230" s="125">
        <f>(($C$39*$C$118*$D$14)*('Product half-life and C flows'!B131/100))</f>
        <v>5.7848959781638946E-2</v>
      </c>
      <c r="E230" s="26">
        <f t="shared" si="61"/>
        <v>145.05196585440837</v>
      </c>
      <c r="F230" s="54">
        <f t="shared" si="60"/>
        <v>3.2727365049186812</v>
      </c>
      <c r="G230" s="54">
        <f t="shared" si="60"/>
        <v>0.56565816134396951</v>
      </c>
      <c r="H230" s="125">
        <f>(H$118)*('Product half-life and C flows'!L131/100)</f>
        <v>0.31490087528062027</v>
      </c>
      <c r="I230" s="125">
        <f>(($C$39*$C$118*0.28)*H$41)*('Product half-life and C flows'!N131/100)</f>
        <v>0.96948910653213605</v>
      </c>
      <c r="J230" s="125">
        <f>(($C$39*$C$118*0.28)*H$41)*(+'Product half-life and C flows'!P131/100)</f>
        <v>0.48426029297309475</v>
      </c>
      <c r="K230" s="54">
        <f t="shared" si="47"/>
        <v>1.0075785998939457</v>
      </c>
      <c r="L230" s="26"/>
      <c r="M230" s="83"/>
      <c r="N230" s="83"/>
      <c r="O230" s="83"/>
      <c r="P230" s="83"/>
      <c r="Q230" s="83"/>
      <c r="R230" s="83"/>
      <c r="S230" s="83"/>
      <c r="T230" s="83"/>
      <c r="U230" s="3"/>
      <c r="V230" s="88"/>
      <c r="W230" s="88"/>
      <c r="X230" s="88"/>
      <c r="Y230" s="88"/>
      <c r="Z230" s="88"/>
      <c r="AA230" s="88"/>
      <c r="AB230" s="88"/>
      <c r="AC230" s="88"/>
      <c r="AE230">
        <f t="shared" si="51"/>
        <v>72</v>
      </c>
      <c r="AF230" s="113">
        <f t="shared" si="59"/>
        <v>145.05196585440837</v>
      </c>
      <c r="AG230" s="124">
        <f t="shared" si="44"/>
        <v>5.7848959781638946E-2</v>
      </c>
      <c r="AH230" s="124">
        <f t="shared" si="45"/>
        <v>145.05196585440837</v>
      </c>
      <c r="AI230" s="124">
        <f t="shared" si="53"/>
        <v>3.2727365049186812</v>
      </c>
      <c r="AJ230" s="124">
        <f t="shared" si="54"/>
        <v>0.56565816134396951</v>
      </c>
      <c r="AK230" s="124">
        <f t="shared" si="55"/>
        <v>0.31490087528062027</v>
      </c>
      <c r="AL230" s="124">
        <f t="shared" si="56"/>
        <v>0.96948910653213605</v>
      </c>
      <c r="AM230" s="124">
        <f t="shared" si="57"/>
        <v>0.48426029297309475</v>
      </c>
      <c r="AN230" s="124">
        <f t="shared" si="58"/>
        <v>1.0075785998939457</v>
      </c>
      <c r="AO230" s="3">
        <f t="shared" si="62"/>
        <v>150.65901079545685</v>
      </c>
    </row>
    <row r="231" spans="1:41" ht="14">
      <c r="A231">
        <f t="shared" si="63"/>
        <v>73</v>
      </c>
      <c r="B231" s="19">
        <f t="shared" si="63"/>
        <v>153</v>
      </c>
      <c r="C231" s="123">
        <f t="shared" si="42"/>
        <v>145.485280760981</v>
      </c>
      <c r="D231" s="125">
        <f>(($C$39*$C$118*$D$14)*('Product half-life and C flows'!B132/100))</f>
        <v>5.5878411843597327E-2</v>
      </c>
      <c r="E231" s="26">
        <f t="shared" si="61"/>
        <v>145.485280760981</v>
      </c>
      <c r="F231" s="54">
        <f t="shared" si="60"/>
        <v>3.2727365049186812</v>
      </c>
      <c r="G231" s="54">
        <f t="shared" si="60"/>
        <v>0.56565816134396951</v>
      </c>
      <c r="H231" s="125">
        <f>(H$118)*('Product half-life and C flows'!L132/100)</f>
        <v>0.31008753760079205</v>
      </c>
      <c r="I231" s="125">
        <f>(($C$39*$C$118*0.28)*H$41)*('Product half-life and C flows'!N132/100)</f>
        <v>0.97270120721047471</v>
      </c>
      <c r="J231" s="125">
        <f>(($C$39*$C$118*0.28)*H$41)*(+'Product half-life and C flows'!P132/100)</f>
        <v>0.48586473886637083</v>
      </c>
      <c r="K231" s="54">
        <f t="shared" si="47"/>
        <v>1.0075785998939457</v>
      </c>
      <c r="L231" s="26"/>
      <c r="M231" s="83"/>
      <c r="N231" s="83"/>
      <c r="O231" s="83"/>
      <c r="P231" s="83"/>
      <c r="Q231" s="83"/>
      <c r="R231" s="83"/>
      <c r="S231" s="83"/>
      <c r="T231" s="83"/>
      <c r="U231" s="3"/>
      <c r="V231" s="88"/>
      <c r="W231" s="88"/>
      <c r="X231" s="88"/>
      <c r="Y231" s="88"/>
      <c r="Z231" s="88"/>
      <c r="AA231" s="88"/>
      <c r="AB231" s="88"/>
      <c r="AC231" s="88"/>
      <c r="AE231">
        <f t="shared" si="51"/>
        <v>73</v>
      </c>
      <c r="AF231" s="113">
        <f t="shared" si="59"/>
        <v>145.485280760981</v>
      </c>
      <c r="AG231" s="124">
        <f t="shared" si="44"/>
        <v>5.5878411843597327E-2</v>
      </c>
      <c r="AH231" s="124">
        <f t="shared" si="45"/>
        <v>145.485280760981</v>
      </c>
      <c r="AI231" s="124">
        <f t="shared" si="53"/>
        <v>3.2727365049186812</v>
      </c>
      <c r="AJ231" s="124">
        <f t="shared" si="54"/>
        <v>0.56565816134396951</v>
      </c>
      <c r="AK231" s="124">
        <f t="shared" si="55"/>
        <v>0.31008753760079205</v>
      </c>
      <c r="AL231" s="124">
        <f t="shared" si="56"/>
        <v>0.97270120721047471</v>
      </c>
      <c r="AM231" s="124">
        <f t="shared" si="57"/>
        <v>0.48586473886637083</v>
      </c>
      <c r="AN231" s="124">
        <f t="shared" si="58"/>
        <v>1.0075785998939457</v>
      </c>
      <c r="AO231" s="3">
        <f t="shared" si="62"/>
        <v>151.09232891092128</v>
      </c>
    </row>
    <row r="232" spans="1:41" ht="14">
      <c r="A232">
        <f t="shared" si="63"/>
        <v>74</v>
      </c>
      <c r="B232" s="19">
        <f t="shared" si="63"/>
        <v>154</v>
      </c>
      <c r="C232" s="123">
        <f t="shared" si="42"/>
        <v>145.9108521200458</v>
      </c>
      <c r="D232" s="125">
        <f>(($C$39*$C$118*$D$14)*('Product half-life and C flows'!B133/100))</f>
        <v>5.397498800235502E-2</v>
      </c>
      <c r="E232" s="26">
        <f t="shared" si="61"/>
        <v>145.9108521200458</v>
      </c>
      <c r="F232" s="54">
        <f t="shared" ref="F232:G238" si="64">F231</f>
        <v>3.2727365049186812</v>
      </c>
      <c r="G232" s="54">
        <f t="shared" si="64"/>
        <v>0.56565816134396951</v>
      </c>
      <c r="H232" s="125">
        <f>(H$118)*('Product half-life and C flows'!L133/100)</f>
        <v>0.30534777297661014</v>
      </c>
      <c r="I232" s="125">
        <f>(($C$39*$C$118*0.28)*H$41)*('Product half-life and C flows'!N133/100)</f>
        <v>0.9758642101363455</v>
      </c>
      <c r="J232" s="125">
        <f>(($C$39*$C$118*0.28)*H$41)*(+'Product half-life and C flows'!P133/100)</f>
        <v>0.4874446604077648</v>
      </c>
      <c r="K232" s="54">
        <f t="shared" si="47"/>
        <v>1.0075785998939457</v>
      </c>
      <c r="L232" s="26"/>
      <c r="M232" s="83"/>
      <c r="N232" s="83"/>
      <c r="O232" s="83"/>
      <c r="P232" s="83"/>
      <c r="Q232" s="83"/>
      <c r="R232" s="83"/>
      <c r="S232" s="83"/>
      <c r="T232" s="83"/>
      <c r="U232" s="3"/>
      <c r="V232" s="88"/>
      <c r="W232" s="88"/>
      <c r="X232" s="88"/>
      <c r="Y232" s="88"/>
      <c r="Z232" s="88"/>
      <c r="AA232" s="88"/>
      <c r="AB232" s="88"/>
      <c r="AC232" s="88"/>
      <c r="AE232">
        <f t="shared" si="51"/>
        <v>74</v>
      </c>
      <c r="AF232" s="113">
        <f t="shared" si="59"/>
        <v>145.9108521200458</v>
      </c>
      <c r="AG232" s="124">
        <f t="shared" si="44"/>
        <v>5.397498800235502E-2</v>
      </c>
      <c r="AH232" s="124">
        <f t="shared" si="45"/>
        <v>145.9108521200458</v>
      </c>
      <c r="AI232" s="124">
        <f t="shared" si="53"/>
        <v>3.2727365049186812</v>
      </c>
      <c r="AJ232" s="124">
        <f t="shared" si="54"/>
        <v>0.56565816134396951</v>
      </c>
      <c r="AK232" s="124">
        <f t="shared" si="55"/>
        <v>0.30534777297661014</v>
      </c>
      <c r="AL232" s="124">
        <f t="shared" si="56"/>
        <v>0.9758642101363455</v>
      </c>
      <c r="AM232" s="124">
        <f t="shared" si="57"/>
        <v>0.4874446604077648</v>
      </c>
      <c r="AN232" s="124">
        <f t="shared" si="58"/>
        <v>1.0075785998939457</v>
      </c>
      <c r="AO232" s="3">
        <f t="shared" si="62"/>
        <v>151.51790342982915</v>
      </c>
    </row>
    <row r="233" spans="1:41" ht="14">
      <c r="A233">
        <f t="shared" si="63"/>
        <v>75</v>
      </c>
      <c r="B233" s="19">
        <f t="shared" si="63"/>
        <v>155</v>
      </c>
      <c r="C233" s="123">
        <f t="shared" si="42"/>
        <v>146.32880124126649</v>
      </c>
      <c r="D233" s="125">
        <f>(($C$39*$C$118*$D$14)*('Product half-life and C flows'!B134/100))</f>
        <v>5.2136401764757388E-2</v>
      </c>
      <c r="E233" s="26">
        <f t="shared" si="61"/>
        <v>146.32880124126649</v>
      </c>
      <c r="F233" s="54">
        <f t="shared" si="64"/>
        <v>3.2727365049186812</v>
      </c>
      <c r="G233" s="54">
        <f t="shared" si="64"/>
        <v>0.56565816134396951</v>
      </c>
      <c r="H233" s="125">
        <f>(H$118)*('Product half-life and C flows'!L134/100)</f>
        <v>0.30068045682574146</v>
      </c>
      <c r="I233" s="125">
        <f>(($C$39*$C$118*0.28)*H$41)*('Product half-life and C flows'!N134/100)</f>
        <v>0.97897886578102511</v>
      </c>
      <c r="J233" s="125">
        <f>(($C$39*$C$118*0.28)*H$41)*(+'Product half-life and C flows'!P134/100)</f>
        <v>0.48900043245805436</v>
      </c>
      <c r="K233" s="54">
        <f t="shared" si="47"/>
        <v>1.0075785998939457</v>
      </c>
      <c r="L233" s="26"/>
      <c r="M233" s="83"/>
      <c r="N233" s="83"/>
      <c r="O233" s="83"/>
      <c r="P233" s="83"/>
      <c r="Q233" s="83"/>
      <c r="R233" s="83"/>
      <c r="S233" s="83"/>
      <c r="T233" s="83"/>
      <c r="U233" s="3"/>
      <c r="V233" s="88"/>
      <c r="W233" s="88"/>
      <c r="X233" s="88"/>
      <c r="Y233" s="88"/>
      <c r="Z233" s="88"/>
      <c r="AA233" s="88"/>
      <c r="AB233" s="88"/>
      <c r="AC233" s="88"/>
      <c r="AE233">
        <f t="shared" si="51"/>
        <v>75</v>
      </c>
      <c r="AF233" s="113">
        <f t="shared" si="59"/>
        <v>146.32880124126649</v>
      </c>
      <c r="AG233" s="124">
        <f t="shared" si="44"/>
        <v>5.2136401764757388E-2</v>
      </c>
      <c r="AH233" s="124">
        <f t="shared" si="45"/>
        <v>146.32880124126649</v>
      </c>
      <c r="AI233" s="124">
        <f t="shared" si="53"/>
        <v>3.2727365049186812</v>
      </c>
      <c r="AJ233" s="124">
        <f t="shared" si="54"/>
        <v>0.56565816134396951</v>
      </c>
      <c r="AK233" s="124">
        <f t="shared" si="55"/>
        <v>0.30068045682574146</v>
      </c>
      <c r="AL233" s="124">
        <f t="shared" si="56"/>
        <v>0.97897886578102511</v>
      </c>
      <c r="AM233" s="124">
        <f t="shared" si="57"/>
        <v>0.48900043245805436</v>
      </c>
      <c r="AN233" s="124">
        <f t="shared" si="58"/>
        <v>1.0075785998939457</v>
      </c>
      <c r="AO233" s="3">
        <f t="shared" si="62"/>
        <v>151.93585566259395</v>
      </c>
    </row>
    <row r="234" spans="1:41" ht="14">
      <c r="A234">
        <f t="shared" si="63"/>
        <v>76</v>
      </c>
      <c r="B234" s="19">
        <f t="shared" si="63"/>
        <v>156</v>
      </c>
      <c r="C234" s="123">
        <f t="shared" si="42"/>
        <v>146.73924824224071</v>
      </c>
      <c r="D234" s="125">
        <f>(($C$39*$C$118*$D$14)*('Product half-life and C flows'!B135/100))</f>
        <v>5.0360444524000611E-2</v>
      </c>
      <c r="E234" s="26">
        <f t="shared" si="61"/>
        <v>146.73924824224071</v>
      </c>
      <c r="F234" s="54">
        <f t="shared" si="64"/>
        <v>3.2727365049186812</v>
      </c>
      <c r="G234" s="54">
        <f t="shared" si="64"/>
        <v>0.56565816134396951</v>
      </c>
      <c r="H234" s="125">
        <f>(H$118)*('Product half-life and C flows'!L135/100)</f>
        <v>0.29608448175537183</v>
      </c>
      <c r="I234" s="125">
        <f>(($C$39*$C$118*0.28)*H$41)*('Product half-life and C flows'!N135/100)</f>
        <v>0.98204591314465184</v>
      </c>
      <c r="J234" s="125">
        <f>(($C$39*$C$118*0.28)*H$41)*(+'Product half-life and C flows'!P135/100)</f>
        <v>0.4905324241481776</v>
      </c>
      <c r="K234" s="54">
        <f t="shared" si="47"/>
        <v>1.0075785998939457</v>
      </c>
      <c r="L234" s="26"/>
      <c r="M234" s="83"/>
      <c r="N234" s="83"/>
      <c r="O234" s="83"/>
      <c r="P234" s="83"/>
      <c r="Q234" s="83"/>
      <c r="R234" s="83"/>
      <c r="S234" s="83"/>
      <c r="T234" s="83"/>
      <c r="U234" s="3"/>
      <c r="V234" s="88"/>
      <c r="W234" s="88"/>
      <c r="X234" s="88"/>
      <c r="Y234" s="88"/>
      <c r="Z234" s="88"/>
      <c r="AA234" s="88"/>
      <c r="AB234" s="88"/>
      <c r="AC234" s="88"/>
      <c r="AE234">
        <f t="shared" si="51"/>
        <v>76</v>
      </c>
      <c r="AF234" s="113">
        <f t="shared" si="59"/>
        <v>146.73924824224071</v>
      </c>
      <c r="AG234" s="124">
        <f t="shared" si="44"/>
        <v>5.0360444524000611E-2</v>
      </c>
      <c r="AH234" s="124">
        <f t="shared" si="45"/>
        <v>146.73924824224071</v>
      </c>
      <c r="AI234" s="124">
        <f t="shared" si="53"/>
        <v>3.2727365049186812</v>
      </c>
      <c r="AJ234" s="124">
        <f t="shared" si="54"/>
        <v>0.56565816134396951</v>
      </c>
      <c r="AK234" s="124">
        <f t="shared" si="55"/>
        <v>0.29608448175537183</v>
      </c>
      <c r="AL234" s="124">
        <f t="shared" si="56"/>
        <v>0.98204591314465184</v>
      </c>
      <c r="AM234" s="124">
        <f t="shared" si="57"/>
        <v>0.4905324241481776</v>
      </c>
      <c r="AN234" s="124">
        <f t="shared" si="58"/>
        <v>1.0075785998939457</v>
      </c>
      <c r="AO234" s="3">
        <f t="shared" si="62"/>
        <v>152.34630572755154</v>
      </c>
    </row>
    <row r="235" spans="1:41" ht="14">
      <c r="A235">
        <f t="shared" si="63"/>
        <v>77</v>
      </c>
      <c r="B235" s="19">
        <f t="shared" si="63"/>
        <v>157</v>
      </c>
      <c r="C235" s="123">
        <f t="shared" si="42"/>
        <v>147.14231202731511</v>
      </c>
      <c r="D235" s="125">
        <f>(($C$39*$C$118*$D$14)*('Product half-life and C flows'!B136/100))</f>
        <v>4.8644982906536516E-2</v>
      </c>
      <c r="E235" s="26">
        <f t="shared" si="61"/>
        <v>147.14231202731511</v>
      </c>
      <c r="F235" s="54">
        <f t="shared" si="64"/>
        <v>3.2727365049186812</v>
      </c>
      <c r="G235" s="54">
        <f t="shared" si="64"/>
        <v>0.56565816134396951</v>
      </c>
      <c r="H235" s="125">
        <f>(H$118)*('Product half-life and C flows'!L136/100)</f>
        <v>0.29155875729946013</v>
      </c>
      <c r="I235" s="125">
        <f>(($C$39*$C$118*0.28)*H$41)*('Product half-life and C flows'!N136/100)</f>
        <v>0.98506607993156359</v>
      </c>
      <c r="J235" s="125">
        <f>(($C$39*$C$118*0.28)*H$41)*(+'Product half-life and C flows'!P136/100)</f>
        <v>0.4920409989668148</v>
      </c>
      <c r="K235" s="54">
        <f t="shared" si="47"/>
        <v>1.0075785998939457</v>
      </c>
      <c r="L235" s="26"/>
      <c r="M235" s="83"/>
      <c r="N235" s="83"/>
      <c r="O235" s="83"/>
      <c r="P235" s="83"/>
      <c r="Q235" s="83"/>
      <c r="R235" s="83"/>
      <c r="S235" s="83"/>
      <c r="T235" s="83"/>
      <c r="U235" s="3"/>
      <c r="V235" s="88"/>
      <c r="W235" s="88"/>
      <c r="X235" s="88"/>
      <c r="Y235" s="88"/>
      <c r="Z235" s="88"/>
      <c r="AA235" s="88"/>
      <c r="AB235" s="88"/>
      <c r="AC235" s="88"/>
      <c r="AE235">
        <f t="shared" si="51"/>
        <v>77</v>
      </c>
      <c r="AF235" s="113">
        <f t="shared" si="59"/>
        <v>147.14231202731511</v>
      </c>
      <c r="AG235" s="124">
        <f t="shared" si="44"/>
        <v>4.8644982906536516E-2</v>
      </c>
      <c r="AH235" s="124">
        <f t="shared" si="45"/>
        <v>147.14231202731511</v>
      </c>
      <c r="AI235" s="124">
        <f t="shared" si="53"/>
        <v>3.2727365049186812</v>
      </c>
      <c r="AJ235" s="124">
        <f t="shared" si="54"/>
        <v>0.56565816134396951</v>
      </c>
      <c r="AK235" s="124">
        <f t="shared" si="55"/>
        <v>0.29155875729946013</v>
      </c>
      <c r="AL235" s="124">
        <f t="shared" si="56"/>
        <v>0.98506607993156359</v>
      </c>
      <c r="AM235" s="124">
        <f t="shared" si="57"/>
        <v>0.4920409989668148</v>
      </c>
      <c r="AN235" s="124">
        <f t="shared" si="58"/>
        <v>1.0075785998939457</v>
      </c>
      <c r="AO235" s="3">
        <f t="shared" si="62"/>
        <v>152.7493725297756</v>
      </c>
    </row>
    <row r="236" spans="1:41" ht="14">
      <c r="A236">
        <f t="shared" si="63"/>
        <v>78</v>
      </c>
      <c r="B236" s="19">
        <f t="shared" si="63"/>
        <v>158</v>
      </c>
      <c r="C236" s="123">
        <f t="shared" si="42"/>
        <v>147.53811026842067</v>
      </c>
      <c r="D236" s="125">
        <f>(($C$39*$C$118*$D$14)*('Product half-life and C flows'!B137/100))</f>
        <v>4.6987956209351679E-2</v>
      </c>
      <c r="E236" s="26">
        <f t="shared" si="61"/>
        <v>147.53811026842067</v>
      </c>
      <c r="F236" s="54">
        <f t="shared" si="64"/>
        <v>3.2727365049186812</v>
      </c>
      <c r="G236" s="54">
        <f t="shared" si="64"/>
        <v>0.56565816134396951</v>
      </c>
      <c r="H236" s="125">
        <f>(H$118)*('Product half-life and C flows'!L137/100)</f>
        <v>0.28710220966000771</v>
      </c>
      <c r="I236" s="125">
        <f>(($C$39*$C$118*0.28)*H$41)*('Product half-life and C flows'!N137/100)</f>
        <v>0.98804008272295829</v>
      </c>
      <c r="J236" s="125">
        <f>(($C$39*$C$118*0.28)*H$41)*(+'Product half-life and C flows'!P137/100)</f>
        <v>0.49352651484663218</v>
      </c>
      <c r="K236" s="54">
        <f t="shared" si="47"/>
        <v>1.0075785998939457</v>
      </c>
      <c r="L236" s="26"/>
      <c r="M236" s="83"/>
      <c r="N236" s="83"/>
      <c r="O236" s="83"/>
      <c r="P236" s="83"/>
      <c r="Q236" s="83"/>
      <c r="R236" s="83"/>
      <c r="S236" s="83"/>
      <c r="T236" s="83"/>
      <c r="U236" s="3"/>
      <c r="V236" s="88"/>
      <c r="W236" s="88"/>
      <c r="X236" s="88"/>
      <c r="Y236" s="88"/>
      <c r="Z236" s="88"/>
      <c r="AA236" s="88"/>
      <c r="AB236" s="88"/>
      <c r="AC236" s="88"/>
      <c r="AE236">
        <f t="shared" si="51"/>
        <v>78</v>
      </c>
      <c r="AF236" s="113">
        <f t="shared" si="59"/>
        <v>147.53811026842067</v>
      </c>
      <c r="AG236" s="124">
        <f t="shared" si="44"/>
        <v>4.6987956209351679E-2</v>
      </c>
      <c r="AH236" s="124">
        <f t="shared" si="45"/>
        <v>147.53811026842067</v>
      </c>
      <c r="AI236" s="124">
        <f t="shared" si="53"/>
        <v>3.2727365049186812</v>
      </c>
      <c r="AJ236" s="124">
        <f t="shared" si="54"/>
        <v>0.56565816134396951</v>
      </c>
      <c r="AK236" s="124">
        <f t="shared" si="55"/>
        <v>0.28710220966000771</v>
      </c>
      <c r="AL236" s="124">
        <f t="shared" si="56"/>
        <v>0.98804008272295829</v>
      </c>
      <c r="AM236" s="124">
        <f t="shared" si="57"/>
        <v>0.49352651484663218</v>
      </c>
      <c r="AN236" s="124">
        <f t="shared" si="58"/>
        <v>1.0075785998939457</v>
      </c>
      <c r="AO236" s="3">
        <f t="shared" si="62"/>
        <v>153.14517374191291</v>
      </c>
    </row>
    <row r="237" spans="1:41" ht="14">
      <c r="A237">
        <f t="shared" si="63"/>
        <v>79</v>
      </c>
      <c r="B237" s="19">
        <f t="shared" si="63"/>
        <v>159</v>
      </c>
      <c r="C237" s="123">
        <f t="shared" si="42"/>
        <v>147.92675938783603</v>
      </c>
      <c r="D237" s="125">
        <f>(($C$39*$C$118*$D$14)*('Product half-life and C flows'!B138/100))</f>
        <v>4.5387373924542576E-2</v>
      </c>
      <c r="E237" s="26">
        <f t="shared" si="61"/>
        <v>147.92675938783603</v>
      </c>
      <c r="F237" s="54">
        <f t="shared" si="64"/>
        <v>3.2727365049186812</v>
      </c>
      <c r="G237" s="54">
        <f t="shared" si="64"/>
        <v>0.56565816134396951</v>
      </c>
      <c r="H237" s="125">
        <f>(H$118)*('Product half-life and C flows'!L138/100)</f>
        <v>0.28271378145228382</v>
      </c>
      <c r="I237" s="125">
        <f>(($C$39*$C$118*0.28)*H$41)*('Product half-life and C flows'!N138/100)</f>
        <v>0.99096862714691258</v>
      </c>
      <c r="J237" s="125">
        <f>(($C$39*$C$118*0.28)*H$41)*(+'Product half-life and C flows'!P138/100)</f>
        <v>0.49498932424920694</v>
      </c>
      <c r="K237" s="54">
        <f t="shared" si="47"/>
        <v>1.0075785998939457</v>
      </c>
      <c r="L237" s="26"/>
      <c r="M237" s="83"/>
      <c r="N237" s="83"/>
      <c r="O237" s="83"/>
      <c r="P237" s="83"/>
      <c r="Q237" s="83"/>
      <c r="R237" s="83"/>
      <c r="S237" s="83"/>
      <c r="T237" s="83"/>
      <c r="U237" s="3"/>
      <c r="V237" s="88"/>
      <c r="W237" s="88"/>
      <c r="X237" s="88"/>
      <c r="Y237" s="88"/>
      <c r="Z237" s="88"/>
      <c r="AA237" s="88"/>
      <c r="AB237" s="88"/>
      <c r="AC237" s="88"/>
      <c r="AE237">
        <f t="shared" si="51"/>
        <v>79</v>
      </c>
      <c r="AF237" s="113">
        <f t="shared" si="59"/>
        <v>147.92675938783603</v>
      </c>
      <c r="AG237" s="124">
        <f t="shared" si="44"/>
        <v>4.5387373924542576E-2</v>
      </c>
      <c r="AH237" s="124">
        <f t="shared" si="45"/>
        <v>147.92675938783603</v>
      </c>
      <c r="AI237" s="124">
        <f t="shared" si="53"/>
        <v>3.2727365049186812</v>
      </c>
      <c r="AJ237" s="124">
        <f t="shared" si="54"/>
        <v>0.56565816134396951</v>
      </c>
      <c r="AK237" s="124">
        <f t="shared" si="55"/>
        <v>0.28271378145228382</v>
      </c>
      <c r="AL237" s="124">
        <f t="shared" si="56"/>
        <v>0.99096862714691258</v>
      </c>
      <c r="AM237" s="124">
        <f t="shared" si="57"/>
        <v>0.49498932424920694</v>
      </c>
      <c r="AN237" s="124">
        <f t="shared" si="58"/>
        <v>1.0075785998939457</v>
      </c>
      <c r="AO237" s="3">
        <f t="shared" si="62"/>
        <v>153.53382578694709</v>
      </c>
    </row>
    <row r="238" spans="1:41" ht="14">
      <c r="A238">
        <f t="shared" si="63"/>
        <v>80</v>
      </c>
      <c r="B238" s="19">
        <f t="shared" si="63"/>
        <v>160</v>
      </c>
      <c r="C238" s="123">
        <f t="shared" si="42"/>
        <v>148.30837454278708</v>
      </c>
      <c r="D238" s="125">
        <f>(($C$39*$C$118*$D$14)*('Product half-life and C flows'!B139/100))</f>
        <v>4.3841313348211924E-2</v>
      </c>
      <c r="E238" s="26">
        <f t="shared" si="61"/>
        <v>148.30837454278708</v>
      </c>
      <c r="F238" s="54">
        <f t="shared" si="64"/>
        <v>3.2727365049186812</v>
      </c>
      <c r="G238" s="54">
        <f t="shared" si="64"/>
        <v>0.56565816134396951</v>
      </c>
      <c r="H238" s="125">
        <f>(H$118)*('Product half-life and C flows'!L139/100)</f>
        <v>0.27839243145394443</v>
      </c>
      <c r="I238" s="125">
        <f>(($C$39*$C$118*0.28)*H$41)*('Product half-life and C flows'!N139/100)</f>
        <v>0.99385240804580444</v>
      </c>
      <c r="J238" s="125">
        <f>(($C$39*$C$118*0.28)*H$41)*(+'Product half-life and C flows'!P139/100)</f>
        <v>0.49642977424865331</v>
      </c>
      <c r="K238" s="54">
        <f t="shared" si="47"/>
        <v>1.0075785998939457</v>
      </c>
      <c r="L238" s="26"/>
      <c r="M238" s="83"/>
      <c r="N238" s="83"/>
      <c r="O238" s="83"/>
      <c r="P238" s="83"/>
      <c r="Q238" s="83"/>
      <c r="R238" s="83"/>
      <c r="S238" s="83"/>
      <c r="T238" s="83"/>
      <c r="U238" s="3"/>
      <c r="V238" s="89"/>
      <c r="W238" s="89"/>
      <c r="X238" s="89"/>
      <c r="Y238" s="89"/>
      <c r="Z238" s="89"/>
      <c r="AA238" s="89"/>
      <c r="AB238" s="88"/>
      <c r="AC238" s="89"/>
      <c r="AE238">
        <f t="shared" si="51"/>
        <v>80</v>
      </c>
      <c r="AF238" s="113">
        <f t="shared" si="59"/>
        <v>148.30837454278708</v>
      </c>
      <c r="AG238" s="124">
        <f t="shared" si="44"/>
        <v>4.3841313348211924E-2</v>
      </c>
      <c r="AH238" s="124">
        <f t="shared" si="45"/>
        <v>148.30837454278708</v>
      </c>
      <c r="AI238" s="124">
        <f t="shared" si="53"/>
        <v>3.2727365049186812</v>
      </c>
      <c r="AJ238" s="124">
        <f t="shared" si="54"/>
        <v>0.56565816134396951</v>
      </c>
      <c r="AK238" s="124">
        <f t="shared" si="55"/>
        <v>0.27839243145394443</v>
      </c>
      <c r="AL238" s="124">
        <f t="shared" si="56"/>
        <v>0.99385240804580444</v>
      </c>
      <c r="AM238" s="124">
        <f t="shared" si="57"/>
        <v>0.49642977424865331</v>
      </c>
      <c r="AN238" s="124">
        <f t="shared" si="58"/>
        <v>1.0075785998939457</v>
      </c>
      <c r="AO238" s="3">
        <f t="shared" si="62"/>
        <v>153.9154438227981</v>
      </c>
    </row>
    <row r="239" spans="1:41" ht="14">
      <c r="A239">
        <f>A238+1</f>
        <v>81</v>
      </c>
      <c r="B239" s="19">
        <f>B238+1</f>
        <v>161</v>
      </c>
      <c r="C239" s="123">
        <f t="shared" si="42"/>
        <v>148.68306961179661</v>
      </c>
      <c r="D239" s="26"/>
      <c r="E239" s="26">
        <f t="shared" si="61"/>
        <v>148.68306961179661</v>
      </c>
      <c r="F239" s="54">
        <f t="shared" ref="F239:G239" si="65">F238</f>
        <v>3.2727365049186812</v>
      </c>
      <c r="G239" s="54">
        <f t="shared" si="65"/>
        <v>0.56565816134396951</v>
      </c>
      <c r="H239" s="125">
        <f>(H$118)*('Product half-life and C flows'!L140/100)</f>
        <v>0.27413713435798648</v>
      </c>
      <c r="I239" s="125">
        <f>(($C$39*$C$118*0.28)*H$41)*('Product half-life and C flows'!N140/100)</f>
        <v>0.99669210964117372</v>
      </c>
      <c r="J239" s="125">
        <f>(($C$39*$C$118*0.28)*H$41)*(+'Product half-life and C flows'!P140/100)</f>
        <v>0.49784820661397261</v>
      </c>
      <c r="K239" s="54">
        <f t="shared" si="47"/>
        <v>1.0075785998939457</v>
      </c>
      <c r="L239" s="26"/>
      <c r="M239" s="83"/>
      <c r="N239" s="85"/>
      <c r="O239" s="85"/>
      <c r="P239" s="85"/>
      <c r="Q239" s="83"/>
      <c r="R239" s="85"/>
      <c r="S239" s="85"/>
      <c r="T239" s="85"/>
      <c r="U239" s="3"/>
      <c r="V239" s="90"/>
      <c r="W239" s="90"/>
      <c r="X239" s="91"/>
      <c r="Y239" s="91"/>
      <c r="Z239" s="91"/>
      <c r="AA239" s="91"/>
      <c r="AB239" s="91"/>
      <c r="AC239" s="91"/>
      <c r="AD239" s="17"/>
      <c r="AE239">
        <f t="shared" si="51"/>
        <v>81</v>
      </c>
      <c r="AF239" s="113">
        <f t="shared" si="59"/>
        <v>148.68306961179661</v>
      </c>
      <c r="AG239" s="124">
        <f t="shared" si="44"/>
        <v>0</v>
      </c>
      <c r="AH239" s="124">
        <f t="shared" si="45"/>
        <v>148.68306961179661</v>
      </c>
      <c r="AI239" s="124">
        <f t="shared" si="53"/>
        <v>3.2727365049186812</v>
      </c>
      <c r="AJ239" s="124">
        <f t="shared" si="54"/>
        <v>0.56565816134396951</v>
      </c>
      <c r="AK239" s="124">
        <f t="shared" si="55"/>
        <v>0.27413713435798648</v>
      </c>
      <c r="AL239" s="124">
        <f t="shared" si="56"/>
        <v>0.99669210964117372</v>
      </c>
      <c r="AM239" s="124">
        <f t="shared" si="57"/>
        <v>0.49784820661397261</v>
      </c>
      <c r="AN239" s="124">
        <f t="shared" si="58"/>
        <v>1.0075785998939457</v>
      </c>
      <c r="AO239" s="3">
        <f t="shared" si="62"/>
        <v>154.29014172867241</v>
      </c>
    </row>
    <row r="240" spans="1:41" ht="14">
      <c r="A240">
        <f t="shared" ref="A240:B255" si="66">A239+1</f>
        <v>82</v>
      </c>
      <c r="B240" s="19">
        <f t="shared" si="66"/>
        <v>162</v>
      </c>
      <c r="C240" s="123">
        <f t="shared" si="42"/>
        <v>149.05095718270039</v>
      </c>
      <c r="D240" s="26"/>
      <c r="E240" s="26">
        <f t="shared" si="61"/>
        <v>149.05095718270039</v>
      </c>
      <c r="F240" s="54">
        <f t="shared" ref="F240:G240" si="67">F239</f>
        <v>3.2727365049186812</v>
      </c>
      <c r="G240" s="54">
        <f t="shared" si="67"/>
        <v>0.56565816134396951</v>
      </c>
      <c r="H240" s="125">
        <f>(H$118)*('Product half-life and C flows'!L141/100)</f>
        <v>0.26994688052947763</v>
      </c>
      <c r="I240" s="125">
        <f>(($C$39*$C$118*0.28)*H$41)*('Product half-life and C flows'!N141/100)</f>
        <v>0.99948840569606512</v>
      </c>
      <c r="J240" s="125">
        <f>(($C$39*$C$118*0.28)*H$41)*(+'Product half-life and C flows'!P141/100)</f>
        <v>0.49924495789014217</v>
      </c>
      <c r="K240" s="54">
        <f t="shared" si="47"/>
        <v>1.0075785998939457</v>
      </c>
      <c r="L240" s="26"/>
      <c r="M240" s="83"/>
      <c r="N240" s="85"/>
      <c r="O240" s="85"/>
      <c r="P240" s="85"/>
      <c r="Q240" s="83"/>
      <c r="R240" s="85"/>
      <c r="S240" s="85"/>
      <c r="T240" s="85"/>
      <c r="U240" s="3"/>
      <c r="V240" s="90"/>
      <c r="W240" s="90"/>
      <c r="X240" s="89"/>
      <c r="Y240" s="89"/>
      <c r="Z240" s="91"/>
      <c r="AA240" s="91"/>
      <c r="AB240" s="91"/>
      <c r="AC240" s="89"/>
      <c r="AD240" s="17"/>
      <c r="AE240">
        <f t="shared" si="51"/>
        <v>82</v>
      </c>
      <c r="AF240" s="113">
        <f t="shared" si="59"/>
        <v>149.05095718270039</v>
      </c>
      <c r="AG240" s="124">
        <f t="shared" si="44"/>
        <v>0</v>
      </c>
      <c r="AH240" s="124">
        <f t="shared" si="45"/>
        <v>149.05095718270039</v>
      </c>
      <c r="AI240" s="124">
        <f t="shared" si="53"/>
        <v>3.2727365049186812</v>
      </c>
      <c r="AJ240" s="124">
        <f t="shared" si="54"/>
        <v>0.56565816134396951</v>
      </c>
      <c r="AK240" s="124">
        <f t="shared" si="55"/>
        <v>0.26994688052947763</v>
      </c>
      <c r="AL240" s="124">
        <f t="shared" si="56"/>
        <v>0.99948840569606512</v>
      </c>
      <c r="AM240" s="124">
        <f t="shared" si="57"/>
        <v>0.49924495789014217</v>
      </c>
      <c r="AN240" s="124">
        <f t="shared" si="58"/>
        <v>1.0075785998939457</v>
      </c>
      <c r="AO240" s="3">
        <f t="shared" si="62"/>
        <v>154.65803209307873</v>
      </c>
    </row>
    <row r="241" spans="1:41" ht="14">
      <c r="A241">
        <f t="shared" si="66"/>
        <v>83</v>
      </c>
      <c r="B241" s="19">
        <f t="shared" si="66"/>
        <v>163</v>
      </c>
      <c r="C241" s="123">
        <f t="shared" si="42"/>
        <v>149.41214854224799</v>
      </c>
      <c r="D241" s="26"/>
      <c r="E241" s="26">
        <f t="shared" si="61"/>
        <v>149.41214854224799</v>
      </c>
      <c r="F241" s="54">
        <f t="shared" ref="F241:G241" si="68">F240</f>
        <v>3.2727365049186812</v>
      </c>
      <c r="G241" s="54">
        <f t="shared" si="68"/>
        <v>0.56565816134396951</v>
      </c>
      <c r="H241" s="125">
        <f>(H$118)*('Product half-life and C flows'!L142/100)</f>
        <v>0.26582067576600499</v>
      </c>
      <c r="I241" s="125">
        <f>(($C$39*$C$118*0.28)*H$41)*('Product half-life and C flows'!N142/100)</f>
        <v>1.002241959674889</v>
      </c>
      <c r="J241" s="125">
        <f>(($C$39*$C$118*0.28)*H$41)*(+'Product half-life and C flows'!P142/100)</f>
        <v>0.50062035947796646</v>
      </c>
      <c r="K241" s="54">
        <f t="shared" si="47"/>
        <v>1.0075785998939457</v>
      </c>
      <c r="L241" s="26"/>
      <c r="M241" s="83"/>
      <c r="N241" s="85"/>
      <c r="O241" s="85"/>
      <c r="P241" s="85"/>
      <c r="Q241" s="83"/>
      <c r="R241" s="85"/>
      <c r="S241" s="85"/>
      <c r="T241" s="85"/>
      <c r="U241" s="3"/>
      <c r="V241" s="90"/>
      <c r="W241" s="90"/>
      <c r="X241" s="89"/>
      <c r="Y241" s="89"/>
      <c r="Z241" s="91"/>
      <c r="AA241" s="91"/>
      <c r="AB241" s="91"/>
      <c r="AC241" s="89"/>
      <c r="AD241" s="17"/>
      <c r="AE241">
        <f t="shared" si="51"/>
        <v>83</v>
      </c>
      <c r="AF241" s="113">
        <f t="shared" si="59"/>
        <v>149.41214854224799</v>
      </c>
      <c r="AG241" s="124">
        <f t="shared" si="44"/>
        <v>0</v>
      </c>
      <c r="AH241" s="124">
        <f t="shared" si="45"/>
        <v>149.41214854224799</v>
      </c>
      <c r="AI241" s="124">
        <f t="shared" si="53"/>
        <v>3.2727365049186812</v>
      </c>
      <c r="AJ241" s="124">
        <f t="shared" si="54"/>
        <v>0.56565816134396951</v>
      </c>
      <c r="AK241" s="124">
        <f t="shared" si="55"/>
        <v>0.26582067576600499</v>
      </c>
      <c r="AL241" s="124">
        <f t="shared" si="56"/>
        <v>1.002241959674889</v>
      </c>
      <c r="AM241" s="124">
        <f t="shared" si="57"/>
        <v>0.50062035947796646</v>
      </c>
      <c r="AN241" s="124">
        <f t="shared" si="58"/>
        <v>1.0075785998939457</v>
      </c>
      <c r="AO241" s="3">
        <f t="shared" si="62"/>
        <v>155.0192262034295</v>
      </c>
    </row>
    <row r="242" spans="1:41" ht="14">
      <c r="A242">
        <f t="shared" si="66"/>
        <v>84</v>
      </c>
      <c r="B242" s="19">
        <f t="shared" si="66"/>
        <v>164</v>
      </c>
      <c r="C242" s="123">
        <f t="shared" si="42"/>
        <v>149.76675366721204</v>
      </c>
      <c r="D242" s="26"/>
      <c r="E242" s="26">
        <f t="shared" si="61"/>
        <v>149.76675366721204</v>
      </c>
      <c r="F242" s="54">
        <f t="shared" ref="F242:G242" si="69">F241</f>
        <v>3.2727365049186812</v>
      </c>
      <c r="G242" s="54">
        <f t="shared" si="69"/>
        <v>0.56565816134396951</v>
      </c>
      <c r="H242" s="125">
        <f>(H$118)*('Product half-life and C flows'!L143/100)</f>
        <v>0.26175754106178517</v>
      </c>
      <c r="I242" s="125">
        <f>(($C$39*$C$118*0.28)*H$41)*('Product half-life and C flows'!N143/100)</f>
        <v>1.0049534249008387</v>
      </c>
      <c r="J242" s="125">
        <f>(($C$39*$C$118*0.28)*H$41)*(+'Product half-life and C flows'!P143/100)</f>
        <v>0.5019747377127064</v>
      </c>
      <c r="K242" s="54">
        <f t="shared" si="47"/>
        <v>1.0075785998939457</v>
      </c>
      <c r="L242" s="26"/>
      <c r="M242" s="83"/>
      <c r="N242" s="85"/>
      <c r="O242" s="85"/>
      <c r="P242" s="85"/>
      <c r="Q242" s="83"/>
      <c r="R242" s="85"/>
      <c r="S242" s="85"/>
      <c r="T242" s="85"/>
      <c r="U242" s="3"/>
      <c r="V242" s="90"/>
      <c r="W242" s="90"/>
      <c r="X242" s="89"/>
      <c r="Y242" s="89"/>
      <c r="Z242" s="91"/>
      <c r="AA242" s="91"/>
      <c r="AB242" s="91"/>
      <c r="AC242" s="89"/>
      <c r="AD242" s="17"/>
      <c r="AE242">
        <f t="shared" si="51"/>
        <v>84</v>
      </c>
      <c r="AF242" s="113">
        <f t="shared" si="59"/>
        <v>149.76675366721204</v>
      </c>
      <c r="AG242" s="124">
        <f t="shared" si="44"/>
        <v>0</v>
      </c>
      <c r="AH242" s="124">
        <f t="shared" si="45"/>
        <v>149.76675366721204</v>
      </c>
      <c r="AI242" s="124">
        <f t="shared" si="53"/>
        <v>3.2727365049186812</v>
      </c>
      <c r="AJ242" s="124">
        <f t="shared" si="54"/>
        <v>0.56565816134396951</v>
      </c>
      <c r="AK242" s="124">
        <f t="shared" si="55"/>
        <v>0.26175754106178517</v>
      </c>
      <c r="AL242" s="124">
        <f t="shared" si="56"/>
        <v>1.0049534249008387</v>
      </c>
      <c r="AM242" s="124">
        <f t="shared" si="57"/>
        <v>0.5019747377127064</v>
      </c>
      <c r="AN242" s="124">
        <f t="shared" si="58"/>
        <v>1.0075785998939457</v>
      </c>
      <c r="AO242" s="3">
        <f t="shared" si="62"/>
        <v>155.37383403715003</v>
      </c>
    </row>
    <row r="243" spans="1:41" ht="14">
      <c r="A243">
        <f t="shared" si="66"/>
        <v>85</v>
      </c>
      <c r="B243" s="19">
        <f t="shared" si="66"/>
        <v>165</v>
      </c>
      <c r="C243" s="123">
        <f t="shared" si="42"/>
        <v>150.11488121693054</v>
      </c>
      <c r="D243" s="26"/>
      <c r="E243" s="26">
        <f t="shared" si="61"/>
        <v>150.11488121693054</v>
      </c>
      <c r="F243" s="54">
        <f t="shared" ref="F243:G243" si="70">F242</f>
        <v>3.2727365049186812</v>
      </c>
      <c r="G243" s="54">
        <f t="shared" si="70"/>
        <v>0.56565816134396951</v>
      </c>
      <c r="H243" s="125">
        <f>(H$118)*('Product half-life and C flows'!L144/100)</f>
        <v>0.25775651237538005</v>
      </c>
      <c r="I243" s="125">
        <f>(($C$39*$C$118*0.28)*H$41)*('Product half-life and C flows'!N144/100)</f>
        <v>1.0076234447108996</v>
      </c>
      <c r="J243" s="125">
        <f>(($C$39*$C$118*0.28)*H$41)*(+'Product half-life and C flows'!P144/100)</f>
        <v>0.50330841394150805</v>
      </c>
      <c r="K243" s="54">
        <f t="shared" si="47"/>
        <v>1.0075785998939457</v>
      </c>
      <c r="L243" s="26"/>
      <c r="M243" s="83"/>
      <c r="N243" s="85"/>
      <c r="O243" s="85"/>
      <c r="P243" s="85"/>
      <c r="Q243" s="83"/>
      <c r="R243" s="85"/>
      <c r="S243" s="85"/>
      <c r="T243" s="85"/>
      <c r="U243" s="3"/>
      <c r="V243" s="90"/>
      <c r="W243" s="90"/>
      <c r="X243" s="89"/>
      <c r="Y243" s="89"/>
      <c r="Z243" s="91"/>
      <c r="AA243" s="91"/>
      <c r="AB243" s="91"/>
      <c r="AC243" s="89"/>
      <c r="AD243" s="17"/>
      <c r="AE243">
        <f t="shared" si="51"/>
        <v>85</v>
      </c>
      <c r="AF243" s="113">
        <f t="shared" si="59"/>
        <v>150.11488121693054</v>
      </c>
      <c r="AG243" s="124">
        <f t="shared" si="44"/>
        <v>0</v>
      </c>
      <c r="AH243" s="124">
        <f t="shared" si="45"/>
        <v>150.11488121693054</v>
      </c>
      <c r="AI243" s="124">
        <f t="shared" si="53"/>
        <v>3.2727365049186812</v>
      </c>
      <c r="AJ243" s="124">
        <f t="shared" si="54"/>
        <v>0.56565816134396951</v>
      </c>
      <c r="AK243" s="124">
        <f t="shared" si="55"/>
        <v>0.25775651237538005</v>
      </c>
      <c r="AL243" s="124">
        <f t="shared" si="56"/>
        <v>1.0076234447108996</v>
      </c>
      <c r="AM243" s="124">
        <f t="shared" si="57"/>
        <v>0.50330841394150805</v>
      </c>
      <c r="AN243" s="124">
        <f t="shared" si="58"/>
        <v>1.0075785998939457</v>
      </c>
      <c r="AO243" s="3">
        <f t="shared" si="62"/>
        <v>155.72196425422098</v>
      </c>
    </row>
    <row r="244" spans="1:41" ht="14">
      <c r="A244">
        <f t="shared" si="66"/>
        <v>86</v>
      </c>
      <c r="B244" s="19">
        <f t="shared" si="66"/>
        <v>166</v>
      </c>
      <c r="C244" s="123">
        <f t="shared" si="42"/>
        <v>150.45663852721071</v>
      </c>
      <c r="D244" s="26"/>
      <c r="E244" s="26">
        <f t="shared" si="61"/>
        <v>150.45663852721071</v>
      </c>
      <c r="F244" s="54">
        <f t="shared" ref="F244:G244" si="71">F243</f>
        <v>3.2727365049186812</v>
      </c>
      <c r="G244" s="54">
        <f t="shared" si="71"/>
        <v>0.56565816134396951</v>
      </c>
      <c r="H244" s="125">
        <f>(H$118)*('Product half-life and C flows'!L145/100)</f>
        <v>0.25381664040096302</v>
      </c>
      <c r="I244" s="125">
        <f>(($C$39*$C$118*0.28)*H$41)*('Product half-life and C flows'!N145/100)</f>
        <v>1.0102526526084938</v>
      </c>
      <c r="J244" s="125">
        <f>(($C$39*$C$118*0.28)*H$41)*(+'Product half-life and C flows'!P145/100)</f>
        <v>0.50462170459964706</v>
      </c>
      <c r="K244" s="54">
        <f t="shared" si="47"/>
        <v>1.0075785998939457</v>
      </c>
      <c r="L244" s="26"/>
      <c r="M244" s="83"/>
      <c r="N244" s="85"/>
      <c r="O244" s="85"/>
      <c r="P244" s="85"/>
      <c r="Q244" s="83"/>
      <c r="R244" s="85"/>
      <c r="S244" s="85"/>
      <c r="T244" s="85"/>
      <c r="U244" s="3"/>
      <c r="V244" s="90"/>
      <c r="W244" s="90"/>
      <c r="X244" s="89"/>
      <c r="Y244" s="89"/>
      <c r="Z244" s="91"/>
      <c r="AA244" s="91"/>
      <c r="AB244" s="91"/>
      <c r="AC244" s="89"/>
      <c r="AD244" s="17"/>
      <c r="AE244">
        <f t="shared" si="51"/>
        <v>86</v>
      </c>
      <c r="AF244" s="113">
        <f t="shared" si="59"/>
        <v>150.45663852721071</v>
      </c>
      <c r="AG244" s="124">
        <f t="shared" si="44"/>
        <v>0</v>
      </c>
      <c r="AH244" s="124">
        <f t="shared" si="45"/>
        <v>150.45663852721071</v>
      </c>
      <c r="AI244" s="124">
        <f t="shared" si="53"/>
        <v>3.2727365049186812</v>
      </c>
      <c r="AJ244" s="124">
        <f t="shared" si="54"/>
        <v>0.56565816134396951</v>
      </c>
      <c r="AK244" s="124">
        <f t="shared" si="55"/>
        <v>0.25381664040096302</v>
      </c>
      <c r="AL244" s="124">
        <f t="shared" si="56"/>
        <v>1.0102526526084938</v>
      </c>
      <c r="AM244" s="124">
        <f t="shared" si="57"/>
        <v>0.50462170459964706</v>
      </c>
      <c r="AN244" s="124">
        <f t="shared" si="58"/>
        <v>1.0075785998939457</v>
      </c>
      <c r="AO244" s="3">
        <f t="shared" si="62"/>
        <v>156.06372419108249</v>
      </c>
    </row>
    <row r="245" spans="1:41" ht="14">
      <c r="A245">
        <f t="shared" si="66"/>
        <v>87</v>
      </c>
      <c r="B245" s="19">
        <f t="shared" si="66"/>
        <v>167</v>
      </c>
      <c r="C245" s="123">
        <f t="shared" si="42"/>
        <v>150.79213160552499</v>
      </c>
      <c r="D245" s="26"/>
      <c r="E245" s="26">
        <f t="shared" si="61"/>
        <v>150.79213160552499</v>
      </c>
      <c r="F245" s="54">
        <f t="shared" ref="F245:G245" si="72">F244</f>
        <v>3.2727365049186812</v>
      </c>
      <c r="G245" s="54">
        <f t="shared" si="72"/>
        <v>0.56565816134396951</v>
      </c>
      <c r="H245" s="125">
        <f>(H$118)*('Product half-life and C flows'!L146/100)</f>
        <v>0.24993699034308164</v>
      </c>
      <c r="I245" s="125">
        <f>(($C$39*$C$118*0.28)*H$41)*('Product half-life and C flows'!N146/100)</f>
        <v>1.0128416724137868</v>
      </c>
      <c r="J245" s="125">
        <f>(($C$39*$C$118*0.28)*H$41)*(+'Product half-life and C flows'!P146/100)</f>
        <v>0.50591492128560744</v>
      </c>
      <c r="K245" s="54">
        <f t="shared" si="47"/>
        <v>1.0075785998939457</v>
      </c>
      <c r="L245" s="26"/>
      <c r="M245" s="83"/>
      <c r="N245" s="85"/>
      <c r="O245" s="85"/>
      <c r="P245" s="85"/>
      <c r="Q245" s="83"/>
      <c r="R245" s="85"/>
      <c r="S245" s="85"/>
      <c r="T245" s="85"/>
      <c r="U245" s="3"/>
      <c r="V245" s="90"/>
      <c r="W245" s="90"/>
      <c r="X245" s="89"/>
      <c r="Y245" s="89"/>
      <c r="Z245" s="91"/>
      <c r="AA245" s="91"/>
      <c r="AB245" s="91"/>
      <c r="AC245" s="89"/>
      <c r="AD245" s="17"/>
      <c r="AE245">
        <f t="shared" si="51"/>
        <v>87</v>
      </c>
      <c r="AF245" s="113">
        <f t="shared" si="59"/>
        <v>150.79213160552499</v>
      </c>
      <c r="AG245" s="124">
        <f t="shared" si="44"/>
        <v>0</v>
      </c>
      <c r="AH245" s="124">
        <f t="shared" si="45"/>
        <v>150.79213160552499</v>
      </c>
      <c r="AI245" s="124">
        <f t="shared" si="53"/>
        <v>3.2727365049186812</v>
      </c>
      <c r="AJ245" s="124">
        <f t="shared" si="54"/>
        <v>0.56565816134396951</v>
      </c>
      <c r="AK245" s="124">
        <f t="shared" si="55"/>
        <v>0.24993699034308164</v>
      </c>
      <c r="AL245" s="124">
        <f t="shared" si="56"/>
        <v>1.0128416724137868</v>
      </c>
      <c r="AM245" s="124">
        <f t="shared" si="57"/>
        <v>0.50591492128560744</v>
      </c>
      <c r="AN245" s="124">
        <f t="shared" si="58"/>
        <v>1.0075785998939457</v>
      </c>
      <c r="AO245" s="3">
        <f t="shared" si="62"/>
        <v>156.39921985583013</v>
      </c>
    </row>
    <row r="246" spans="1:41" ht="14">
      <c r="A246">
        <f t="shared" si="66"/>
        <v>88</v>
      </c>
      <c r="B246" s="19">
        <f t="shared" si="66"/>
        <v>168</v>
      </c>
      <c r="C246" s="123">
        <f t="shared" si="42"/>
        <v>151.12146512743382</v>
      </c>
      <c r="D246" s="26"/>
      <c r="E246" s="26">
        <f t="shared" si="61"/>
        <v>151.12146512743382</v>
      </c>
      <c r="F246" s="54">
        <f t="shared" ref="F246:G246" si="73">F245</f>
        <v>3.2727365049186812</v>
      </c>
      <c r="G246" s="54">
        <f t="shared" si="73"/>
        <v>0.56565816134396951</v>
      </c>
      <c r="H246" s="125">
        <f>(H$118)*('Product half-life and C flows'!L147/100)</f>
        <v>0.24611664169486297</v>
      </c>
      <c r="I246" s="125">
        <f>(($C$39*$C$118*0.28)*H$41)*('Product half-life and C flows'!N147/100)</f>
        <v>1.0153911184116979</v>
      </c>
      <c r="J246" s="125">
        <f>(($C$39*$C$118*0.28)*H$41)*(+'Product half-life and C flows'!P147/100)</f>
        <v>0.50718837083501378</v>
      </c>
      <c r="K246" s="54">
        <f t="shared" si="47"/>
        <v>1.0075785998939457</v>
      </c>
      <c r="L246" s="26"/>
      <c r="M246" s="83"/>
      <c r="N246" s="85"/>
      <c r="O246" s="85"/>
      <c r="P246" s="85"/>
      <c r="Q246" s="83"/>
      <c r="R246" s="85"/>
      <c r="S246" s="85"/>
      <c r="T246" s="85"/>
      <c r="U246" s="3"/>
      <c r="V246" s="90"/>
      <c r="W246" s="90"/>
      <c r="X246" s="89"/>
      <c r="Y246" s="89"/>
      <c r="Z246" s="91"/>
      <c r="AA246" s="91"/>
      <c r="AB246" s="91"/>
      <c r="AC246" s="89"/>
      <c r="AD246" s="17"/>
      <c r="AE246">
        <f t="shared" si="51"/>
        <v>88</v>
      </c>
      <c r="AF246" s="113">
        <f t="shared" si="59"/>
        <v>151.12146512743382</v>
      </c>
      <c r="AG246" s="124">
        <f t="shared" si="44"/>
        <v>0</v>
      </c>
      <c r="AH246" s="124">
        <f t="shared" si="45"/>
        <v>151.12146512743382</v>
      </c>
      <c r="AI246" s="124">
        <f t="shared" ref="AI246:AI277" si="74">F246+O246+X246</f>
        <v>3.2727365049186812</v>
      </c>
      <c r="AJ246" s="124">
        <f t="shared" ref="AJ246:AJ277" si="75">G246+P246+Y246</f>
        <v>0.56565816134396951</v>
      </c>
      <c r="AK246" s="124">
        <f t="shared" ref="AK246:AK277" si="76">H246+Q246+Z246</f>
        <v>0.24611664169486297</v>
      </c>
      <c r="AL246" s="124">
        <f t="shared" ref="AL246:AL277" si="77">I246+R246+AA246</f>
        <v>1.0153911184116979</v>
      </c>
      <c r="AM246" s="124">
        <f t="shared" ref="AM246:AM277" si="78">J246+S246+AB246</f>
        <v>0.50718837083501378</v>
      </c>
      <c r="AN246" s="124">
        <f t="shared" ref="AN246:AN277" si="79">K246+T246+AC246</f>
        <v>1.0075785998939457</v>
      </c>
      <c r="AO246" s="3">
        <f t="shared" si="62"/>
        <v>156.72855592463804</v>
      </c>
    </row>
    <row r="247" spans="1:41" ht="14">
      <c r="A247">
        <f t="shared" si="66"/>
        <v>89</v>
      </c>
      <c r="B247" s="19">
        <f t="shared" si="66"/>
        <v>169</v>
      </c>
      <c r="C247" s="123">
        <f t="shared" ref="C247:C310" si="80">B$8*(1-EXP(-B$9*$B247))^3</f>
        <v>151.44474243417059</v>
      </c>
      <c r="D247" s="26"/>
      <c r="E247" s="26">
        <f t="shared" si="61"/>
        <v>151.44474243417059</v>
      </c>
      <c r="F247" s="54">
        <f t="shared" ref="F247:G247" si="81">F246</f>
        <v>3.2727365049186812</v>
      </c>
      <c r="G247" s="54">
        <f t="shared" si="81"/>
        <v>0.56565816134396951</v>
      </c>
      <c r="H247" s="125">
        <f>(H$118)*('Product half-life and C flows'!L148/100)</f>
        <v>0.24235468801960897</v>
      </c>
      <c r="I247" s="125">
        <f>(($C$39*$C$118*0.28)*H$41)*('Product half-life and C flows'!N148/100)</f>
        <v>1.0179015954976509</v>
      </c>
      <c r="J247" s="125">
        <f>(($C$39*$C$118*0.28)*H$41)*(+'Product half-life and C flows'!P148/100)</f>
        <v>0.50844235539343174</v>
      </c>
      <c r="K247" s="54">
        <f t="shared" si="47"/>
        <v>1.0075785998939457</v>
      </c>
      <c r="L247" s="26"/>
      <c r="M247" s="83"/>
      <c r="N247" s="85"/>
      <c r="O247" s="85"/>
      <c r="P247" s="85"/>
      <c r="Q247" s="83"/>
      <c r="R247" s="85"/>
      <c r="S247" s="85"/>
      <c r="T247" s="85"/>
      <c r="U247" s="3"/>
      <c r="V247" s="90"/>
      <c r="W247" s="90"/>
      <c r="X247" s="89"/>
      <c r="Y247" s="89"/>
      <c r="Z247" s="91"/>
      <c r="AA247" s="91"/>
      <c r="AB247" s="91"/>
      <c r="AC247" s="89"/>
      <c r="AD247" s="17"/>
      <c r="AE247">
        <f t="shared" si="51"/>
        <v>89</v>
      </c>
      <c r="AF247" s="113">
        <f t="shared" ref="AF247:AF278" si="82">E247</f>
        <v>151.44474243417059</v>
      </c>
      <c r="AG247" s="124">
        <f t="shared" ref="AG247:AG310" si="83">D247+M247+V247</f>
        <v>0</v>
      </c>
      <c r="AH247" s="124">
        <f t="shared" ref="AH247:AH310" si="84">E247</f>
        <v>151.44474243417059</v>
      </c>
      <c r="AI247" s="124">
        <f t="shared" si="74"/>
        <v>3.2727365049186812</v>
      </c>
      <c r="AJ247" s="124">
        <f t="shared" si="75"/>
        <v>0.56565816134396951</v>
      </c>
      <c r="AK247" s="124">
        <f t="shared" si="76"/>
        <v>0.24235468801960897</v>
      </c>
      <c r="AL247" s="124">
        <f t="shared" si="77"/>
        <v>1.0179015954976509</v>
      </c>
      <c r="AM247" s="124">
        <f t="shared" si="78"/>
        <v>0.50844235539343174</v>
      </c>
      <c r="AN247" s="124">
        <f t="shared" si="79"/>
        <v>1.0075785998939457</v>
      </c>
      <c r="AO247" s="3">
        <f t="shared" si="62"/>
        <v>157.05183573934394</v>
      </c>
    </row>
    <row r="248" spans="1:41" ht="14">
      <c r="A248">
        <f t="shared" si="66"/>
        <v>90</v>
      </c>
      <c r="B248" s="19">
        <f t="shared" si="66"/>
        <v>170</v>
      </c>
      <c r="C248" s="123">
        <f t="shared" si="80"/>
        <v>151.76206553132781</v>
      </c>
      <c r="D248" s="26"/>
      <c r="E248" s="26">
        <f t="shared" si="61"/>
        <v>151.76206553132781</v>
      </c>
      <c r="F248" s="54">
        <f t="shared" ref="F248:G248" si="85">F247</f>
        <v>3.2727365049186812</v>
      </c>
      <c r="G248" s="54">
        <f t="shared" si="85"/>
        <v>0.56565816134396951</v>
      </c>
      <c r="H248" s="125">
        <f>(H$118)*('Product half-life and C flows'!L149/100)</f>
        <v>0.23865023673573035</v>
      </c>
      <c r="I248" s="125">
        <f>(($C$39*$C$118*0.28)*H$41)*('Product half-life and C flows'!N149/100)</f>
        <v>1.0203736993210923</v>
      </c>
      <c r="J248" s="125">
        <f>(($C$39*$C$118*0.28)*H$41)*(+'Product half-life and C flows'!P149/100)</f>
        <v>0.50967717248805799</v>
      </c>
      <c r="K248" s="54">
        <f t="shared" ref="K248:K311" si="86">K247</f>
        <v>1.0075785998939457</v>
      </c>
      <c r="L248" s="26"/>
      <c r="M248" s="83"/>
      <c r="N248" s="85"/>
      <c r="O248" s="85"/>
      <c r="P248" s="85"/>
      <c r="Q248" s="83"/>
      <c r="R248" s="85"/>
      <c r="S248" s="85"/>
      <c r="T248" s="85"/>
      <c r="U248" s="3"/>
      <c r="V248" s="90"/>
      <c r="W248" s="90"/>
      <c r="X248" s="89"/>
      <c r="Y248" s="89"/>
      <c r="Z248" s="91"/>
      <c r="AA248" s="91"/>
      <c r="AB248" s="91"/>
      <c r="AC248" s="89"/>
      <c r="AD248" s="17"/>
      <c r="AE248">
        <f t="shared" si="51"/>
        <v>90</v>
      </c>
      <c r="AF248" s="113">
        <f t="shared" si="82"/>
        <v>151.76206553132781</v>
      </c>
      <c r="AG248" s="124">
        <f t="shared" si="83"/>
        <v>0</v>
      </c>
      <c r="AH248" s="124">
        <f t="shared" si="84"/>
        <v>151.76206553132781</v>
      </c>
      <c r="AI248" s="124">
        <f t="shared" si="74"/>
        <v>3.2727365049186812</v>
      </c>
      <c r="AJ248" s="124">
        <f t="shared" si="75"/>
        <v>0.56565816134396951</v>
      </c>
      <c r="AK248" s="124">
        <f t="shared" si="76"/>
        <v>0.23865023673573035</v>
      </c>
      <c r="AL248" s="124">
        <f t="shared" si="77"/>
        <v>1.0203736993210923</v>
      </c>
      <c r="AM248" s="124">
        <f t="shared" si="78"/>
        <v>0.50967717248805799</v>
      </c>
      <c r="AN248" s="124">
        <f t="shared" si="79"/>
        <v>1.0075785998939457</v>
      </c>
      <c r="AO248" s="3">
        <f t="shared" si="62"/>
        <v>157.36916130613534</v>
      </c>
    </row>
    <row r="249" spans="1:41" ht="14">
      <c r="A249">
        <f t="shared" si="66"/>
        <v>91</v>
      </c>
      <c r="B249" s="19">
        <f t="shared" si="66"/>
        <v>171</v>
      </c>
      <c r="C249" s="123">
        <f t="shared" si="80"/>
        <v>152.07353508858631</v>
      </c>
      <c r="D249" s="26"/>
      <c r="E249" s="26">
        <f t="shared" si="61"/>
        <v>152.07353508858631</v>
      </c>
      <c r="F249" s="54">
        <f t="shared" ref="F249:G249" si="87">F248</f>
        <v>3.2727365049186812</v>
      </c>
      <c r="G249" s="54">
        <f t="shared" si="87"/>
        <v>0.56565816134396951</v>
      </c>
      <c r="H249" s="125">
        <f>(H$118)*('Product half-life and C flows'!L150/100)</f>
        <v>0.23500240890496824</v>
      </c>
      <c r="I249" s="125">
        <f>(($C$39*$C$118*0.28)*H$41)*('Product half-life and C flows'!N150/100)</f>
        <v>1.022808016426821</v>
      </c>
      <c r="J249" s="125">
        <f>(($C$39*$C$118*0.28)*H$41)*(+'Product half-life and C flows'!P150/100)</f>
        <v>0.51089311509831192</v>
      </c>
      <c r="K249" s="54">
        <f t="shared" si="86"/>
        <v>1.0075785998939457</v>
      </c>
      <c r="L249" s="26"/>
      <c r="M249" s="83"/>
      <c r="N249" s="85"/>
      <c r="O249" s="85"/>
      <c r="P249" s="85"/>
      <c r="Q249" s="83"/>
      <c r="R249" s="85"/>
      <c r="S249" s="85"/>
      <c r="T249" s="85"/>
      <c r="U249" s="3"/>
      <c r="V249" s="90"/>
      <c r="W249" s="90"/>
      <c r="X249" s="89"/>
      <c r="Y249" s="89"/>
      <c r="Z249" s="91"/>
      <c r="AA249" s="91"/>
      <c r="AB249" s="91"/>
      <c r="AC249" s="89"/>
      <c r="AD249" s="17"/>
      <c r="AE249">
        <f t="shared" si="51"/>
        <v>91</v>
      </c>
      <c r="AF249" s="113">
        <f t="shared" si="82"/>
        <v>152.07353508858631</v>
      </c>
      <c r="AG249" s="124">
        <f t="shared" si="83"/>
        <v>0</v>
      </c>
      <c r="AH249" s="124">
        <f t="shared" si="84"/>
        <v>152.07353508858631</v>
      </c>
      <c r="AI249" s="124">
        <f t="shared" si="74"/>
        <v>3.2727365049186812</v>
      </c>
      <c r="AJ249" s="124">
        <f t="shared" si="75"/>
        <v>0.56565816134396951</v>
      </c>
      <c r="AK249" s="124">
        <f t="shared" si="76"/>
        <v>0.23500240890496824</v>
      </c>
      <c r="AL249" s="124">
        <f t="shared" si="77"/>
        <v>1.022808016426821</v>
      </c>
      <c r="AM249" s="124">
        <f t="shared" si="78"/>
        <v>0.51089311509831192</v>
      </c>
      <c r="AN249" s="124">
        <f t="shared" si="79"/>
        <v>1.0075785998939457</v>
      </c>
      <c r="AO249" s="3">
        <f t="shared" si="62"/>
        <v>157.68063329527902</v>
      </c>
    </row>
    <row r="250" spans="1:41" ht="14">
      <c r="A250">
        <f t="shared" si="66"/>
        <v>92</v>
      </c>
      <c r="B250" s="19">
        <f t="shared" si="66"/>
        <v>172</v>
      </c>
      <c r="C250" s="123">
        <f t="shared" si="80"/>
        <v>152.37925044043024</v>
      </c>
      <c r="D250" s="26"/>
      <c r="E250" s="26">
        <f t="shared" si="61"/>
        <v>152.37925044043024</v>
      </c>
      <c r="F250" s="54">
        <f t="shared" ref="F250:G250" si="88">F249</f>
        <v>3.2727365049186812</v>
      </c>
      <c r="G250" s="54">
        <f t="shared" si="88"/>
        <v>0.56565816134396951</v>
      </c>
      <c r="H250" s="125">
        <f>(H$118)*('Product half-life and C flows'!L151/100)</f>
        <v>0.231410339023852</v>
      </c>
      <c r="I250" s="125">
        <f>(($C$39*$C$118*0.28)*H$41)*('Product half-life and C flows'!N151/100)</f>
        <v>1.0252051243941527</v>
      </c>
      <c r="J250" s="125">
        <f>(($C$39*$C$118*0.28)*H$41)*(+'Product half-life and C flows'!P151/100)</f>
        <v>0.51209047172535072</v>
      </c>
      <c r="K250" s="54">
        <f t="shared" si="86"/>
        <v>1.0075785998939457</v>
      </c>
      <c r="L250" s="26"/>
      <c r="M250" s="83"/>
      <c r="N250" s="85"/>
      <c r="O250" s="85"/>
      <c r="P250" s="85"/>
      <c r="Q250" s="83"/>
      <c r="R250" s="85"/>
      <c r="S250" s="85"/>
      <c r="T250" s="85"/>
      <c r="U250" s="3"/>
      <c r="V250" s="90"/>
      <c r="W250" s="90"/>
      <c r="X250" s="89"/>
      <c r="Y250" s="89"/>
      <c r="Z250" s="91"/>
      <c r="AA250" s="91"/>
      <c r="AB250" s="91"/>
      <c r="AC250" s="89"/>
      <c r="AD250" s="17"/>
      <c r="AE250">
        <f t="shared" si="51"/>
        <v>92</v>
      </c>
      <c r="AF250" s="113">
        <f t="shared" si="82"/>
        <v>152.37925044043024</v>
      </c>
      <c r="AG250" s="124">
        <f t="shared" si="83"/>
        <v>0</v>
      </c>
      <c r="AH250" s="124">
        <f t="shared" si="84"/>
        <v>152.37925044043024</v>
      </c>
      <c r="AI250" s="124">
        <f t="shared" si="74"/>
        <v>3.2727365049186812</v>
      </c>
      <c r="AJ250" s="124">
        <f t="shared" si="75"/>
        <v>0.56565816134396951</v>
      </c>
      <c r="AK250" s="124">
        <f t="shared" si="76"/>
        <v>0.231410339023852</v>
      </c>
      <c r="AL250" s="124">
        <f t="shared" si="77"/>
        <v>1.0252051243941527</v>
      </c>
      <c r="AM250" s="124">
        <f t="shared" si="78"/>
        <v>0.51209047172535072</v>
      </c>
      <c r="AN250" s="124">
        <f t="shared" si="79"/>
        <v>1.0075785998939457</v>
      </c>
      <c r="AO250" s="3">
        <f t="shared" si="62"/>
        <v>157.98635104183623</v>
      </c>
    </row>
    <row r="251" spans="1:41" ht="14">
      <c r="A251">
        <f t="shared" si="66"/>
        <v>93</v>
      </c>
      <c r="B251" s="19">
        <f t="shared" si="66"/>
        <v>173</v>
      </c>
      <c r="C251" s="123">
        <f t="shared" si="80"/>
        <v>152.67930958779479</v>
      </c>
      <c r="D251" s="26"/>
      <c r="E251" s="26">
        <f t="shared" si="61"/>
        <v>152.67930958779479</v>
      </c>
      <c r="F251" s="54">
        <f t="shared" ref="F251:G251" si="89">F250</f>
        <v>3.2727365049186812</v>
      </c>
      <c r="G251" s="54">
        <f t="shared" si="89"/>
        <v>0.56565816134396951</v>
      </c>
      <c r="H251" s="125">
        <f>(H$118)*('Product half-life and C flows'!L152/100)</f>
        <v>0.2278731748183454</v>
      </c>
      <c r="I251" s="125">
        <f>(($C$39*$C$118*0.28)*H$41)*('Product half-life and C flows'!N152/100)</f>
        <v>1.0275655919739608</v>
      </c>
      <c r="J251" s="125">
        <f>(($C$39*$C$118*0.28)*H$41)*(+'Product half-life and C flows'!P152/100)</f>
        <v>0.5132695264605196</v>
      </c>
      <c r="K251" s="54">
        <f t="shared" si="86"/>
        <v>1.0075785998939457</v>
      </c>
      <c r="L251" s="26"/>
      <c r="M251" s="83"/>
      <c r="N251" s="85"/>
      <c r="O251" s="85"/>
      <c r="P251" s="85"/>
      <c r="Q251" s="83"/>
      <c r="R251" s="85"/>
      <c r="S251" s="85"/>
      <c r="T251" s="85"/>
      <c r="U251" s="3"/>
      <c r="V251" s="90"/>
      <c r="W251" s="90"/>
      <c r="X251" s="89"/>
      <c r="Y251" s="89"/>
      <c r="Z251" s="91"/>
      <c r="AA251" s="91"/>
      <c r="AB251" s="91"/>
      <c r="AC251" s="89"/>
      <c r="AD251" s="17"/>
      <c r="AE251">
        <f t="shared" si="51"/>
        <v>93</v>
      </c>
      <c r="AF251" s="113">
        <f t="shared" si="82"/>
        <v>152.67930958779479</v>
      </c>
      <c r="AG251" s="124">
        <f t="shared" si="83"/>
        <v>0</v>
      </c>
      <c r="AH251" s="124">
        <f t="shared" si="84"/>
        <v>152.67930958779479</v>
      </c>
      <c r="AI251" s="124">
        <f t="shared" si="74"/>
        <v>3.2727365049186812</v>
      </c>
      <c r="AJ251" s="124">
        <f t="shared" si="75"/>
        <v>0.56565816134396951</v>
      </c>
      <c r="AK251" s="124">
        <f t="shared" si="76"/>
        <v>0.2278731748183454</v>
      </c>
      <c r="AL251" s="124">
        <f t="shared" si="77"/>
        <v>1.0275655919739608</v>
      </c>
      <c r="AM251" s="124">
        <f t="shared" si="78"/>
        <v>0.5132695264605196</v>
      </c>
      <c r="AN251" s="124">
        <f t="shared" si="79"/>
        <v>1.0075785998939457</v>
      </c>
      <c r="AO251" s="3">
        <f t="shared" si="62"/>
        <v>158.28641254731028</v>
      </c>
    </row>
    <row r="252" spans="1:41" ht="14">
      <c r="A252">
        <f t="shared" si="66"/>
        <v>94</v>
      </c>
      <c r="B252" s="19">
        <f t="shared" si="66"/>
        <v>174</v>
      </c>
      <c r="C252" s="123">
        <f t="shared" si="80"/>
        <v>152.97380920059325</v>
      </c>
      <c r="D252" s="26"/>
      <c r="E252" s="26">
        <f t="shared" si="61"/>
        <v>152.97380920059325</v>
      </c>
      <c r="F252" s="54">
        <f t="shared" ref="F252:G252" si="90">F251</f>
        <v>3.2727365049186812</v>
      </c>
      <c r="G252" s="54">
        <f t="shared" si="90"/>
        <v>0.56565816134396951</v>
      </c>
      <c r="H252" s="125">
        <f>(H$118)*('Product half-life and C flows'!L153/100)</f>
        <v>0.22439007704163147</v>
      </c>
      <c r="I252" s="125">
        <f>(($C$39*$C$118*0.28)*H$41)*('Product half-life and C flows'!N153/100)</f>
        <v>1.0298899792236211</v>
      </c>
      <c r="J252" s="125">
        <f>(($C$39*$C$118*0.28)*H$41)*(+'Product half-life and C flows'!P153/100)</f>
        <v>0.51443055905275747</v>
      </c>
      <c r="K252" s="54">
        <f t="shared" si="86"/>
        <v>1.0075785998939457</v>
      </c>
      <c r="L252" s="26"/>
      <c r="M252" s="83"/>
      <c r="N252" s="85"/>
      <c r="O252" s="85"/>
      <c r="P252" s="85"/>
      <c r="Q252" s="83"/>
      <c r="R252" s="85"/>
      <c r="S252" s="85"/>
      <c r="T252" s="85"/>
      <c r="U252" s="3"/>
      <c r="V252" s="90"/>
      <c r="W252" s="90"/>
      <c r="X252" s="89"/>
      <c r="Y252" s="89"/>
      <c r="Z252" s="91"/>
      <c r="AA252" s="91"/>
      <c r="AB252" s="91"/>
      <c r="AC252" s="89"/>
      <c r="AD252" s="17"/>
      <c r="AE252">
        <f t="shared" si="51"/>
        <v>94</v>
      </c>
      <c r="AF252" s="113">
        <f t="shared" si="82"/>
        <v>152.97380920059325</v>
      </c>
      <c r="AG252" s="124">
        <f t="shared" si="83"/>
        <v>0</v>
      </c>
      <c r="AH252" s="124">
        <f t="shared" si="84"/>
        <v>152.97380920059325</v>
      </c>
      <c r="AI252" s="124">
        <f t="shared" si="74"/>
        <v>3.2727365049186812</v>
      </c>
      <c r="AJ252" s="124">
        <f t="shared" si="75"/>
        <v>0.56565816134396951</v>
      </c>
      <c r="AK252" s="124">
        <f t="shared" si="76"/>
        <v>0.22439007704163147</v>
      </c>
      <c r="AL252" s="124">
        <f t="shared" si="77"/>
        <v>1.0298899792236211</v>
      </c>
      <c r="AM252" s="124">
        <f t="shared" si="78"/>
        <v>0.51443055905275747</v>
      </c>
      <c r="AN252" s="124">
        <f t="shared" si="79"/>
        <v>1.0075785998939457</v>
      </c>
      <c r="AO252" s="3">
        <f t="shared" si="62"/>
        <v>158.58091448217388</v>
      </c>
    </row>
    <row r="253" spans="1:41" ht="14">
      <c r="A253">
        <f t="shared" si="66"/>
        <v>95</v>
      </c>
      <c r="B253" s="19">
        <f t="shared" si="66"/>
        <v>175</v>
      </c>
      <c r="C253" s="123">
        <f t="shared" si="80"/>
        <v>153.26284462107563</v>
      </c>
      <c r="D253" s="26"/>
      <c r="E253" s="26">
        <f t="shared" si="61"/>
        <v>153.26284462107563</v>
      </c>
      <c r="F253" s="54">
        <f t="shared" ref="F253:G253" si="91">F252</f>
        <v>3.2727365049186812</v>
      </c>
      <c r="G253" s="54">
        <f t="shared" si="91"/>
        <v>0.56565816134396951</v>
      </c>
      <c r="H253" s="125">
        <f>(H$118)*('Product half-life and C flows'!L154/100)</f>
        <v>0.2209602192749881</v>
      </c>
      <c r="I253" s="125">
        <f>(($C$39*$C$118*0.28)*H$41)*('Product half-life and C flows'!N154/100)</f>
        <v>1.0321788376398946</v>
      </c>
      <c r="J253" s="125">
        <f>(($C$39*$C$118*0.28)*H$41)*(+'Product half-life and C flows'!P154/100)</f>
        <v>0.51557384497497194</v>
      </c>
      <c r="K253" s="54">
        <f t="shared" si="86"/>
        <v>1.0075785998939457</v>
      </c>
      <c r="L253" s="26"/>
      <c r="M253" s="83"/>
      <c r="N253" s="85"/>
      <c r="O253" s="85"/>
      <c r="P253" s="85"/>
      <c r="Q253" s="83"/>
      <c r="R253" s="85"/>
      <c r="S253" s="85"/>
      <c r="T253" s="85"/>
      <c r="U253" s="3"/>
      <c r="V253" s="90"/>
      <c r="W253" s="90"/>
      <c r="X253" s="89"/>
      <c r="Y253" s="89"/>
      <c r="Z253" s="91"/>
      <c r="AA253" s="91"/>
      <c r="AB253" s="91"/>
      <c r="AC253" s="89"/>
      <c r="AD253" s="17"/>
      <c r="AE253">
        <f t="shared" si="51"/>
        <v>95</v>
      </c>
      <c r="AF253" s="113">
        <f t="shared" si="82"/>
        <v>153.26284462107563</v>
      </c>
      <c r="AG253" s="124">
        <f t="shared" si="83"/>
        <v>0</v>
      </c>
      <c r="AH253" s="124">
        <f t="shared" si="84"/>
        <v>153.26284462107563</v>
      </c>
      <c r="AI253" s="124">
        <f t="shared" si="74"/>
        <v>3.2727365049186812</v>
      </c>
      <c r="AJ253" s="124">
        <f t="shared" si="75"/>
        <v>0.56565816134396951</v>
      </c>
      <c r="AK253" s="124">
        <f t="shared" si="76"/>
        <v>0.2209602192749881</v>
      </c>
      <c r="AL253" s="124">
        <f t="shared" si="77"/>
        <v>1.0321788376398946</v>
      </c>
      <c r="AM253" s="124">
        <f t="shared" si="78"/>
        <v>0.51557384497497194</v>
      </c>
      <c r="AN253" s="124">
        <f t="shared" si="79"/>
        <v>1.0075785998939457</v>
      </c>
      <c r="AO253" s="3">
        <f t="shared" si="62"/>
        <v>158.86995218922812</v>
      </c>
    </row>
    <row r="254" spans="1:41" ht="14">
      <c r="A254">
        <f t="shared" si="66"/>
        <v>96</v>
      </c>
      <c r="B254" s="19">
        <f t="shared" si="66"/>
        <v>176</v>
      </c>
      <c r="C254" s="123">
        <f t="shared" si="80"/>
        <v>153.54650986796895</v>
      </c>
      <c r="D254" s="26"/>
      <c r="E254" s="26">
        <f t="shared" ref="E254:E285" si="92">B$8*(1-EXP(-B$9*$B254))^3</f>
        <v>153.54650986796895</v>
      </c>
      <c r="F254" s="54">
        <f t="shared" ref="F254:G254" si="93">F253</f>
        <v>3.2727365049186812</v>
      </c>
      <c r="G254" s="54">
        <f t="shared" si="93"/>
        <v>0.56565816134396951</v>
      </c>
      <c r="H254" s="125">
        <f>(H$118)*('Product half-life and C flows'!L155/100)</f>
        <v>0.21758278773170769</v>
      </c>
      <c r="I254" s="125">
        <f>(($C$39*$C$118*0.28)*H$41)*('Product half-life and C flows'!N155/100)</f>
        <v>1.034432710289777</v>
      </c>
      <c r="J254" s="125">
        <f>(($C$39*$C$118*0.28)*H$41)*(+'Product half-life and C flows'!P155/100)</f>
        <v>0.51669965548939878</v>
      </c>
      <c r="K254" s="54">
        <f t="shared" si="86"/>
        <v>1.0075785998939457</v>
      </c>
      <c r="L254" s="26"/>
      <c r="M254" s="83"/>
      <c r="N254" s="85"/>
      <c r="O254" s="85"/>
      <c r="P254" s="85"/>
      <c r="Q254" s="83"/>
      <c r="R254" s="85"/>
      <c r="S254" s="85"/>
      <c r="T254" s="85"/>
      <c r="U254" s="3"/>
      <c r="V254" s="90"/>
      <c r="W254" s="90"/>
      <c r="X254" s="89"/>
      <c r="Y254" s="89"/>
      <c r="Z254" s="91"/>
      <c r="AA254" s="91"/>
      <c r="AB254" s="91"/>
      <c r="AC254" s="89"/>
      <c r="AD254" s="17"/>
      <c r="AE254">
        <f t="shared" si="51"/>
        <v>96</v>
      </c>
      <c r="AF254" s="113">
        <f t="shared" si="82"/>
        <v>153.54650986796895</v>
      </c>
      <c r="AG254" s="124">
        <f t="shared" si="83"/>
        <v>0</v>
      </c>
      <c r="AH254" s="124">
        <f t="shared" si="84"/>
        <v>153.54650986796895</v>
      </c>
      <c r="AI254" s="124">
        <f t="shared" si="74"/>
        <v>3.2727365049186812</v>
      </c>
      <c r="AJ254" s="124">
        <f t="shared" si="75"/>
        <v>0.56565816134396951</v>
      </c>
      <c r="AK254" s="124">
        <f t="shared" si="76"/>
        <v>0.21758278773170769</v>
      </c>
      <c r="AL254" s="124">
        <f t="shared" si="77"/>
        <v>1.034432710289777</v>
      </c>
      <c r="AM254" s="124">
        <f t="shared" si="78"/>
        <v>0.51669965548939878</v>
      </c>
      <c r="AN254" s="124">
        <f t="shared" si="79"/>
        <v>1.0075785998939457</v>
      </c>
      <c r="AO254" s="3">
        <f t="shared" si="62"/>
        <v>159.15361968774246</v>
      </c>
    </row>
    <row r="255" spans="1:41" ht="14">
      <c r="A255">
        <f t="shared" si="66"/>
        <v>97</v>
      </c>
      <c r="B255" s="19">
        <f t="shared" si="66"/>
        <v>177</v>
      </c>
      <c r="C255" s="123">
        <f t="shared" si="80"/>
        <v>153.82489764135551</v>
      </c>
      <c r="D255" s="26"/>
      <c r="E255" s="26">
        <f t="shared" si="92"/>
        <v>153.82489764135551</v>
      </c>
      <c r="F255" s="54">
        <f t="shared" ref="F255:G255" si="94">F254</f>
        <v>3.2727365049186812</v>
      </c>
      <c r="G255" s="54">
        <f t="shared" si="94"/>
        <v>0.56565816134396951</v>
      </c>
      <c r="H255" s="125">
        <f>(H$118)*('Product half-life and C flows'!L156/100)</f>
        <v>0.21425698106401336</v>
      </c>
      <c r="I255" s="125">
        <f>(($C$39*$C$118*0.28)*H$41)*('Product half-life and C flows'!N156/100)</f>
        <v>1.0366521319393518</v>
      </c>
      <c r="J255" s="125">
        <f>(($C$39*$C$118*0.28)*H$41)*(+'Product half-life and C flows'!P156/100)</f>
        <v>0.51780825771196348</v>
      </c>
      <c r="K255" s="54">
        <f t="shared" si="86"/>
        <v>1.0075785998939457</v>
      </c>
      <c r="L255" s="26"/>
      <c r="M255" s="83"/>
      <c r="N255" s="85"/>
      <c r="O255" s="85"/>
      <c r="P255" s="85"/>
      <c r="Q255" s="83"/>
      <c r="R255" s="85"/>
      <c r="S255" s="85"/>
      <c r="T255" s="85"/>
      <c r="U255" s="3"/>
      <c r="V255" s="90"/>
      <c r="W255" s="90"/>
      <c r="X255" s="89"/>
      <c r="Y255" s="89"/>
      <c r="Z255" s="91"/>
      <c r="AA255" s="91"/>
      <c r="AB255" s="91"/>
      <c r="AC255" s="89"/>
      <c r="AD255" s="17"/>
      <c r="AE255">
        <f t="shared" si="51"/>
        <v>97</v>
      </c>
      <c r="AF255" s="113">
        <f t="shared" si="82"/>
        <v>153.82489764135551</v>
      </c>
      <c r="AG255" s="124">
        <f t="shared" si="83"/>
        <v>0</v>
      </c>
      <c r="AH255" s="124">
        <f t="shared" si="84"/>
        <v>153.82489764135551</v>
      </c>
      <c r="AI255" s="124">
        <f t="shared" si="74"/>
        <v>3.2727365049186812</v>
      </c>
      <c r="AJ255" s="124">
        <f t="shared" si="75"/>
        <v>0.56565816134396951</v>
      </c>
      <c r="AK255" s="124">
        <f t="shared" si="76"/>
        <v>0.21425698106401336</v>
      </c>
      <c r="AL255" s="124">
        <f t="shared" si="77"/>
        <v>1.0366521319393518</v>
      </c>
      <c r="AM255" s="124">
        <f t="shared" si="78"/>
        <v>0.51780825771196348</v>
      </c>
      <c r="AN255" s="124">
        <f t="shared" si="79"/>
        <v>1.0075785998939457</v>
      </c>
      <c r="AO255" s="3">
        <f t="shared" si="62"/>
        <v>159.43200967833349</v>
      </c>
    </row>
    <row r="256" spans="1:41" ht="14">
      <c r="A256">
        <f t="shared" ref="A256:B271" si="95">A255+1</f>
        <v>98</v>
      </c>
      <c r="B256" s="19">
        <f t="shared" si="95"/>
        <v>178</v>
      </c>
      <c r="C256" s="123">
        <f t="shared" si="80"/>
        <v>154.09809932824348</v>
      </c>
      <c r="D256" s="26"/>
      <c r="E256" s="26">
        <f t="shared" si="92"/>
        <v>154.09809932824348</v>
      </c>
      <c r="F256" s="54">
        <f t="shared" ref="F256:G256" si="96">F255</f>
        <v>3.2727365049186812</v>
      </c>
      <c r="G256" s="54">
        <f t="shared" si="96"/>
        <v>0.56565816134396951</v>
      </c>
      <c r="H256" s="125">
        <f>(H$118)*('Product half-life and C flows'!L157/100)</f>
        <v>0.21098201017292695</v>
      </c>
      <c r="I256" s="125">
        <f>(($C$39*$C$118*0.28)*H$41)*('Product half-life and C flows'!N157/100)</f>
        <v>1.0388376291806702</v>
      </c>
      <c r="J256" s="125">
        <f>(($C$39*$C$118*0.28)*H$41)*(+'Product half-life and C flows'!P157/100)</f>
        <v>0.51889991467565899</v>
      </c>
      <c r="K256" s="54">
        <f t="shared" si="86"/>
        <v>1.0075785998939457</v>
      </c>
      <c r="L256" s="26"/>
      <c r="M256" s="83"/>
      <c r="N256" s="85"/>
      <c r="O256" s="85"/>
      <c r="P256" s="85"/>
      <c r="Q256" s="83"/>
      <c r="R256" s="85"/>
      <c r="S256" s="85"/>
      <c r="T256" s="85"/>
      <c r="U256" s="3"/>
      <c r="V256" s="90"/>
      <c r="W256" s="90"/>
      <c r="X256" s="89"/>
      <c r="Y256" s="89"/>
      <c r="Z256" s="91"/>
      <c r="AA256" s="91"/>
      <c r="AB256" s="91"/>
      <c r="AC256" s="89"/>
      <c r="AD256" s="17"/>
      <c r="AE256">
        <f t="shared" si="51"/>
        <v>98</v>
      </c>
      <c r="AF256" s="113">
        <f t="shared" si="82"/>
        <v>154.09809932824348</v>
      </c>
      <c r="AG256" s="124">
        <f t="shared" si="83"/>
        <v>0</v>
      </c>
      <c r="AH256" s="124">
        <f t="shared" si="84"/>
        <v>154.09809932824348</v>
      </c>
      <c r="AI256" s="124">
        <f t="shared" si="74"/>
        <v>3.2727365049186812</v>
      </c>
      <c r="AJ256" s="124">
        <f t="shared" si="75"/>
        <v>0.56565816134396951</v>
      </c>
      <c r="AK256" s="124">
        <f t="shared" si="76"/>
        <v>0.21098201017292695</v>
      </c>
      <c r="AL256" s="124">
        <f t="shared" si="77"/>
        <v>1.0388376291806702</v>
      </c>
      <c r="AM256" s="124">
        <f t="shared" si="78"/>
        <v>0.51889991467565899</v>
      </c>
      <c r="AN256" s="124">
        <f t="shared" si="79"/>
        <v>1.0075785998939457</v>
      </c>
      <c r="AO256" s="3">
        <f t="shared" si="62"/>
        <v>159.7052135485354</v>
      </c>
    </row>
    <row r="257" spans="1:41" ht="14">
      <c r="A257">
        <f t="shared" si="95"/>
        <v>99</v>
      </c>
      <c r="B257" s="19">
        <f t="shared" si="95"/>
        <v>179</v>
      </c>
      <c r="C257" s="123">
        <f t="shared" si="80"/>
        <v>154.36620500878925</v>
      </c>
      <c r="D257" s="26"/>
      <c r="E257" s="26">
        <f t="shared" si="92"/>
        <v>154.36620500878925</v>
      </c>
      <c r="F257" s="54">
        <f t="shared" ref="F257:G257" si="97">F256</f>
        <v>3.2727365049186812</v>
      </c>
      <c r="G257" s="54">
        <f t="shared" si="97"/>
        <v>0.56565816134396951</v>
      </c>
      <c r="H257" s="125">
        <f>(H$118)*('Product half-life and C flows'!L158/100)</f>
        <v>0.20775709802104345</v>
      </c>
      <c r="I257" s="125">
        <f>(($C$39*$C$118*0.28)*H$41)*('Product half-life and C flows'!N158/100)</f>
        <v>1.0409897205566938</v>
      </c>
      <c r="J257" s="125">
        <f>(($C$39*$C$118*0.28)*H$41)*(+'Product half-life and C flows'!P158/100)</f>
        <v>0.51997488539295345</v>
      </c>
      <c r="K257" s="54">
        <f t="shared" si="86"/>
        <v>1.0075785998939457</v>
      </c>
      <c r="L257" s="26"/>
      <c r="M257" s="83"/>
      <c r="N257" s="85"/>
      <c r="O257" s="85"/>
      <c r="P257" s="85"/>
      <c r="Q257" s="83"/>
      <c r="R257" s="85"/>
      <c r="S257" s="85"/>
      <c r="T257" s="85"/>
      <c r="U257" s="3"/>
      <c r="V257" s="90"/>
      <c r="W257" s="90"/>
      <c r="X257" s="89"/>
      <c r="Y257" s="89"/>
      <c r="Z257" s="91"/>
      <c r="AA257" s="91"/>
      <c r="AB257" s="91"/>
      <c r="AC257" s="89"/>
      <c r="AD257" s="17"/>
      <c r="AE257">
        <f t="shared" si="51"/>
        <v>99</v>
      </c>
      <c r="AF257" s="113">
        <f t="shared" si="82"/>
        <v>154.36620500878925</v>
      </c>
      <c r="AG257" s="124">
        <f t="shared" si="83"/>
        <v>0</v>
      </c>
      <c r="AH257" s="124">
        <f t="shared" si="84"/>
        <v>154.36620500878925</v>
      </c>
      <c r="AI257" s="124">
        <f t="shared" si="74"/>
        <v>3.2727365049186812</v>
      </c>
      <c r="AJ257" s="124">
        <f t="shared" si="75"/>
        <v>0.56565816134396951</v>
      </c>
      <c r="AK257" s="124">
        <f t="shared" si="76"/>
        <v>0.20775709802104345</v>
      </c>
      <c r="AL257" s="124">
        <f t="shared" si="77"/>
        <v>1.0409897205566938</v>
      </c>
      <c r="AM257" s="124">
        <f t="shared" si="78"/>
        <v>0.51997488539295345</v>
      </c>
      <c r="AN257" s="124">
        <f t="shared" si="79"/>
        <v>1.0075785998939457</v>
      </c>
      <c r="AO257" s="3">
        <f t="shared" si="62"/>
        <v>159.97332137902256</v>
      </c>
    </row>
    <row r="258" spans="1:41" ht="14">
      <c r="A258">
        <f t="shared" si="95"/>
        <v>100</v>
      </c>
      <c r="B258" s="19">
        <f t="shared" si="95"/>
        <v>180</v>
      </c>
      <c r="C258" s="123">
        <f t="shared" si="80"/>
        <v>154.62930346313073</v>
      </c>
      <c r="D258" s="26"/>
      <c r="E258" s="26">
        <f t="shared" si="92"/>
        <v>154.62930346313073</v>
      </c>
      <c r="F258" s="54">
        <f t="shared" ref="F258:G258" si="98">F257</f>
        <v>3.2727365049186812</v>
      </c>
      <c r="G258" s="54">
        <f t="shared" si="98"/>
        <v>0.56565816134396951</v>
      </c>
      <c r="H258" s="125">
        <f>(H$118)*('Product half-life and C flows'!L159/100)</f>
        <v>0.20458147944816621</v>
      </c>
      <c r="I258" s="125">
        <f>(($C$39*$C$118*0.28)*H$41)*('Product half-life and C flows'!N159/100)</f>
        <v>1.043108916684327</v>
      </c>
      <c r="J258" s="125">
        <f>(($C$39*$C$118*0.28)*H$41)*(+'Product half-life and C flows'!P159/100)</f>
        <v>0.52103342491724591</v>
      </c>
      <c r="K258" s="54">
        <f t="shared" si="86"/>
        <v>1.0075785998939457</v>
      </c>
      <c r="L258" s="26"/>
      <c r="M258" s="83"/>
      <c r="N258" s="85"/>
      <c r="O258" s="85"/>
      <c r="P258" s="85"/>
      <c r="Q258" s="83"/>
      <c r="R258" s="85"/>
      <c r="S258" s="85"/>
      <c r="T258" s="85"/>
      <c r="U258" s="3"/>
      <c r="V258" s="90"/>
      <c r="W258" s="90"/>
      <c r="X258" s="89"/>
      <c r="Y258" s="89"/>
      <c r="Z258" s="91"/>
      <c r="AA258" s="91"/>
      <c r="AB258" s="91"/>
      <c r="AC258" s="89"/>
      <c r="AD258" s="17"/>
      <c r="AE258">
        <f t="shared" si="51"/>
        <v>100</v>
      </c>
      <c r="AF258" s="113">
        <f t="shared" si="82"/>
        <v>154.62930346313073</v>
      </c>
      <c r="AG258" s="124">
        <f t="shared" si="83"/>
        <v>0</v>
      </c>
      <c r="AH258" s="124">
        <f t="shared" si="84"/>
        <v>154.62930346313073</v>
      </c>
      <c r="AI258" s="124">
        <f t="shared" si="74"/>
        <v>3.2727365049186812</v>
      </c>
      <c r="AJ258" s="124">
        <f t="shared" si="75"/>
        <v>0.56565816134396951</v>
      </c>
      <c r="AK258" s="124">
        <f t="shared" si="76"/>
        <v>0.20458147944816621</v>
      </c>
      <c r="AL258" s="124">
        <f t="shared" si="77"/>
        <v>1.043108916684327</v>
      </c>
      <c r="AM258" s="124">
        <f t="shared" si="78"/>
        <v>0.52103342491724591</v>
      </c>
      <c r="AN258" s="124">
        <f t="shared" si="79"/>
        <v>1.0075785998939457</v>
      </c>
      <c r="AO258" s="3">
        <f t="shared" si="62"/>
        <v>160.23642195044312</v>
      </c>
    </row>
    <row r="259" spans="1:41" ht="14">
      <c r="A259">
        <f t="shared" si="95"/>
        <v>101</v>
      </c>
      <c r="B259" s="19">
        <f t="shared" si="95"/>
        <v>181</v>
      </c>
      <c r="C259" s="123">
        <f t="shared" si="80"/>
        <v>154.88748217879268</v>
      </c>
      <c r="D259" s="26"/>
      <c r="E259" s="26">
        <f t="shared" si="92"/>
        <v>154.88748217879268</v>
      </c>
      <c r="F259" s="54">
        <f t="shared" ref="F259:G259" si="99">F258</f>
        <v>3.2727365049186812</v>
      </c>
      <c r="G259" s="54">
        <f t="shared" si="99"/>
        <v>0.56565816134396951</v>
      </c>
      <c r="H259" s="125">
        <f>(H$118)*('Product half-life and C flows'!L160/100)</f>
        <v>0.20145440098976142</v>
      </c>
      <c r="I259" s="125">
        <f>(($C$39*$C$118*0.28)*H$41)*('Product half-life and C flows'!N160/100)</f>
        <v>1.0451957203755693</v>
      </c>
      <c r="J259" s="125">
        <f>(($C$39*$C$118*0.28)*H$41)*(+'Product half-life and C flows'!P160/100)</f>
        <v>0.52207578440338076</v>
      </c>
      <c r="K259" s="54">
        <f t="shared" si="86"/>
        <v>1.0075785998939457</v>
      </c>
      <c r="L259" s="26"/>
      <c r="M259" s="83"/>
      <c r="N259" s="85"/>
      <c r="O259" s="85"/>
      <c r="P259" s="85"/>
      <c r="Q259" s="83"/>
      <c r="R259" s="85"/>
      <c r="S259" s="85"/>
      <c r="T259" s="85"/>
      <c r="U259" s="3"/>
      <c r="V259" s="90"/>
      <c r="W259" s="90"/>
      <c r="X259" s="89"/>
      <c r="Y259" s="89"/>
      <c r="Z259" s="91"/>
      <c r="AA259" s="91"/>
      <c r="AB259" s="91"/>
      <c r="AC259" s="89"/>
      <c r="AD259" s="17"/>
      <c r="AE259">
        <f t="shared" si="51"/>
        <v>101</v>
      </c>
      <c r="AF259" s="113">
        <f t="shared" si="82"/>
        <v>154.88748217879268</v>
      </c>
      <c r="AG259" s="124">
        <f t="shared" si="83"/>
        <v>0</v>
      </c>
      <c r="AH259" s="124">
        <f t="shared" si="84"/>
        <v>154.88748217879268</v>
      </c>
      <c r="AI259" s="124">
        <f t="shared" si="74"/>
        <v>3.2727365049186812</v>
      </c>
      <c r="AJ259" s="124">
        <f t="shared" si="75"/>
        <v>0.56565816134396951</v>
      </c>
      <c r="AK259" s="124">
        <f t="shared" si="76"/>
        <v>0.20145440098976142</v>
      </c>
      <c r="AL259" s="124">
        <f t="shared" si="77"/>
        <v>1.0451957203755693</v>
      </c>
      <c r="AM259" s="124">
        <f t="shared" si="78"/>
        <v>0.52207578440338076</v>
      </c>
      <c r="AN259" s="124">
        <f t="shared" si="79"/>
        <v>1.0075785998939457</v>
      </c>
      <c r="AO259" s="3">
        <f t="shared" si="62"/>
        <v>160.49460275082404</v>
      </c>
    </row>
    <row r="260" spans="1:41" ht="14">
      <c r="A260">
        <f t="shared" si="95"/>
        <v>102</v>
      </c>
      <c r="B260" s="19">
        <f t="shared" si="95"/>
        <v>182</v>
      </c>
      <c r="C260" s="123">
        <f t="shared" si="80"/>
        <v>155.14082735862848</v>
      </c>
      <c r="D260" s="26"/>
      <c r="E260" s="26">
        <f t="shared" si="92"/>
        <v>155.14082735862848</v>
      </c>
      <c r="F260" s="54">
        <f t="shared" ref="F260:G260" si="100">F259</f>
        <v>3.2727365049186812</v>
      </c>
      <c r="G260" s="54">
        <f t="shared" si="100"/>
        <v>0.56565816134396951</v>
      </c>
      <c r="H260" s="125">
        <f>(H$118)*('Product half-life and C flows'!L161/100)</f>
        <v>0.19837512069818675</v>
      </c>
      <c r="I260" s="125">
        <f>(($C$39*$C$118*0.28)*H$41)*('Product half-life and C flows'!N161/100)</f>
        <v>1.0472506267568134</v>
      </c>
      <c r="J260" s="125">
        <f>(($C$39*$C$118*0.28)*H$41)*(+'Product half-life and C flows'!P161/100)</f>
        <v>0.52310221116723898</v>
      </c>
      <c r="K260" s="54">
        <f t="shared" si="86"/>
        <v>1.0075785998939457</v>
      </c>
      <c r="L260" s="26"/>
      <c r="M260" s="83"/>
      <c r="N260" s="85"/>
      <c r="O260" s="85"/>
      <c r="P260" s="85"/>
      <c r="Q260" s="83"/>
      <c r="R260" s="85"/>
      <c r="S260" s="85"/>
      <c r="T260" s="85"/>
      <c r="U260" s="3"/>
      <c r="V260" s="90"/>
      <c r="W260" s="90"/>
      <c r="X260" s="89"/>
      <c r="Y260" s="89"/>
      <c r="Z260" s="91"/>
      <c r="AA260" s="91"/>
      <c r="AB260" s="91"/>
      <c r="AC260" s="89"/>
      <c r="AD260" s="17"/>
      <c r="AE260">
        <f t="shared" si="51"/>
        <v>102</v>
      </c>
      <c r="AF260" s="113">
        <f t="shared" si="82"/>
        <v>155.14082735862848</v>
      </c>
      <c r="AG260" s="124">
        <f t="shared" si="83"/>
        <v>0</v>
      </c>
      <c r="AH260" s="124">
        <f t="shared" si="84"/>
        <v>155.14082735862848</v>
      </c>
      <c r="AI260" s="124">
        <f t="shared" si="74"/>
        <v>3.2727365049186812</v>
      </c>
      <c r="AJ260" s="124">
        <f t="shared" si="75"/>
        <v>0.56565816134396951</v>
      </c>
      <c r="AK260" s="124">
        <f t="shared" si="76"/>
        <v>0.19837512069818675</v>
      </c>
      <c r="AL260" s="124">
        <f t="shared" si="77"/>
        <v>1.0472506267568134</v>
      </c>
      <c r="AM260" s="124">
        <f t="shared" si="78"/>
        <v>0.52310221116723898</v>
      </c>
      <c r="AN260" s="124">
        <f t="shared" si="79"/>
        <v>1.0075785998939457</v>
      </c>
      <c r="AO260" s="3">
        <f t="shared" si="62"/>
        <v>160.74794998351337</v>
      </c>
    </row>
    <row r="261" spans="1:41" ht="14">
      <c r="A261">
        <f t="shared" si="95"/>
        <v>103</v>
      </c>
      <c r="B261" s="19">
        <f t="shared" si="95"/>
        <v>183</v>
      </c>
      <c r="C261" s="123">
        <f t="shared" si="80"/>
        <v>155.3894239292618</v>
      </c>
      <c r="D261" s="26"/>
      <c r="E261" s="26">
        <f t="shared" si="92"/>
        <v>155.3894239292618</v>
      </c>
      <c r="F261" s="54">
        <f t="shared" ref="F261:G261" si="101">F260</f>
        <v>3.2727365049186812</v>
      </c>
      <c r="G261" s="54">
        <f t="shared" si="101"/>
        <v>0.56565816134396951</v>
      </c>
      <c r="H261" s="125">
        <f>(H$118)*('Product half-life and C flows'!L162/100)</f>
        <v>0.19534290796665299</v>
      </c>
      <c r="I261" s="125">
        <f>(($C$39*$C$118*0.28)*H$41)*('Product half-life and C flows'!N162/100)</f>
        <v>1.0492741233863236</v>
      </c>
      <c r="J261" s="125">
        <f>(($C$39*$C$118*0.28)*H$41)*(+'Product half-life and C flows'!P162/100)</f>
        <v>0.52411294874441705</v>
      </c>
      <c r="K261" s="54">
        <f t="shared" si="86"/>
        <v>1.0075785998939457</v>
      </c>
      <c r="L261" s="26"/>
      <c r="M261" s="83"/>
      <c r="N261" s="85"/>
      <c r="O261" s="85"/>
      <c r="P261" s="85"/>
      <c r="Q261" s="83"/>
      <c r="R261" s="85"/>
      <c r="S261" s="85"/>
      <c r="T261" s="85"/>
      <c r="U261" s="3"/>
      <c r="V261" s="90"/>
      <c r="W261" s="90"/>
      <c r="X261" s="89"/>
      <c r="Y261" s="89"/>
      <c r="Z261" s="91"/>
      <c r="AA261" s="91"/>
      <c r="AB261" s="91"/>
      <c r="AC261" s="89"/>
      <c r="AD261" s="17"/>
      <c r="AE261">
        <f t="shared" si="51"/>
        <v>103</v>
      </c>
      <c r="AF261" s="113">
        <f t="shared" si="82"/>
        <v>155.3894239292618</v>
      </c>
      <c r="AG261" s="124">
        <f t="shared" si="83"/>
        <v>0</v>
      </c>
      <c r="AH261" s="124">
        <f t="shared" si="84"/>
        <v>155.3894239292618</v>
      </c>
      <c r="AI261" s="124">
        <f t="shared" si="74"/>
        <v>3.2727365049186812</v>
      </c>
      <c r="AJ261" s="124">
        <f t="shared" si="75"/>
        <v>0.56565816134396951</v>
      </c>
      <c r="AK261" s="124">
        <f t="shared" si="76"/>
        <v>0.19534290796665299</v>
      </c>
      <c r="AL261" s="124">
        <f t="shared" si="77"/>
        <v>1.0492741233863236</v>
      </c>
      <c r="AM261" s="124">
        <f t="shared" si="78"/>
        <v>0.52411294874441705</v>
      </c>
      <c r="AN261" s="124">
        <f t="shared" si="79"/>
        <v>1.0075785998939457</v>
      </c>
      <c r="AO261" s="3">
        <f t="shared" si="62"/>
        <v>160.99654857562183</v>
      </c>
    </row>
    <row r="262" spans="1:41" ht="14">
      <c r="A262">
        <f t="shared" si="95"/>
        <v>104</v>
      </c>
      <c r="B262" s="19">
        <f t="shared" si="95"/>
        <v>184</v>
      </c>
      <c r="C262" s="123">
        <f t="shared" si="80"/>
        <v>155.63335554999506</v>
      </c>
      <c r="D262" s="26"/>
      <c r="E262" s="26">
        <f t="shared" si="92"/>
        <v>155.63335554999506</v>
      </c>
      <c r="F262" s="54">
        <f t="shared" ref="F262:G262" si="102">F261</f>
        <v>3.2727365049186812</v>
      </c>
      <c r="G262" s="54">
        <f t="shared" si="102"/>
        <v>0.56565816134396951</v>
      </c>
      <c r="H262" s="125">
        <f>(H$118)*('Product half-life and C flows'!L163/100)</f>
        <v>0.19235704335587603</v>
      </c>
      <c r="I262" s="125">
        <f>(($C$39*$C$118*0.28)*H$41)*('Product half-life and C flows'!N163/100)</f>
        <v>1.0512666903699155</v>
      </c>
      <c r="J262" s="125">
        <f>(($C$39*$C$118*0.28)*H$41)*(+'Product half-life and C flows'!P163/100)</f>
        <v>0.52510823694800934</v>
      </c>
      <c r="K262" s="54">
        <f t="shared" si="86"/>
        <v>1.0075785998939457</v>
      </c>
      <c r="L262" s="26"/>
      <c r="M262" s="83"/>
      <c r="N262" s="85"/>
      <c r="O262" s="85"/>
      <c r="P262" s="85"/>
      <c r="Q262" s="83"/>
      <c r="R262" s="85"/>
      <c r="S262" s="85"/>
      <c r="T262" s="85"/>
      <c r="U262" s="3"/>
      <c r="V262" s="90"/>
      <c r="W262" s="90"/>
      <c r="X262" s="89"/>
      <c r="Y262" s="89"/>
      <c r="Z262" s="91"/>
      <c r="AA262" s="91"/>
      <c r="AB262" s="91"/>
      <c r="AC262" s="89"/>
      <c r="AD262" s="17"/>
      <c r="AE262">
        <f t="shared" si="51"/>
        <v>104</v>
      </c>
      <c r="AF262" s="113">
        <f t="shared" si="82"/>
        <v>155.63335554999506</v>
      </c>
      <c r="AG262" s="124">
        <f t="shared" si="83"/>
        <v>0</v>
      </c>
      <c r="AH262" s="124">
        <f t="shared" si="84"/>
        <v>155.63335554999506</v>
      </c>
      <c r="AI262" s="124">
        <f t="shared" si="74"/>
        <v>3.2727365049186812</v>
      </c>
      <c r="AJ262" s="124">
        <f t="shared" si="75"/>
        <v>0.56565816134396951</v>
      </c>
      <c r="AK262" s="124">
        <f t="shared" si="76"/>
        <v>0.19235704335587603</v>
      </c>
      <c r="AL262" s="124">
        <f t="shared" si="77"/>
        <v>1.0512666903699155</v>
      </c>
      <c r="AM262" s="124">
        <f t="shared" si="78"/>
        <v>0.52510823694800934</v>
      </c>
      <c r="AN262" s="124">
        <f t="shared" si="79"/>
        <v>1.0075785998939457</v>
      </c>
      <c r="AO262" s="3">
        <f t="shared" si="62"/>
        <v>161.2404821869315</v>
      </c>
    </row>
    <row r="263" spans="1:41" ht="14">
      <c r="A263">
        <f t="shared" si="95"/>
        <v>105</v>
      </c>
      <c r="B263" s="19">
        <f t="shared" si="95"/>
        <v>185</v>
      </c>
      <c r="C263" s="123">
        <f t="shared" si="80"/>
        <v>155.87270462215298</v>
      </c>
      <c r="D263" s="26"/>
      <c r="E263" s="26">
        <f t="shared" si="92"/>
        <v>155.87270462215298</v>
      </c>
      <c r="F263" s="54">
        <f t="shared" ref="F263:G263" si="103">F262</f>
        <v>3.2727365049186812</v>
      </c>
      <c r="G263" s="54">
        <f t="shared" si="103"/>
        <v>0.56565816134396951</v>
      </c>
      <c r="H263" s="125">
        <f>(H$118)*('Product half-life and C flows'!L164/100)</f>
        <v>0.18941681842337915</v>
      </c>
      <c r="I263" s="125">
        <f>(($C$39*$C$118*0.28)*H$41)*('Product half-life and C flows'!N164/100)</f>
        <v>1.0532288004748684</v>
      </c>
      <c r="J263" s="125">
        <f>(($C$39*$C$118*0.28)*H$41)*(+'Product half-life and C flows'!P164/100)</f>
        <v>0.52608831192550831</v>
      </c>
      <c r="K263" s="54">
        <f t="shared" si="86"/>
        <v>1.0075785998939457</v>
      </c>
      <c r="L263" s="26"/>
      <c r="M263" s="83"/>
      <c r="N263" s="85"/>
      <c r="O263" s="85"/>
      <c r="P263" s="85"/>
      <c r="Q263" s="83"/>
      <c r="R263" s="85"/>
      <c r="S263" s="85"/>
      <c r="T263" s="85"/>
      <c r="U263" s="3"/>
      <c r="V263" s="90"/>
      <c r="W263" s="90"/>
      <c r="X263" s="89"/>
      <c r="Y263" s="89"/>
      <c r="Z263" s="91"/>
      <c r="AA263" s="91"/>
      <c r="AB263" s="91"/>
      <c r="AC263" s="89"/>
      <c r="AD263" s="17"/>
      <c r="AE263">
        <f t="shared" si="51"/>
        <v>105</v>
      </c>
      <c r="AF263" s="113">
        <f t="shared" si="82"/>
        <v>155.87270462215298</v>
      </c>
      <c r="AG263" s="124">
        <f t="shared" si="83"/>
        <v>0</v>
      </c>
      <c r="AH263" s="124">
        <f t="shared" si="84"/>
        <v>155.87270462215298</v>
      </c>
      <c r="AI263" s="124">
        <f t="shared" si="74"/>
        <v>3.2727365049186812</v>
      </c>
      <c r="AJ263" s="124">
        <f t="shared" si="75"/>
        <v>0.56565816134396951</v>
      </c>
      <c r="AK263" s="124">
        <f t="shared" si="76"/>
        <v>0.18941681842337915</v>
      </c>
      <c r="AL263" s="124">
        <f t="shared" si="77"/>
        <v>1.0532288004748684</v>
      </c>
      <c r="AM263" s="124">
        <f t="shared" si="78"/>
        <v>0.52608831192550831</v>
      </c>
      <c r="AN263" s="124">
        <f t="shared" si="79"/>
        <v>1.0075785998939457</v>
      </c>
      <c r="AO263" s="3">
        <f t="shared" si="62"/>
        <v>161.4798332192394</v>
      </c>
    </row>
    <row r="264" spans="1:41" ht="14">
      <c r="A264">
        <f t="shared" si="95"/>
        <v>106</v>
      </c>
      <c r="B264" s="19">
        <f t="shared" si="95"/>
        <v>186</v>
      </c>
      <c r="C264" s="123">
        <f t="shared" si="80"/>
        <v>156.10755229882932</v>
      </c>
      <c r="D264" s="26"/>
      <c r="E264" s="26">
        <f t="shared" si="92"/>
        <v>156.10755229882932</v>
      </c>
      <c r="F264" s="54">
        <f t="shared" ref="F264:G264" si="104">F263</f>
        <v>3.2727365049186812</v>
      </c>
      <c r="G264" s="54">
        <f t="shared" si="104"/>
        <v>0.56565816134396951</v>
      </c>
      <c r="H264" s="125">
        <f>(H$118)*('Product half-life and C flows'!L165/100)</f>
        <v>0.18652153555540385</v>
      </c>
      <c r="I264" s="125">
        <f>(($C$39*$C$118*0.28)*H$41)*('Product half-life and C flows'!N165/100)</f>
        <v>1.0551609192420972</v>
      </c>
      <c r="J264" s="125">
        <f>(($C$39*$C$118*0.28)*H$41)*(+'Product half-life and C flows'!P165/100)</f>
        <v>0.52705340621483332</v>
      </c>
      <c r="K264" s="54">
        <f t="shared" si="86"/>
        <v>1.0075785998939457</v>
      </c>
      <c r="L264" s="26"/>
      <c r="M264" s="83"/>
      <c r="N264" s="85"/>
      <c r="O264" s="85"/>
      <c r="P264" s="85"/>
      <c r="Q264" s="83"/>
      <c r="R264" s="85"/>
      <c r="S264" s="85"/>
      <c r="T264" s="85"/>
      <c r="U264" s="3"/>
      <c r="V264" s="90"/>
      <c r="W264" s="90"/>
      <c r="X264" s="89"/>
      <c r="Y264" s="89"/>
      <c r="Z264" s="91"/>
      <c r="AA264" s="91"/>
      <c r="AB264" s="91"/>
      <c r="AC264" s="89"/>
      <c r="AD264" s="17"/>
      <c r="AE264">
        <f t="shared" si="51"/>
        <v>106</v>
      </c>
      <c r="AF264" s="113">
        <f t="shared" si="82"/>
        <v>156.10755229882932</v>
      </c>
      <c r="AG264" s="124">
        <f t="shared" si="83"/>
        <v>0</v>
      </c>
      <c r="AH264" s="124">
        <f t="shared" si="84"/>
        <v>156.10755229882932</v>
      </c>
      <c r="AI264" s="124">
        <f t="shared" si="74"/>
        <v>3.2727365049186812</v>
      </c>
      <c r="AJ264" s="124">
        <f t="shared" si="75"/>
        <v>0.56565816134396951</v>
      </c>
      <c r="AK264" s="124">
        <f t="shared" si="76"/>
        <v>0.18652153555540385</v>
      </c>
      <c r="AL264" s="124">
        <f t="shared" si="77"/>
        <v>1.0551609192420972</v>
      </c>
      <c r="AM264" s="124">
        <f t="shared" si="78"/>
        <v>0.52705340621483332</v>
      </c>
      <c r="AN264" s="124">
        <f t="shared" si="79"/>
        <v>1.0075785998939457</v>
      </c>
      <c r="AO264" s="3">
        <f t="shared" si="62"/>
        <v>161.71468282610431</v>
      </c>
    </row>
    <row r="265" spans="1:41" ht="14">
      <c r="A265">
        <f t="shared" si="95"/>
        <v>107</v>
      </c>
      <c r="B265" s="19">
        <f t="shared" si="95"/>
        <v>187</v>
      </c>
      <c r="C265" s="123">
        <f t="shared" si="80"/>
        <v>156.33797849500814</v>
      </c>
      <c r="D265" s="26"/>
      <c r="E265" s="26">
        <f t="shared" si="92"/>
        <v>156.33797849500814</v>
      </c>
      <c r="F265" s="54">
        <f t="shared" ref="F265:G265" si="105">F264</f>
        <v>3.2727365049186812</v>
      </c>
      <c r="G265" s="54">
        <f t="shared" si="105"/>
        <v>0.56565816134396951</v>
      </c>
      <c r="H265" s="125">
        <f>(H$118)*('Product half-life and C flows'!L166/100)</f>
        <v>0.18367050780139019</v>
      </c>
      <c r="I265" s="125">
        <f>(($C$39*$C$118*0.28)*H$41)*('Product half-life and C flows'!N166/100)</f>
        <v>1.0570635050966091</v>
      </c>
      <c r="J265" s="125">
        <f>(($C$39*$C$118*0.28)*H$41)*(+'Product half-life and C flows'!P166/100)</f>
        <v>0.52800374879950462</v>
      </c>
      <c r="K265" s="54">
        <f t="shared" si="86"/>
        <v>1.0075785998939457</v>
      </c>
      <c r="L265" s="26"/>
      <c r="M265" s="83"/>
      <c r="N265" s="85"/>
      <c r="O265" s="85"/>
      <c r="P265" s="85"/>
      <c r="Q265" s="83"/>
      <c r="R265" s="85"/>
      <c r="S265" s="85"/>
      <c r="T265" s="85"/>
      <c r="U265" s="3"/>
      <c r="V265" s="90"/>
      <c r="W265" s="90"/>
      <c r="X265" s="89"/>
      <c r="Y265" s="89"/>
      <c r="Z265" s="91"/>
      <c r="AA265" s="91"/>
      <c r="AB265" s="91"/>
      <c r="AC265" s="89"/>
      <c r="AD265" s="17"/>
      <c r="AE265">
        <f t="shared" si="51"/>
        <v>107</v>
      </c>
      <c r="AF265" s="113">
        <f t="shared" si="82"/>
        <v>156.33797849500814</v>
      </c>
      <c r="AG265" s="124">
        <f t="shared" si="83"/>
        <v>0</v>
      </c>
      <c r="AH265" s="124">
        <f t="shared" si="84"/>
        <v>156.33797849500814</v>
      </c>
      <c r="AI265" s="124">
        <f t="shared" si="74"/>
        <v>3.2727365049186812</v>
      </c>
      <c r="AJ265" s="124">
        <f t="shared" si="75"/>
        <v>0.56565816134396951</v>
      </c>
      <c r="AK265" s="124">
        <f t="shared" si="76"/>
        <v>0.18367050780139019</v>
      </c>
      <c r="AL265" s="124">
        <f t="shared" si="77"/>
        <v>1.0570635050966091</v>
      </c>
      <c r="AM265" s="124">
        <f t="shared" si="78"/>
        <v>0.52800374879950462</v>
      </c>
      <c r="AN265" s="124">
        <f t="shared" si="79"/>
        <v>1.0075785998939457</v>
      </c>
      <c r="AO265" s="3">
        <f t="shared" si="62"/>
        <v>161.9451109229683</v>
      </c>
    </row>
    <row r="266" spans="1:41" ht="14">
      <c r="A266">
        <f t="shared" si="95"/>
        <v>108</v>
      </c>
      <c r="B266" s="19">
        <f t="shared" si="95"/>
        <v>188</v>
      </c>
      <c r="C266" s="123">
        <f t="shared" si="80"/>
        <v>156.56406189803187</v>
      </c>
      <c r="D266" s="26"/>
      <c r="E266" s="26">
        <f t="shared" si="92"/>
        <v>156.56406189803187</v>
      </c>
      <c r="F266" s="54">
        <f t="shared" ref="F266:G266" si="106">F265</f>
        <v>3.2727365049186812</v>
      </c>
      <c r="G266" s="54">
        <f t="shared" si="106"/>
        <v>0.56565816134396951</v>
      </c>
      <c r="H266" s="125">
        <f>(H$118)*('Product half-life and C flows'!L167/100)</f>
        <v>0.18086305871098751</v>
      </c>
      <c r="I266" s="125">
        <f>(($C$39*$C$118*0.28)*H$41)*('Product half-life and C flows'!N167/100)</f>
        <v>1.0589370094562709</v>
      </c>
      <c r="J266" s="125">
        <f>(($C$39*$C$118*0.28)*H$41)*(+'Product half-life and C flows'!P167/100)</f>
        <v>0.52893956516297214</v>
      </c>
      <c r="K266" s="54">
        <f t="shared" si="86"/>
        <v>1.0075785998939457</v>
      </c>
      <c r="L266" s="26"/>
      <c r="M266" s="83"/>
      <c r="N266" s="85"/>
      <c r="O266" s="85"/>
      <c r="P266" s="85"/>
      <c r="Q266" s="83"/>
      <c r="R266" s="85"/>
      <c r="S266" s="85"/>
      <c r="T266" s="85"/>
      <c r="U266" s="3"/>
      <c r="V266" s="90"/>
      <c r="W266" s="90"/>
      <c r="X266" s="89"/>
      <c r="Y266" s="89"/>
      <c r="Z266" s="91"/>
      <c r="AA266" s="91"/>
      <c r="AB266" s="91"/>
      <c r="AC266" s="89"/>
      <c r="AD266" s="17"/>
      <c r="AE266">
        <f t="shared" si="51"/>
        <v>108</v>
      </c>
      <c r="AF266" s="113">
        <f t="shared" si="82"/>
        <v>156.56406189803187</v>
      </c>
      <c r="AG266" s="124">
        <f t="shared" si="83"/>
        <v>0</v>
      </c>
      <c r="AH266" s="124">
        <f t="shared" si="84"/>
        <v>156.56406189803187</v>
      </c>
      <c r="AI266" s="124">
        <f t="shared" si="74"/>
        <v>3.2727365049186812</v>
      </c>
      <c r="AJ266" s="124">
        <f t="shared" si="75"/>
        <v>0.56565816134396951</v>
      </c>
      <c r="AK266" s="124">
        <f t="shared" si="76"/>
        <v>0.18086305871098751</v>
      </c>
      <c r="AL266" s="124">
        <f t="shared" si="77"/>
        <v>1.0589370094562709</v>
      </c>
      <c r="AM266" s="124">
        <f t="shared" si="78"/>
        <v>0.52893956516297214</v>
      </c>
      <c r="AN266" s="124">
        <f t="shared" si="79"/>
        <v>1.0075785998939457</v>
      </c>
      <c r="AO266" s="3">
        <f t="shared" si="62"/>
        <v>162.17119619762474</v>
      </c>
    </row>
    <row r="267" spans="1:41" ht="14">
      <c r="A267">
        <f t="shared" si="95"/>
        <v>109</v>
      </c>
      <c r="B267" s="19">
        <f t="shared" si="95"/>
        <v>189</v>
      </c>
      <c r="C267" s="123">
        <f t="shared" si="80"/>
        <v>156.78587997838801</v>
      </c>
      <c r="D267" s="26"/>
      <c r="E267" s="26">
        <f t="shared" si="92"/>
        <v>156.78587997838801</v>
      </c>
      <c r="F267" s="54">
        <f t="shared" ref="F267:G267" si="107">F266</f>
        <v>3.2727365049186812</v>
      </c>
      <c r="G267" s="54">
        <f t="shared" si="107"/>
        <v>0.56565816134396951</v>
      </c>
      <c r="H267" s="125">
        <f>(H$118)*('Product half-life and C flows'!L168/100)</f>
        <v>0.17809852217355562</v>
      </c>
      <c r="I267" s="125">
        <f>(($C$39*$C$118*0.28)*H$41)*('Product half-life and C flows'!N168/100)</f>
        <v>1.0607818768389172</v>
      </c>
      <c r="J267" s="125">
        <f>(($C$39*$C$118*0.28)*H$41)*(+'Product half-life and C flows'!P168/100)</f>
        <v>0.52986107734211607</v>
      </c>
      <c r="K267" s="54">
        <f t="shared" si="86"/>
        <v>1.0075785998939457</v>
      </c>
      <c r="L267" s="26"/>
      <c r="M267" s="83"/>
      <c r="N267" s="85"/>
      <c r="O267" s="85"/>
      <c r="P267" s="85"/>
      <c r="Q267" s="83"/>
      <c r="R267" s="85"/>
      <c r="S267" s="85"/>
      <c r="T267" s="85"/>
      <c r="U267" s="3"/>
      <c r="V267" s="90"/>
      <c r="W267" s="90"/>
      <c r="X267" s="89"/>
      <c r="Y267" s="89"/>
      <c r="Z267" s="91"/>
      <c r="AA267" s="91"/>
      <c r="AB267" s="91"/>
      <c r="AC267" s="89"/>
      <c r="AD267" s="17"/>
      <c r="AE267">
        <f t="shared" si="51"/>
        <v>109</v>
      </c>
      <c r="AF267" s="113">
        <f t="shared" si="82"/>
        <v>156.78587997838801</v>
      </c>
      <c r="AG267" s="124">
        <f t="shared" si="83"/>
        <v>0</v>
      </c>
      <c r="AH267" s="124">
        <f t="shared" si="84"/>
        <v>156.78587997838801</v>
      </c>
      <c r="AI267" s="124">
        <f t="shared" si="74"/>
        <v>3.2727365049186812</v>
      </c>
      <c r="AJ267" s="124">
        <f t="shared" si="75"/>
        <v>0.56565816134396951</v>
      </c>
      <c r="AK267" s="124">
        <f t="shared" si="76"/>
        <v>0.17809852217355562</v>
      </c>
      <c r="AL267" s="124">
        <f t="shared" si="77"/>
        <v>1.0607818768389172</v>
      </c>
      <c r="AM267" s="124">
        <f t="shared" si="78"/>
        <v>0.52986107734211607</v>
      </c>
      <c r="AN267" s="124">
        <f t="shared" si="79"/>
        <v>1.0075785998939457</v>
      </c>
      <c r="AO267" s="3">
        <f t="shared" si="62"/>
        <v>162.39301612100522</v>
      </c>
    </row>
    <row r="268" spans="1:41" ht="14">
      <c r="A268">
        <f t="shared" si="95"/>
        <v>110</v>
      </c>
      <c r="B268" s="19">
        <f t="shared" si="95"/>
        <v>190</v>
      </c>
      <c r="C268" s="123">
        <f t="shared" si="80"/>
        <v>157.00350900079047</v>
      </c>
      <c r="D268" s="26"/>
      <c r="E268" s="26">
        <f t="shared" si="92"/>
        <v>157.00350900079047</v>
      </c>
      <c r="F268" s="54">
        <f t="shared" ref="F268:G268" si="108">F267</f>
        <v>3.2727365049186812</v>
      </c>
      <c r="G268" s="54">
        <f t="shared" si="108"/>
        <v>0.56565816134396951</v>
      </c>
      <c r="H268" s="125">
        <f>(H$118)*('Product half-life and C flows'!L169/100)</f>
        <v>0.17537624226012008</v>
      </c>
      <c r="I268" s="125">
        <f>(($C$39*$C$118*0.28)*H$41)*('Product half-life and C flows'!N169/100)</f>
        <v>1.0625985449678166</v>
      </c>
      <c r="J268" s="125">
        <f>(($C$39*$C$118*0.28)*H$41)*(+'Product half-life and C flows'!P169/100)</f>
        <v>0.53076850397992792</v>
      </c>
      <c r="K268" s="54">
        <f t="shared" si="86"/>
        <v>1.0075785998939457</v>
      </c>
      <c r="L268" s="26"/>
      <c r="M268" s="83"/>
      <c r="N268" s="85"/>
      <c r="O268" s="85"/>
      <c r="P268" s="85"/>
      <c r="Q268" s="83"/>
      <c r="R268" s="85"/>
      <c r="S268" s="85"/>
      <c r="T268" s="85"/>
      <c r="U268" s="3"/>
      <c r="V268" s="90"/>
      <c r="W268" s="90"/>
      <c r="X268" s="89"/>
      <c r="Y268" s="89"/>
      <c r="Z268" s="91"/>
      <c r="AA268" s="91"/>
      <c r="AB268" s="91"/>
      <c r="AC268" s="89"/>
      <c r="AD268" s="17"/>
      <c r="AE268">
        <f t="shared" si="51"/>
        <v>110</v>
      </c>
      <c r="AF268" s="113">
        <f t="shared" si="82"/>
        <v>157.00350900079047</v>
      </c>
      <c r="AG268" s="124">
        <f t="shared" si="83"/>
        <v>0</v>
      </c>
      <c r="AH268" s="124">
        <f t="shared" si="84"/>
        <v>157.00350900079047</v>
      </c>
      <c r="AI268" s="124">
        <f t="shared" si="74"/>
        <v>3.2727365049186812</v>
      </c>
      <c r="AJ268" s="124">
        <f t="shared" si="75"/>
        <v>0.56565816134396951</v>
      </c>
      <c r="AK268" s="124">
        <f t="shared" si="76"/>
        <v>0.17537624226012008</v>
      </c>
      <c r="AL268" s="124">
        <f t="shared" si="77"/>
        <v>1.0625985449678166</v>
      </c>
      <c r="AM268" s="124">
        <f t="shared" si="78"/>
        <v>0.53076850397992792</v>
      </c>
      <c r="AN268" s="124">
        <f t="shared" si="79"/>
        <v>1.0075785998939457</v>
      </c>
      <c r="AO268" s="3">
        <f t="shared" si="62"/>
        <v>162.61064695826096</v>
      </c>
    </row>
    <row r="269" spans="1:41" ht="14">
      <c r="A269">
        <f t="shared" si="95"/>
        <v>111</v>
      </c>
      <c r="B269" s="19">
        <f t="shared" si="95"/>
        <v>191</v>
      </c>
      <c r="C269" s="123">
        <f t="shared" si="80"/>
        <v>157.21702403553022</v>
      </c>
      <c r="D269" s="26"/>
      <c r="E269" s="26">
        <f t="shared" si="92"/>
        <v>157.21702403553022</v>
      </c>
      <c r="F269" s="54">
        <f t="shared" ref="F269:G269" si="109">F268</f>
        <v>3.2727365049186812</v>
      </c>
      <c r="G269" s="54">
        <f t="shared" si="109"/>
        <v>0.56565816134396951</v>
      </c>
      <c r="H269" s="125">
        <f>(H$118)*('Product half-life and C flows'!L170/100)</f>
        <v>0.17269557306774314</v>
      </c>
      <c r="I269" s="125">
        <f>(($C$39*$C$118*0.28)*H$41)*('Product half-life and C flows'!N170/100)</f>
        <v>1.0643874448755295</v>
      </c>
      <c r="J269" s="125">
        <f>(($C$39*$C$118*0.28)*H$41)*(+'Product half-life and C flows'!P170/100)</f>
        <v>0.53166206037738695</v>
      </c>
      <c r="K269" s="54">
        <f t="shared" si="86"/>
        <v>1.0075785998939457</v>
      </c>
      <c r="L269" s="26"/>
      <c r="M269" s="83"/>
      <c r="N269" s="85"/>
      <c r="O269" s="85"/>
      <c r="P269" s="85"/>
      <c r="Q269" s="83"/>
      <c r="R269" s="85"/>
      <c r="S269" s="85"/>
      <c r="T269" s="85"/>
      <c r="U269" s="3"/>
      <c r="V269" s="90"/>
      <c r="W269" s="90"/>
      <c r="X269" s="89"/>
      <c r="Y269" s="89"/>
      <c r="Z269" s="91"/>
      <c r="AA269" s="91"/>
      <c r="AB269" s="91"/>
      <c r="AC269" s="89"/>
      <c r="AD269" s="17"/>
      <c r="AE269">
        <f t="shared" si="51"/>
        <v>111</v>
      </c>
      <c r="AF269" s="113">
        <f t="shared" si="82"/>
        <v>157.21702403553022</v>
      </c>
      <c r="AG269" s="124">
        <f t="shared" si="83"/>
        <v>0</v>
      </c>
      <c r="AH269" s="124">
        <f t="shared" si="84"/>
        <v>157.21702403553022</v>
      </c>
      <c r="AI269" s="124">
        <f t="shared" si="74"/>
        <v>3.2727365049186812</v>
      </c>
      <c r="AJ269" s="124">
        <f t="shared" si="75"/>
        <v>0.56565816134396951</v>
      </c>
      <c r="AK269" s="124">
        <f t="shared" si="76"/>
        <v>0.17269557306774314</v>
      </c>
      <c r="AL269" s="124">
        <f t="shared" si="77"/>
        <v>1.0643874448755295</v>
      </c>
      <c r="AM269" s="124">
        <f t="shared" si="78"/>
        <v>0.53166206037738695</v>
      </c>
      <c r="AN269" s="124">
        <f t="shared" si="79"/>
        <v>1.0075785998939457</v>
      </c>
      <c r="AO269" s="3">
        <f t="shared" si="62"/>
        <v>162.82416378011354</v>
      </c>
    </row>
    <row r="270" spans="1:41" ht="14">
      <c r="A270">
        <f t="shared" si="95"/>
        <v>112</v>
      </c>
      <c r="B270" s="19">
        <f t="shared" si="95"/>
        <v>192</v>
      </c>
      <c r="C270" s="123">
        <f t="shared" si="80"/>
        <v>157.42649897007195</v>
      </c>
      <c r="D270" s="26"/>
      <c r="E270" s="26">
        <f t="shared" si="92"/>
        <v>157.42649897007195</v>
      </c>
      <c r="F270" s="54">
        <f t="shared" ref="F270:G270" si="110">F269</f>
        <v>3.2727365049186812</v>
      </c>
      <c r="G270" s="54">
        <f t="shared" si="110"/>
        <v>0.56565816134396951</v>
      </c>
      <c r="H270" s="125">
        <f>(H$118)*('Product half-life and C flows'!L171/100)</f>
        <v>0.17005587856627266</v>
      </c>
      <c r="I270" s="125">
        <f>(($C$39*$C$118*0.28)*H$41)*('Product half-life and C flows'!N171/100)</f>
        <v>1.0661490010061774</v>
      </c>
      <c r="J270" s="125">
        <f>(($C$39*$C$118*0.28)*H$41)*(+'Product half-life and C flows'!P171/100)</f>
        <v>0.53254195854454378</v>
      </c>
      <c r="K270" s="54">
        <f t="shared" si="86"/>
        <v>1.0075785998939457</v>
      </c>
      <c r="L270" s="26"/>
      <c r="M270" s="83"/>
      <c r="N270" s="85"/>
      <c r="O270" s="85"/>
      <c r="P270" s="85"/>
      <c r="Q270" s="83"/>
      <c r="R270" s="85"/>
      <c r="S270" s="85"/>
      <c r="T270" s="85"/>
      <c r="U270" s="3"/>
      <c r="V270" s="90"/>
      <c r="W270" s="90"/>
      <c r="X270" s="89"/>
      <c r="Y270" s="89"/>
      <c r="Z270" s="91"/>
      <c r="AA270" s="91"/>
      <c r="AB270" s="91"/>
      <c r="AC270" s="89"/>
      <c r="AD270" s="17"/>
      <c r="AE270">
        <f t="shared" ref="AE270:AE318" si="111">A270</f>
        <v>112</v>
      </c>
      <c r="AF270" s="113">
        <f t="shared" si="82"/>
        <v>157.42649897007195</v>
      </c>
      <c r="AG270" s="124">
        <f t="shared" si="83"/>
        <v>0</v>
      </c>
      <c r="AH270" s="124">
        <f t="shared" si="84"/>
        <v>157.42649897007195</v>
      </c>
      <c r="AI270" s="124">
        <f t="shared" si="74"/>
        <v>3.2727365049186812</v>
      </c>
      <c r="AJ270" s="124">
        <f t="shared" si="75"/>
        <v>0.56565816134396951</v>
      </c>
      <c r="AK270" s="124">
        <f t="shared" si="76"/>
        <v>0.17005587856627266</v>
      </c>
      <c r="AL270" s="124">
        <f t="shared" si="77"/>
        <v>1.0661490010061774</v>
      </c>
      <c r="AM270" s="124">
        <f t="shared" si="78"/>
        <v>0.53254195854454378</v>
      </c>
      <c r="AN270" s="124">
        <f t="shared" si="79"/>
        <v>1.0075785998939457</v>
      </c>
      <c r="AO270" s="3">
        <f t="shared" si="62"/>
        <v>163.0336404744516</v>
      </c>
    </row>
    <row r="271" spans="1:41" ht="14">
      <c r="A271">
        <f t="shared" si="95"/>
        <v>113</v>
      </c>
      <c r="B271" s="19">
        <f t="shared" si="95"/>
        <v>193</v>
      </c>
      <c r="C271" s="123">
        <f t="shared" si="80"/>
        <v>157.63200652087528</v>
      </c>
      <c r="D271" s="26"/>
      <c r="E271" s="26">
        <f t="shared" si="92"/>
        <v>157.63200652087528</v>
      </c>
      <c r="F271" s="54">
        <f t="shared" ref="F271:G271" si="112">F270</f>
        <v>3.2727365049186812</v>
      </c>
      <c r="G271" s="54">
        <f t="shared" si="112"/>
        <v>0.56565816134396951</v>
      </c>
      <c r="H271" s="125">
        <f>(H$118)*('Product half-life and C flows'!L172/100)</f>
        <v>0.16745653244743483</v>
      </c>
      <c r="I271" s="125">
        <f>(($C$39*$C$118*0.28)*H$41)*('Product half-life and C flows'!N172/100)</f>
        <v>1.0678836313161484</v>
      </c>
      <c r="J271" s="125">
        <f>(($C$39*$C$118*0.28)*H$41)*(+'Product half-life and C flows'!P172/100)</f>
        <v>0.53340840725082306</v>
      </c>
      <c r="K271" s="54">
        <f t="shared" si="86"/>
        <v>1.0075785998939457</v>
      </c>
      <c r="L271" s="26"/>
      <c r="M271" s="83"/>
      <c r="N271" s="85"/>
      <c r="O271" s="85"/>
      <c r="P271" s="85"/>
      <c r="Q271" s="83"/>
      <c r="R271" s="85"/>
      <c r="S271" s="85"/>
      <c r="T271" s="85"/>
      <c r="U271" s="3"/>
      <c r="V271" s="90"/>
      <c r="W271" s="90"/>
      <c r="X271" s="89"/>
      <c r="Y271" s="89"/>
      <c r="Z271" s="91"/>
      <c r="AA271" s="91"/>
      <c r="AB271" s="91"/>
      <c r="AC271" s="89"/>
      <c r="AD271" s="17"/>
      <c r="AE271">
        <f t="shared" si="111"/>
        <v>113</v>
      </c>
      <c r="AF271" s="113">
        <f t="shared" si="82"/>
        <v>157.63200652087528</v>
      </c>
      <c r="AG271" s="124">
        <f t="shared" si="83"/>
        <v>0</v>
      </c>
      <c r="AH271" s="124">
        <f t="shared" si="84"/>
        <v>157.63200652087528</v>
      </c>
      <c r="AI271" s="124">
        <f t="shared" si="74"/>
        <v>3.2727365049186812</v>
      </c>
      <c r="AJ271" s="124">
        <f t="shared" si="75"/>
        <v>0.56565816134396951</v>
      </c>
      <c r="AK271" s="124">
        <f t="shared" si="76"/>
        <v>0.16745653244743483</v>
      </c>
      <c r="AL271" s="124">
        <f t="shared" si="77"/>
        <v>1.0678836313161484</v>
      </c>
      <c r="AM271" s="124">
        <f t="shared" si="78"/>
        <v>0.53340840725082306</v>
      </c>
      <c r="AN271" s="124">
        <f t="shared" si="79"/>
        <v>1.0075785998939457</v>
      </c>
      <c r="AO271" s="3">
        <f t="shared" si="62"/>
        <v>163.23914975815231</v>
      </c>
    </row>
    <row r="272" spans="1:41" ht="14">
      <c r="A272">
        <f t="shared" ref="A272:B287" si="113">A271+1</f>
        <v>114</v>
      </c>
      <c r="B272" s="19">
        <f t="shared" si="113"/>
        <v>194</v>
      </c>
      <c r="C272" s="123">
        <f t="shared" si="80"/>
        <v>157.83361824541831</v>
      </c>
      <c r="D272" s="26"/>
      <c r="E272" s="26">
        <f t="shared" si="92"/>
        <v>157.83361824541831</v>
      </c>
      <c r="F272" s="54">
        <f t="shared" ref="F272:G272" si="114">F271</f>
        <v>3.2727365049186812</v>
      </c>
      <c r="G272" s="54">
        <f t="shared" si="114"/>
        <v>0.56565816134396951</v>
      </c>
      <c r="H272" s="125">
        <f>(H$118)*('Product half-life and C flows'!L173/100)</f>
        <v>0.16489691797623238</v>
      </c>
      <c r="I272" s="125">
        <f>(($C$39*$C$118*0.28)*H$41)*('Product half-life and C flows'!N173/100)</f>
        <v>1.0695917473732641</v>
      </c>
      <c r="J272" s="125">
        <f>(($C$39*$C$118*0.28)*H$41)*(+'Product half-life and C flows'!P173/100)</f>
        <v>0.53426161207455714</v>
      </c>
      <c r="K272" s="54">
        <f t="shared" si="86"/>
        <v>1.0075785998939457</v>
      </c>
      <c r="L272" s="26"/>
      <c r="M272" s="83"/>
      <c r="N272" s="85"/>
      <c r="O272" s="85"/>
      <c r="P272" s="85"/>
      <c r="Q272" s="83"/>
      <c r="R272" s="85"/>
      <c r="S272" s="85"/>
      <c r="T272" s="85"/>
      <c r="U272" s="3"/>
      <c r="V272" s="90"/>
      <c r="W272" s="90"/>
      <c r="X272" s="89"/>
      <c r="Y272" s="89"/>
      <c r="Z272" s="91"/>
      <c r="AA272" s="91"/>
      <c r="AB272" s="91"/>
      <c r="AC272" s="89"/>
      <c r="AD272" s="17"/>
      <c r="AE272">
        <f t="shared" si="111"/>
        <v>114</v>
      </c>
      <c r="AF272" s="113">
        <f t="shared" si="82"/>
        <v>157.83361824541831</v>
      </c>
      <c r="AG272" s="124">
        <f t="shared" si="83"/>
        <v>0</v>
      </c>
      <c r="AH272" s="124">
        <f t="shared" si="84"/>
        <v>157.83361824541831</v>
      </c>
      <c r="AI272" s="124">
        <f t="shared" si="74"/>
        <v>3.2727365049186812</v>
      </c>
      <c r="AJ272" s="124">
        <f t="shared" si="75"/>
        <v>0.56565816134396951</v>
      </c>
      <c r="AK272" s="124">
        <f t="shared" si="76"/>
        <v>0.16489691797623238</v>
      </c>
      <c r="AL272" s="124">
        <f t="shared" si="77"/>
        <v>1.0695917473732641</v>
      </c>
      <c r="AM272" s="124">
        <f t="shared" si="78"/>
        <v>0.53426161207455714</v>
      </c>
      <c r="AN272" s="124">
        <f t="shared" si="79"/>
        <v>1.0075785998939457</v>
      </c>
      <c r="AO272" s="3">
        <f t="shared" si="62"/>
        <v>163.44076318910498</v>
      </c>
    </row>
    <row r="273" spans="1:41" ht="14">
      <c r="A273">
        <f t="shared" si="113"/>
        <v>115</v>
      </c>
      <c r="B273" s="19">
        <f t="shared" si="113"/>
        <v>195</v>
      </c>
      <c r="C273" s="123">
        <f t="shared" si="80"/>
        <v>158.03140455440482</v>
      </c>
      <c r="D273" s="26"/>
      <c r="E273" s="26">
        <f t="shared" si="92"/>
        <v>158.03140455440482</v>
      </c>
      <c r="F273" s="54">
        <f t="shared" ref="F273:G273" si="115">F272</f>
        <v>3.2727365049186812</v>
      </c>
      <c r="G273" s="54">
        <f t="shared" si="115"/>
        <v>0.56565816134396951</v>
      </c>
      <c r="H273" s="125">
        <f>(H$118)*('Product half-life and C flows'!L174/100)</f>
        <v>0.16237642784461478</v>
      </c>
      <c r="I273" s="125">
        <f>(($C$39*$C$118*0.28)*H$41)*('Product half-life and C flows'!N174/100)</f>
        <v>1.0712737544544302</v>
      </c>
      <c r="J273" s="125">
        <f>(($C$39*$C$118*0.28)*H$41)*(+'Product half-life and C flows'!P174/100)</f>
        <v>0.53510177545176296</v>
      </c>
      <c r="K273" s="54">
        <f t="shared" si="86"/>
        <v>1.0075785998939457</v>
      </c>
      <c r="L273" s="26"/>
      <c r="M273" s="83"/>
      <c r="N273" s="85"/>
      <c r="O273" s="85"/>
      <c r="P273" s="85"/>
      <c r="Q273" s="83"/>
      <c r="R273" s="85"/>
      <c r="S273" s="85"/>
      <c r="T273" s="85"/>
      <c r="U273" s="3"/>
      <c r="V273" s="90"/>
      <c r="W273" s="90"/>
      <c r="X273" s="89"/>
      <c r="Y273" s="89"/>
      <c r="Z273" s="91"/>
      <c r="AA273" s="91"/>
      <c r="AB273" s="91"/>
      <c r="AC273" s="89"/>
      <c r="AD273" s="17"/>
      <c r="AE273">
        <f t="shared" si="111"/>
        <v>115</v>
      </c>
      <c r="AF273" s="113">
        <f t="shared" si="82"/>
        <v>158.03140455440482</v>
      </c>
      <c r="AG273" s="124">
        <f t="shared" si="83"/>
        <v>0</v>
      </c>
      <c r="AH273" s="124">
        <f t="shared" si="84"/>
        <v>158.03140455440482</v>
      </c>
      <c r="AI273" s="124">
        <f t="shared" si="74"/>
        <v>3.2727365049186812</v>
      </c>
      <c r="AJ273" s="124">
        <f t="shared" si="75"/>
        <v>0.56565816134396951</v>
      </c>
      <c r="AK273" s="124">
        <f t="shared" si="76"/>
        <v>0.16237642784461478</v>
      </c>
      <c r="AL273" s="124">
        <f t="shared" si="77"/>
        <v>1.0712737544544302</v>
      </c>
      <c r="AM273" s="124">
        <f t="shared" si="78"/>
        <v>0.53510177545176296</v>
      </c>
      <c r="AN273" s="124">
        <f t="shared" si="79"/>
        <v>1.0075785998939457</v>
      </c>
      <c r="AO273" s="3">
        <f t="shared" si="62"/>
        <v>163.63855117841825</v>
      </c>
    </row>
    <row r="274" spans="1:41" ht="14">
      <c r="A274">
        <f t="shared" si="113"/>
        <v>116</v>
      </c>
      <c r="B274" s="19">
        <f t="shared" si="113"/>
        <v>196</v>
      </c>
      <c r="C274" s="123">
        <f t="shared" si="80"/>
        <v>158.22543472413426</v>
      </c>
      <c r="D274" s="26"/>
      <c r="E274" s="26">
        <f t="shared" si="92"/>
        <v>158.22543472413426</v>
      </c>
      <c r="F274" s="54">
        <f t="shared" ref="F274:G274" si="116">F273</f>
        <v>3.2727365049186812</v>
      </c>
      <c r="G274" s="54">
        <f t="shared" si="116"/>
        <v>0.56565816134396951</v>
      </c>
      <c r="H274" s="125">
        <f>(H$118)*('Product half-life and C flows'!L175/100)</f>
        <v>0.15989446402738536</v>
      </c>
      <c r="I274" s="125">
        <f>(($C$39*$C$118*0.28)*H$41)*('Product half-life and C flows'!N175/100)</f>
        <v>1.0729300516417946</v>
      </c>
      <c r="J274" s="125">
        <f>(($C$39*$C$118*0.28)*H$41)*(+'Product half-life and C flows'!P175/100)</f>
        <v>0.53592909672417277</v>
      </c>
      <c r="K274" s="54">
        <f t="shared" si="86"/>
        <v>1.0075785998939457</v>
      </c>
      <c r="L274" s="26"/>
      <c r="M274" s="83"/>
      <c r="N274" s="85"/>
      <c r="O274" s="85"/>
      <c r="P274" s="85"/>
      <c r="Q274" s="83"/>
      <c r="R274" s="85"/>
      <c r="S274" s="85"/>
      <c r="T274" s="85"/>
      <c r="U274" s="3"/>
      <c r="V274" s="90"/>
      <c r="W274" s="90"/>
      <c r="X274" s="89"/>
      <c r="Y274" s="89"/>
      <c r="Z274" s="91"/>
      <c r="AA274" s="91"/>
      <c r="AB274" s="91"/>
      <c r="AC274" s="89"/>
      <c r="AD274" s="17"/>
      <c r="AE274">
        <f t="shared" si="111"/>
        <v>116</v>
      </c>
      <c r="AF274" s="113">
        <f t="shared" si="82"/>
        <v>158.22543472413426</v>
      </c>
      <c r="AG274" s="124">
        <f t="shared" si="83"/>
        <v>0</v>
      </c>
      <c r="AH274" s="124">
        <f t="shared" si="84"/>
        <v>158.22543472413426</v>
      </c>
      <c r="AI274" s="124">
        <f t="shared" si="74"/>
        <v>3.2727365049186812</v>
      </c>
      <c r="AJ274" s="124">
        <f t="shared" si="75"/>
        <v>0.56565816134396951</v>
      </c>
      <c r="AK274" s="124">
        <f t="shared" si="76"/>
        <v>0.15989446402738536</v>
      </c>
      <c r="AL274" s="124">
        <f t="shared" si="77"/>
        <v>1.0729300516417946</v>
      </c>
      <c r="AM274" s="124">
        <f t="shared" si="78"/>
        <v>0.53592909672417277</v>
      </c>
      <c r="AN274" s="124">
        <f t="shared" si="79"/>
        <v>1.0075785998939457</v>
      </c>
      <c r="AO274" s="3">
        <f t="shared" si="62"/>
        <v>163.83258300279027</v>
      </c>
    </row>
    <row r="275" spans="1:41" ht="14">
      <c r="A275">
        <f t="shared" si="113"/>
        <v>117</v>
      </c>
      <c r="B275" s="19">
        <f t="shared" si="113"/>
        <v>197</v>
      </c>
      <c r="C275" s="123">
        <f t="shared" si="80"/>
        <v>158.41577690901786</v>
      </c>
      <c r="D275" s="26"/>
      <c r="E275" s="26">
        <f t="shared" si="92"/>
        <v>158.41577690901786</v>
      </c>
      <c r="F275" s="54">
        <f t="shared" ref="F275:G275" si="117">F274</f>
        <v>3.2727365049186812</v>
      </c>
      <c r="G275" s="54">
        <f t="shared" si="117"/>
        <v>0.56565816134396951</v>
      </c>
      <c r="H275" s="125">
        <f>(H$118)*('Product half-life and C flows'!L176/100)</f>
        <v>0.15745043764031008</v>
      </c>
      <c r="I275" s="125">
        <f>(($C$39*$C$118*0.28)*H$41)*('Product half-life and C flows'!N176/100)</f>
        <v>1.0745610319174361</v>
      </c>
      <c r="J275" s="125">
        <f>(($C$39*$C$118*0.28)*H$41)*(+'Product half-life and C flows'!P176/100)</f>
        <v>0.53674377218653124</v>
      </c>
      <c r="K275" s="54">
        <f t="shared" si="86"/>
        <v>1.0075785998939457</v>
      </c>
      <c r="L275" s="26"/>
      <c r="M275" s="83"/>
      <c r="N275" s="85"/>
      <c r="O275" s="85"/>
      <c r="P275" s="85"/>
      <c r="Q275" s="83"/>
      <c r="R275" s="85"/>
      <c r="S275" s="85"/>
      <c r="T275" s="85"/>
      <c r="U275" s="3"/>
      <c r="V275" s="90"/>
      <c r="W275" s="90"/>
      <c r="X275" s="89"/>
      <c r="Y275" s="89"/>
      <c r="Z275" s="91"/>
      <c r="AA275" s="91"/>
      <c r="AB275" s="91"/>
      <c r="AC275" s="89"/>
      <c r="AD275" s="17"/>
      <c r="AE275">
        <f t="shared" si="111"/>
        <v>117</v>
      </c>
      <c r="AF275" s="113">
        <f t="shared" si="82"/>
        <v>158.41577690901786</v>
      </c>
      <c r="AG275" s="124">
        <f t="shared" si="83"/>
        <v>0</v>
      </c>
      <c r="AH275" s="124">
        <f t="shared" si="84"/>
        <v>158.41577690901786</v>
      </c>
      <c r="AI275" s="124">
        <f t="shared" si="74"/>
        <v>3.2727365049186812</v>
      </c>
      <c r="AJ275" s="124">
        <f t="shared" si="75"/>
        <v>0.56565816134396951</v>
      </c>
      <c r="AK275" s="124">
        <f t="shared" si="76"/>
        <v>0.15745043764031008</v>
      </c>
      <c r="AL275" s="124">
        <f t="shared" si="77"/>
        <v>1.0745610319174361</v>
      </c>
      <c r="AM275" s="124">
        <f t="shared" si="78"/>
        <v>0.53674377218653124</v>
      </c>
      <c r="AN275" s="124">
        <f t="shared" si="79"/>
        <v>1.0075785998939457</v>
      </c>
      <c r="AO275" s="3">
        <f t="shared" si="62"/>
        <v>164.02292681702477</v>
      </c>
    </row>
    <row r="276" spans="1:41" ht="14">
      <c r="A276">
        <f t="shared" si="113"/>
        <v>118</v>
      </c>
      <c r="B276" s="19">
        <f t="shared" si="113"/>
        <v>198</v>
      </c>
      <c r="C276" s="123">
        <f t="shared" si="80"/>
        <v>158.60249815422287</v>
      </c>
      <c r="D276" s="26"/>
      <c r="E276" s="26">
        <f t="shared" si="92"/>
        <v>158.60249815422287</v>
      </c>
      <c r="F276" s="54">
        <f t="shared" ref="F276:G276" si="118">F275</f>
        <v>3.2727365049186812</v>
      </c>
      <c r="G276" s="54">
        <f t="shared" si="118"/>
        <v>0.56565816134396951</v>
      </c>
      <c r="H276" s="125">
        <f>(H$118)*('Product half-life and C flows'!L177/100)</f>
        <v>0.15504376880039603</v>
      </c>
      <c r="I276" s="125">
        <f>(($C$39*$C$118*0.28)*H$41)*('Product half-life and C flows'!N177/100)</f>
        <v>1.0761670822566054</v>
      </c>
      <c r="J276" s="125">
        <f>(($C$39*$C$118*0.28)*H$41)*(+'Product half-life and C flows'!P177/100)</f>
        <v>0.53754599513316925</v>
      </c>
      <c r="K276" s="54">
        <f t="shared" si="86"/>
        <v>1.0075785998939457</v>
      </c>
      <c r="L276" s="26"/>
      <c r="M276" s="83"/>
      <c r="N276" s="85"/>
      <c r="O276" s="85"/>
      <c r="P276" s="85"/>
      <c r="Q276" s="83"/>
      <c r="R276" s="85"/>
      <c r="S276" s="85"/>
      <c r="T276" s="85"/>
      <c r="U276" s="3"/>
      <c r="V276" s="90"/>
      <c r="W276" s="90"/>
      <c r="X276" s="89"/>
      <c r="Y276" s="89"/>
      <c r="Z276" s="91"/>
      <c r="AA276" s="91"/>
      <c r="AB276" s="91"/>
      <c r="AC276" s="89"/>
      <c r="AD276" s="17"/>
      <c r="AE276">
        <f t="shared" si="111"/>
        <v>118</v>
      </c>
      <c r="AF276" s="113">
        <f t="shared" si="82"/>
        <v>158.60249815422287</v>
      </c>
      <c r="AG276" s="124">
        <f t="shared" si="83"/>
        <v>0</v>
      </c>
      <c r="AH276" s="124">
        <f t="shared" si="84"/>
        <v>158.60249815422287</v>
      </c>
      <c r="AI276" s="124">
        <f t="shared" si="74"/>
        <v>3.2727365049186812</v>
      </c>
      <c r="AJ276" s="124">
        <f t="shared" si="75"/>
        <v>0.56565816134396951</v>
      </c>
      <c r="AK276" s="124">
        <f t="shared" si="76"/>
        <v>0.15504376880039603</v>
      </c>
      <c r="AL276" s="124">
        <f t="shared" si="77"/>
        <v>1.0761670822566054</v>
      </c>
      <c r="AM276" s="124">
        <f t="shared" si="78"/>
        <v>0.53754599513316925</v>
      </c>
      <c r="AN276" s="124">
        <f t="shared" si="79"/>
        <v>1.0075785998939457</v>
      </c>
      <c r="AO276" s="3">
        <f t="shared" si="62"/>
        <v>164.20964966667569</v>
      </c>
    </row>
    <row r="277" spans="1:41" ht="14">
      <c r="A277">
        <f t="shared" si="113"/>
        <v>119</v>
      </c>
      <c r="B277" s="19">
        <f t="shared" si="113"/>
        <v>199</v>
      </c>
      <c r="C277" s="123">
        <f t="shared" si="80"/>
        <v>158.78566440842806</v>
      </c>
      <c r="D277" s="26"/>
      <c r="E277" s="26">
        <f t="shared" si="92"/>
        <v>158.78566440842806</v>
      </c>
      <c r="F277" s="54">
        <f t="shared" ref="F277:G277" si="119">F276</f>
        <v>3.2727365049186812</v>
      </c>
      <c r="G277" s="54">
        <f t="shared" si="119"/>
        <v>0.56565816134396951</v>
      </c>
      <c r="H277" s="125">
        <f>(H$118)*('Product half-life and C flows'!L178/100)</f>
        <v>0.15267388648830502</v>
      </c>
      <c r="I277" s="125">
        <f>(($C$39*$C$118*0.28)*H$41)*('Product half-life and C flows'!N178/100)</f>
        <v>1.0777485837195409</v>
      </c>
      <c r="J277" s="125">
        <f>(($C$39*$C$118*0.28)*H$41)*(+'Product half-life and C flows'!P178/100)</f>
        <v>0.53833595590386629</v>
      </c>
      <c r="K277" s="54">
        <f t="shared" si="86"/>
        <v>1.0075785998939457</v>
      </c>
      <c r="L277" s="26"/>
      <c r="M277" s="83"/>
      <c r="N277" s="85"/>
      <c r="O277" s="85"/>
      <c r="P277" s="85"/>
      <c r="Q277" s="83"/>
      <c r="R277" s="85"/>
      <c r="S277" s="85"/>
      <c r="T277" s="85"/>
      <c r="U277" s="3"/>
      <c r="V277" s="90"/>
      <c r="W277" s="90"/>
      <c r="X277" s="89"/>
      <c r="Y277" s="89"/>
      <c r="Z277" s="91"/>
      <c r="AA277" s="91"/>
      <c r="AB277" s="91"/>
      <c r="AC277" s="89"/>
      <c r="AD277" s="17"/>
      <c r="AE277">
        <f t="shared" si="111"/>
        <v>119</v>
      </c>
      <c r="AF277" s="113">
        <f t="shared" si="82"/>
        <v>158.78566440842806</v>
      </c>
      <c r="AG277" s="124">
        <f t="shared" si="83"/>
        <v>0</v>
      </c>
      <c r="AH277" s="124">
        <f t="shared" si="84"/>
        <v>158.78566440842806</v>
      </c>
      <c r="AI277" s="124">
        <f t="shared" si="74"/>
        <v>3.2727365049186812</v>
      </c>
      <c r="AJ277" s="124">
        <f t="shared" si="75"/>
        <v>0.56565816134396951</v>
      </c>
      <c r="AK277" s="124">
        <f t="shared" si="76"/>
        <v>0.15267388648830502</v>
      </c>
      <c r="AL277" s="124">
        <f t="shared" si="77"/>
        <v>1.0777485837195409</v>
      </c>
      <c r="AM277" s="124">
        <f t="shared" si="78"/>
        <v>0.53833595590386629</v>
      </c>
      <c r="AN277" s="124">
        <f t="shared" si="79"/>
        <v>1.0075785998939457</v>
      </c>
      <c r="AO277" s="3">
        <f t="shared" si="62"/>
        <v>164.39281750080244</v>
      </c>
    </row>
    <row r="278" spans="1:41" ht="14">
      <c r="A278">
        <f t="shared" si="113"/>
        <v>120</v>
      </c>
      <c r="B278" s="19">
        <f t="shared" si="113"/>
        <v>200</v>
      </c>
      <c r="C278" s="123">
        <f t="shared" si="80"/>
        <v>158.96534053667563</v>
      </c>
      <c r="D278" s="26"/>
      <c r="E278" s="26">
        <f t="shared" si="92"/>
        <v>158.96534053667563</v>
      </c>
      <c r="F278" s="54">
        <f t="shared" ref="F278:G278" si="120">F277</f>
        <v>3.2727365049186812</v>
      </c>
      <c r="G278" s="54">
        <f t="shared" si="120"/>
        <v>0.56565816134396951</v>
      </c>
      <c r="H278" s="125">
        <f>(H$118)*('Product half-life and C flows'!L179/100)</f>
        <v>0.1503402284128707</v>
      </c>
      <c r="I278" s="125">
        <f>(($C$39*$C$118*0.28)*H$41)*('Product half-life and C flows'!N179/100)</f>
        <v>1.0793059115418806</v>
      </c>
      <c r="J278" s="125">
        <f>(($C$39*$C$118*0.28)*H$41)*(+'Product half-life and C flows'!P179/100)</f>
        <v>0.53911384192901102</v>
      </c>
      <c r="K278" s="54">
        <f t="shared" si="86"/>
        <v>1.0075785998939457</v>
      </c>
      <c r="L278" s="26"/>
      <c r="M278" s="83"/>
      <c r="N278" s="85"/>
      <c r="O278" s="85"/>
      <c r="P278" s="85"/>
      <c r="Q278" s="83"/>
      <c r="R278" s="85"/>
      <c r="S278" s="85"/>
      <c r="T278" s="85"/>
      <c r="U278" s="3"/>
      <c r="V278" s="90"/>
      <c r="W278" s="90"/>
      <c r="X278" s="89"/>
      <c r="Y278" s="89"/>
      <c r="Z278" s="91"/>
      <c r="AA278" s="91"/>
      <c r="AB278" s="91"/>
      <c r="AC278" s="89"/>
      <c r="AD278" s="17"/>
      <c r="AE278">
        <f t="shared" si="111"/>
        <v>120</v>
      </c>
      <c r="AF278" s="113">
        <f t="shared" si="82"/>
        <v>158.96534053667563</v>
      </c>
      <c r="AG278" s="124">
        <f t="shared" si="83"/>
        <v>0</v>
      </c>
      <c r="AH278" s="124">
        <f t="shared" si="84"/>
        <v>158.96534053667563</v>
      </c>
      <c r="AI278" s="124">
        <f t="shared" ref="AI278:AI296" si="121">F278+O278+X278</f>
        <v>3.2727365049186812</v>
      </c>
      <c r="AJ278" s="124">
        <f t="shared" ref="AJ278:AJ296" si="122">G278+P278+Y278</f>
        <v>0.56565816134396951</v>
      </c>
      <c r="AK278" s="124">
        <f t="shared" ref="AK278:AK296" si="123">H278+Q278+Z278</f>
        <v>0.1503402284128707</v>
      </c>
      <c r="AL278" s="124">
        <f t="shared" ref="AL278:AL296" si="124">I278+R278+AA278</f>
        <v>1.0793059115418806</v>
      </c>
      <c r="AM278" s="124">
        <f t="shared" ref="AM278:AM296" si="125">J278+S278+AB278</f>
        <v>0.53911384192901102</v>
      </c>
      <c r="AN278" s="124">
        <f t="shared" ref="AN278:AN296" si="126">K278+T278+AC278</f>
        <v>1.0075785998939457</v>
      </c>
      <c r="AO278" s="3">
        <f t="shared" si="62"/>
        <v>164.57249518482203</v>
      </c>
    </row>
    <row r="279" spans="1:41" ht="14">
      <c r="A279">
        <f t="shared" si="113"/>
        <v>121</v>
      </c>
      <c r="B279" s="19">
        <f t="shared" si="113"/>
        <v>201</v>
      </c>
      <c r="C279" s="123">
        <f t="shared" si="80"/>
        <v>159.14159033330424</v>
      </c>
      <c r="D279" s="26"/>
      <c r="E279" s="26">
        <f t="shared" si="92"/>
        <v>159.14159033330424</v>
      </c>
      <c r="F279" s="54">
        <f t="shared" ref="F279:G279" si="127">F278</f>
        <v>3.2727365049186812</v>
      </c>
      <c r="G279" s="54">
        <f t="shared" si="127"/>
        <v>0.56565816134396951</v>
      </c>
      <c r="H279" s="125">
        <f>(H$118)*('Product half-life and C flows'!L180/100)</f>
        <v>0</v>
      </c>
      <c r="I279" s="125">
        <f>(($C$39*$C$118*0.28)*H$41)*('Product half-life and C flows'!N180/100)</f>
        <v>0</v>
      </c>
      <c r="J279" s="125">
        <f>(($C$39*$C$118*0.28)*H$41)*(+'Product half-life and C flows'!P180/100)</f>
        <v>0</v>
      </c>
      <c r="K279" s="54">
        <f t="shared" si="86"/>
        <v>1.0075785998939457</v>
      </c>
      <c r="L279" s="26"/>
      <c r="M279" s="83"/>
      <c r="N279" s="85"/>
      <c r="O279" s="85"/>
      <c r="P279" s="85"/>
      <c r="Q279" s="83"/>
      <c r="R279" s="85"/>
      <c r="S279" s="85"/>
      <c r="T279" s="85"/>
      <c r="U279" s="3"/>
      <c r="V279" s="90"/>
      <c r="W279" s="90"/>
      <c r="X279" s="89"/>
      <c r="Y279" s="89"/>
      <c r="Z279" s="91"/>
      <c r="AA279" s="91"/>
      <c r="AB279" s="91"/>
      <c r="AC279" s="89"/>
      <c r="AD279" s="17"/>
      <c r="AE279">
        <f t="shared" si="111"/>
        <v>121</v>
      </c>
      <c r="AF279" s="113">
        <f t="shared" ref="AF279:AF310" si="128">E279</f>
        <v>159.14159033330424</v>
      </c>
      <c r="AG279" s="124">
        <f t="shared" si="83"/>
        <v>0</v>
      </c>
      <c r="AH279" s="124">
        <f t="shared" si="84"/>
        <v>159.14159033330424</v>
      </c>
      <c r="AI279" s="124">
        <f t="shared" si="121"/>
        <v>3.2727365049186812</v>
      </c>
      <c r="AJ279" s="124">
        <f t="shared" si="122"/>
        <v>0.56565816134396951</v>
      </c>
      <c r="AK279" s="124">
        <f t="shared" si="123"/>
        <v>0</v>
      </c>
      <c r="AL279" s="124">
        <f t="shared" si="124"/>
        <v>0</v>
      </c>
      <c r="AM279" s="124">
        <f t="shared" si="125"/>
        <v>0</v>
      </c>
      <c r="AN279" s="124">
        <f t="shared" si="126"/>
        <v>1.0075785998939457</v>
      </c>
      <c r="AO279" s="3">
        <f t="shared" si="62"/>
        <v>162.97998499956688</v>
      </c>
    </row>
    <row r="280" spans="1:41" ht="14">
      <c r="A280">
        <f t="shared" si="113"/>
        <v>122</v>
      </c>
      <c r="B280" s="19">
        <f t="shared" si="113"/>
        <v>202</v>
      </c>
      <c r="C280" s="123">
        <f t="shared" si="80"/>
        <v>159.31447653494916</v>
      </c>
      <c r="D280" s="26"/>
      <c r="E280" s="26">
        <f t="shared" si="92"/>
        <v>159.31447653494916</v>
      </c>
      <c r="F280" s="54">
        <f t="shared" ref="F280:G280" si="129">F279</f>
        <v>3.2727365049186812</v>
      </c>
      <c r="G280" s="54">
        <f t="shared" si="129"/>
        <v>0.56565816134396951</v>
      </c>
      <c r="H280" s="125">
        <f>(H$118)*('Product half-life and C flows'!L181/100)</f>
        <v>0</v>
      </c>
      <c r="I280" s="125">
        <f>(($C$39*$C$118*0.28)*H$41)*('Product half-life and C flows'!N181/100)</f>
        <v>0</v>
      </c>
      <c r="J280" s="125">
        <f>(($C$39*$C$118*0.28)*H$41)*(+'Product half-life and C flows'!P181/100)</f>
        <v>0</v>
      </c>
      <c r="K280" s="54">
        <f t="shared" si="86"/>
        <v>1.0075785998939457</v>
      </c>
      <c r="L280" s="26"/>
      <c r="M280" s="83"/>
      <c r="N280" s="85"/>
      <c r="O280" s="85"/>
      <c r="P280" s="85"/>
      <c r="Q280" s="83"/>
      <c r="R280" s="85"/>
      <c r="S280" s="85"/>
      <c r="T280" s="85"/>
      <c r="U280" s="3"/>
      <c r="V280" s="90"/>
      <c r="W280" s="90"/>
      <c r="X280" s="89"/>
      <c r="Y280" s="89"/>
      <c r="Z280" s="91"/>
      <c r="AA280" s="91"/>
      <c r="AB280" s="91"/>
      <c r="AC280" s="89"/>
      <c r="AD280" s="17"/>
      <c r="AE280">
        <f t="shared" si="111"/>
        <v>122</v>
      </c>
      <c r="AF280" s="113">
        <f t="shared" si="128"/>
        <v>159.31447653494916</v>
      </c>
      <c r="AG280" s="124">
        <f t="shared" si="83"/>
        <v>0</v>
      </c>
      <c r="AH280" s="124">
        <f t="shared" si="84"/>
        <v>159.31447653494916</v>
      </c>
      <c r="AI280" s="124">
        <f t="shared" si="121"/>
        <v>3.2727365049186812</v>
      </c>
      <c r="AJ280" s="124">
        <f t="shared" si="122"/>
        <v>0.56565816134396951</v>
      </c>
      <c r="AK280" s="124">
        <f t="shared" si="123"/>
        <v>0</v>
      </c>
      <c r="AL280" s="124">
        <f t="shared" si="124"/>
        <v>0</v>
      </c>
      <c r="AM280" s="124">
        <f t="shared" si="125"/>
        <v>0</v>
      </c>
      <c r="AN280" s="124">
        <f t="shared" si="126"/>
        <v>1.0075785998939457</v>
      </c>
      <c r="AO280" s="3">
        <f t="shared" si="62"/>
        <v>163.15287120121181</v>
      </c>
    </row>
    <row r="281" spans="1:41" ht="14">
      <c r="A281">
        <f t="shared" si="113"/>
        <v>123</v>
      </c>
      <c r="B281" s="19">
        <f t="shared" si="113"/>
        <v>203</v>
      </c>
      <c r="C281" s="123">
        <f t="shared" si="80"/>
        <v>159.48406083359615</v>
      </c>
      <c r="D281" s="26"/>
      <c r="E281" s="26">
        <f t="shared" si="92"/>
        <v>159.48406083359615</v>
      </c>
      <c r="F281" s="54">
        <f t="shared" ref="F281:G281" si="130">F280</f>
        <v>3.2727365049186812</v>
      </c>
      <c r="G281" s="54">
        <f t="shared" si="130"/>
        <v>0.56565816134396951</v>
      </c>
      <c r="H281" s="125">
        <f>(H$118)*('Product half-life and C flows'!L182/100)</f>
        <v>0</v>
      </c>
      <c r="I281" s="125">
        <f>(($C$39*$C$118*0.28)*H$41)*('Product half-life and C flows'!N182/100)</f>
        <v>0</v>
      </c>
      <c r="J281" s="125">
        <f>(($C$39*$C$118*0.28)*H$41)*(+'Product half-life and C flows'!P182/100)</f>
        <v>0</v>
      </c>
      <c r="K281" s="54">
        <f t="shared" si="86"/>
        <v>1.0075785998939457</v>
      </c>
      <c r="L281" s="26"/>
      <c r="M281" s="83"/>
      <c r="N281" s="85"/>
      <c r="O281" s="85"/>
      <c r="P281" s="85"/>
      <c r="Q281" s="83"/>
      <c r="R281" s="85"/>
      <c r="S281" s="85"/>
      <c r="T281" s="85"/>
      <c r="U281" s="3"/>
      <c r="V281" s="90"/>
      <c r="W281" s="90"/>
      <c r="X281" s="89"/>
      <c r="Y281" s="89"/>
      <c r="Z281" s="91"/>
      <c r="AA281" s="91"/>
      <c r="AB281" s="91"/>
      <c r="AC281" s="89"/>
      <c r="AD281" s="17"/>
      <c r="AE281">
        <f t="shared" si="111"/>
        <v>123</v>
      </c>
      <c r="AF281" s="113">
        <f t="shared" si="128"/>
        <v>159.48406083359615</v>
      </c>
      <c r="AG281" s="124">
        <f t="shared" si="83"/>
        <v>0</v>
      </c>
      <c r="AH281" s="124">
        <f t="shared" si="84"/>
        <v>159.48406083359615</v>
      </c>
      <c r="AI281" s="124">
        <f t="shared" si="121"/>
        <v>3.2727365049186812</v>
      </c>
      <c r="AJ281" s="124">
        <f t="shared" si="122"/>
        <v>0.56565816134396951</v>
      </c>
      <c r="AK281" s="124">
        <f t="shared" si="123"/>
        <v>0</v>
      </c>
      <c r="AL281" s="124">
        <f t="shared" si="124"/>
        <v>0</v>
      </c>
      <c r="AM281" s="124">
        <f t="shared" si="125"/>
        <v>0</v>
      </c>
      <c r="AN281" s="124">
        <f t="shared" si="126"/>
        <v>1.0075785998939457</v>
      </c>
      <c r="AO281" s="3">
        <f t="shared" si="62"/>
        <v>163.32245549985879</v>
      </c>
    </row>
    <row r="282" spans="1:41" ht="14">
      <c r="A282">
        <f t="shared" si="113"/>
        <v>124</v>
      </c>
      <c r="B282" s="19">
        <f t="shared" si="113"/>
        <v>204</v>
      </c>
      <c r="C282" s="123">
        <f t="shared" si="80"/>
        <v>159.65040388967657</v>
      </c>
      <c r="D282" s="26"/>
      <c r="E282" s="26">
        <f t="shared" si="92"/>
        <v>159.65040388967657</v>
      </c>
      <c r="F282" s="54">
        <f t="shared" ref="F282:G282" si="131">F281</f>
        <v>3.2727365049186812</v>
      </c>
      <c r="G282" s="54">
        <f t="shared" si="131"/>
        <v>0.56565816134396951</v>
      </c>
      <c r="H282" s="125">
        <f>(H$118)*('Product half-life and C flows'!L183/100)</f>
        <v>0</v>
      </c>
      <c r="I282" s="125">
        <f>(($C$39*$C$118*0.28)*H$41)*('Product half-life and C flows'!N183/100)</f>
        <v>0</v>
      </c>
      <c r="J282" s="125">
        <f>(($C$39*$C$118*0.28)*H$41)*(+'Product half-life and C flows'!P183/100)</f>
        <v>0</v>
      </c>
      <c r="K282" s="54">
        <f t="shared" si="86"/>
        <v>1.0075785998939457</v>
      </c>
      <c r="L282" s="26"/>
      <c r="M282" s="83"/>
      <c r="N282" s="85"/>
      <c r="O282" s="85"/>
      <c r="P282" s="85"/>
      <c r="Q282" s="83"/>
      <c r="R282" s="85"/>
      <c r="S282" s="85"/>
      <c r="T282" s="85"/>
      <c r="U282" s="3"/>
      <c r="V282" s="90"/>
      <c r="W282" s="90"/>
      <c r="X282" s="89"/>
      <c r="Y282" s="89"/>
      <c r="Z282" s="91"/>
      <c r="AA282" s="91"/>
      <c r="AB282" s="91"/>
      <c r="AC282" s="89"/>
      <c r="AD282" s="17"/>
      <c r="AE282">
        <f t="shared" si="111"/>
        <v>124</v>
      </c>
      <c r="AF282" s="113">
        <f t="shared" si="128"/>
        <v>159.65040388967657</v>
      </c>
      <c r="AG282" s="124">
        <f t="shared" si="83"/>
        <v>0</v>
      </c>
      <c r="AH282" s="124">
        <f t="shared" si="84"/>
        <v>159.65040388967657</v>
      </c>
      <c r="AI282" s="124">
        <f t="shared" si="121"/>
        <v>3.2727365049186812</v>
      </c>
      <c r="AJ282" s="124">
        <f t="shared" si="122"/>
        <v>0.56565816134396951</v>
      </c>
      <c r="AK282" s="124">
        <f t="shared" si="123"/>
        <v>0</v>
      </c>
      <c r="AL282" s="124">
        <f t="shared" si="124"/>
        <v>0</v>
      </c>
      <c r="AM282" s="124">
        <f t="shared" si="125"/>
        <v>0</v>
      </c>
      <c r="AN282" s="124">
        <f t="shared" si="126"/>
        <v>1.0075785998939457</v>
      </c>
      <c r="AO282" s="3">
        <f t="shared" si="62"/>
        <v>163.48879855593921</v>
      </c>
    </row>
    <row r="283" spans="1:41" ht="14">
      <c r="A283">
        <f t="shared" si="113"/>
        <v>125</v>
      </c>
      <c r="B283" s="19">
        <f t="shared" si="113"/>
        <v>205</v>
      </c>
      <c r="C283" s="123">
        <f t="shared" si="80"/>
        <v>159.81356534519131</v>
      </c>
      <c r="D283" s="26"/>
      <c r="E283" s="26">
        <f t="shared" si="92"/>
        <v>159.81356534519131</v>
      </c>
      <c r="F283" s="54">
        <f t="shared" ref="F283:G283" si="132">F282</f>
        <v>3.2727365049186812</v>
      </c>
      <c r="G283" s="54">
        <f t="shared" si="132"/>
        <v>0.56565816134396951</v>
      </c>
      <c r="H283" s="125">
        <f>(H$118)*('Product half-life and C flows'!L184/100)</f>
        <v>0</v>
      </c>
      <c r="I283" s="125">
        <f>(($C$39*$C$118*0.28)*H$41)*('Product half-life and C flows'!N184/100)</f>
        <v>0</v>
      </c>
      <c r="J283" s="125">
        <f>(($C$39*$C$118*0.28)*H$41)*(+'Product half-life and C flows'!P184/100)</f>
        <v>0</v>
      </c>
      <c r="K283" s="54">
        <f t="shared" si="86"/>
        <v>1.0075785998939457</v>
      </c>
      <c r="L283" s="26"/>
      <c r="M283" s="83"/>
      <c r="N283" s="85"/>
      <c r="O283" s="85"/>
      <c r="P283" s="85"/>
      <c r="Q283" s="83"/>
      <c r="R283" s="85"/>
      <c r="S283" s="85"/>
      <c r="T283" s="85"/>
      <c r="U283" s="3"/>
      <c r="V283" s="90"/>
      <c r="W283" s="90"/>
      <c r="X283" s="89"/>
      <c r="Y283" s="89"/>
      <c r="Z283" s="91"/>
      <c r="AA283" s="91"/>
      <c r="AB283" s="91"/>
      <c r="AC283" s="89"/>
      <c r="AD283" s="17"/>
      <c r="AE283">
        <f t="shared" si="111"/>
        <v>125</v>
      </c>
      <c r="AF283" s="113">
        <f t="shared" si="128"/>
        <v>159.81356534519131</v>
      </c>
      <c r="AG283" s="124">
        <f t="shared" si="83"/>
        <v>0</v>
      </c>
      <c r="AH283" s="124">
        <f t="shared" si="84"/>
        <v>159.81356534519131</v>
      </c>
      <c r="AI283" s="124">
        <f t="shared" si="121"/>
        <v>3.2727365049186812</v>
      </c>
      <c r="AJ283" s="124">
        <f t="shared" si="122"/>
        <v>0.56565816134396951</v>
      </c>
      <c r="AK283" s="124">
        <f t="shared" si="123"/>
        <v>0</v>
      </c>
      <c r="AL283" s="124">
        <f t="shared" si="124"/>
        <v>0</v>
      </c>
      <c r="AM283" s="124">
        <f t="shared" si="125"/>
        <v>0</v>
      </c>
      <c r="AN283" s="124">
        <f t="shared" si="126"/>
        <v>1.0075785998939457</v>
      </c>
      <c r="AO283" s="3">
        <f t="shared" si="62"/>
        <v>163.65196001145395</v>
      </c>
    </row>
    <row r="284" spans="1:41" ht="14">
      <c r="A284">
        <f t="shared" si="113"/>
        <v>126</v>
      </c>
      <c r="B284" s="19">
        <f t="shared" si="113"/>
        <v>206</v>
      </c>
      <c r="C284" s="123">
        <f t="shared" si="80"/>
        <v>159.97360383685276</v>
      </c>
      <c r="D284" s="26"/>
      <c r="E284" s="26">
        <f t="shared" si="92"/>
        <v>159.97360383685276</v>
      </c>
      <c r="F284" s="54">
        <f t="shared" ref="F284:G284" si="133">F283</f>
        <v>3.2727365049186812</v>
      </c>
      <c r="G284" s="54">
        <f t="shared" si="133"/>
        <v>0.56565816134396951</v>
      </c>
      <c r="H284" s="125">
        <f>(H$118)*('Product half-life and C flows'!L185/100)</f>
        <v>0</v>
      </c>
      <c r="I284" s="125">
        <f>(($C$39*$C$118*0.28)*H$41)*('Product half-life and C flows'!N185/100)</f>
        <v>0</v>
      </c>
      <c r="J284" s="125">
        <f>(($C$39*$C$118*0.28)*H$41)*(+'Product half-life and C flows'!P185/100)</f>
        <v>0</v>
      </c>
      <c r="K284" s="54">
        <f t="shared" si="86"/>
        <v>1.0075785998939457</v>
      </c>
      <c r="L284" s="26"/>
      <c r="M284" s="83"/>
      <c r="N284" s="85"/>
      <c r="O284" s="85"/>
      <c r="P284" s="85"/>
      <c r="Q284" s="83"/>
      <c r="R284" s="85"/>
      <c r="S284" s="85"/>
      <c r="T284" s="85"/>
      <c r="U284" s="3"/>
      <c r="V284" s="90"/>
      <c r="W284" s="90"/>
      <c r="X284" s="89"/>
      <c r="Y284" s="89"/>
      <c r="Z284" s="91"/>
      <c r="AA284" s="91"/>
      <c r="AB284" s="91"/>
      <c r="AC284" s="89"/>
      <c r="AD284" s="17"/>
      <c r="AE284">
        <f t="shared" si="111"/>
        <v>126</v>
      </c>
      <c r="AF284" s="113">
        <f t="shared" si="128"/>
        <v>159.97360383685276</v>
      </c>
      <c r="AG284" s="124">
        <f t="shared" si="83"/>
        <v>0</v>
      </c>
      <c r="AH284" s="124">
        <f t="shared" si="84"/>
        <v>159.97360383685276</v>
      </c>
      <c r="AI284" s="124">
        <f t="shared" si="121"/>
        <v>3.2727365049186812</v>
      </c>
      <c r="AJ284" s="124">
        <f t="shared" si="122"/>
        <v>0.56565816134396951</v>
      </c>
      <c r="AK284" s="124">
        <f t="shared" si="123"/>
        <v>0</v>
      </c>
      <c r="AL284" s="124">
        <f t="shared" si="124"/>
        <v>0</v>
      </c>
      <c r="AM284" s="124">
        <f t="shared" si="125"/>
        <v>0</v>
      </c>
      <c r="AN284" s="124">
        <f t="shared" si="126"/>
        <v>1.0075785998939457</v>
      </c>
      <c r="AO284" s="3">
        <f t="shared" si="62"/>
        <v>163.8119985031154</v>
      </c>
    </row>
    <row r="285" spans="1:41" ht="14">
      <c r="A285">
        <f t="shared" si="113"/>
        <v>127</v>
      </c>
      <c r="B285" s="19">
        <f t="shared" si="113"/>
        <v>207</v>
      </c>
      <c r="C285" s="123">
        <f t="shared" si="80"/>
        <v>160.13057700923375</v>
      </c>
      <c r="D285" s="26"/>
      <c r="E285" s="26">
        <f t="shared" si="92"/>
        <v>160.13057700923375</v>
      </c>
      <c r="F285" s="54">
        <f t="shared" ref="F285:G285" si="134">F284</f>
        <v>3.2727365049186812</v>
      </c>
      <c r="G285" s="54">
        <f t="shared" si="134"/>
        <v>0.56565816134396951</v>
      </c>
      <c r="H285" s="125">
        <f>(H$118)*('Product half-life and C flows'!L186/100)</f>
        <v>0</v>
      </c>
      <c r="I285" s="125">
        <f>(($C$39*$C$118*0.28)*H$41)*('Product half-life and C flows'!N186/100)</f>
        <v>0</v>
      </c>
      <c r="J285" s="125">
        <f>(($C$39*$C$118*0.28)*H$41)*(+'Product half-life and C flows'!P186/100)</f>
        <v>0</v>
      </c>
      <c r="K285" s="54">
        <f t="shared" si="86"/>
        <v>1.0075785998939457</v>
      </c>
      <c r="L285" s="26"/>
      <c r="M285" s="83"/>
      <c r="N285" s="85"/>
      <c r="O285" s="85"/>
      <c r="P285" s="85"/>
      <c r="Q285" s="83"/>
      <c r="R285" s="85"/>
      <c r="S285" s="85"/>
      <c r="T285" s="85"/>
      <c r="U285" s="3"/>
      <c r="V285" s="90"/>
      <c r="W285" s="90"/>
      <c r="X285" s="89"/>
      <c r="Y285" s="89"/>
      <c r="Z285" s="91"/>
      <c r="AA285" s="91"/>
      <c r="AB285" s="91"/>
      <c r="AC285" s="89"/>
      <c r="AD285" s="17"/>
      <c r="AE285">
        <f t="shared" si="111"/>
        <v>127</v>
      </c>
      <c r="AF285" s="113">
        <f t="shared" si="128"/>
        <v>160.13057700923375</v>
      </c>
      <c r="AG285" s="124">
        <f t="shared" si="83"/>
        <v>0</v>
      </c>
      <c r="AH285" s="124">
        <f t="shared" si="84"/>
        <v>160.13057700923375</v>
      </c>
      <c r="AI285" s="124">
        <f t="shared" si="121"/>
        <v>3.2727365049186812</v>
      </c>
      <c r="AJ285" s="124">
        <f t="shared" si="122"/>
        <v>0.56565816134396951</v>
      </c>
      <c r="AK285" s="124">
        <f t="shared" si="123"/>
        <v>0</v>
      </c>
      <c r="AL285" s="124">
        <f t="shared" si="124"/>
        <v>0</v>
      </c>
      <c r="AM285" s="124">
        <f t="shared" si="125"/>
        <v>0</v>
      </c>
      <c r="AN285" s="124">
        <f t="shared" si="126"/>
        <v>1.0075785998939457</v>
      </c>
      <c r="AO285" s="3">
        <f t="shared" si="62"/>
        <v>163.96897167549639</v>
      </c>
    </row>
    <row r="286" spans="1:41" ht="14">
      <c r="A286">
        <f t="shared" si="113"/>
        <v>128</v>
      </c>
      <c r="B286" s="19">
        <f t="shared" si="113"/>
        <v>208</v>
      </c>
      <c r="C286" s="123">
        <f t="shared" si="80"/>
        <v>160.28454152791318</v>
      </c>
      <c r="D286" s="26"/>
      <c r="E286" s="26">
        <f t="shared" ref="E286:E318" si="135">B$8*(1-EXP(-B$9*$B286))^3</f>
        <v>160.28454152791318</v>
      </c>
      <c r="F286" s="54">
        <f t="shared" ref="F286:G286" si="136">F285</f>
        <v>3.2727365049186812</v>
      </c>
      <c r="G286" s="54">
        <f t="shared" si="136"/>
        <v>0.56565816134396951</v>
      </c>
      <c r="H286" s="125">
        <f>(H$118)*('Product half-life and C flows'!L187/100)</f>
        <v>0</v>
      </c>
      <c r="I286" s="125">
        <f>(($C$39*$C$118*0.28)*H$41)*('Product half-life and C flows'!N187/100)</f>
        <v>0</v>
      </c>
      <c r="J286" s="125">
        <f>(($C$39*$C$118*0.28)*H$41)*(+'Product half-life and C flows'!P187/100)</f>
        <v>0</v>
      </c>
      <c r="K286" s="54">
        <f t="shared" si="86"/>
        <v>1.0075785998939457</v>
      </c>
      <c r="L286" s="26"/>
      <c r="M286" s="83"/>
      <c r="N286" s="85"/>
      <c r="O286" s="85"/>
      <c r="P286" s="85"/>
      <c r="Q286" s="83"/>
      <c r="R286" s="85"/>
      <c r="S286" s="85"/>
      <c r="T286" s="85"/>
      <c r="U286" s="3"/>
      <c r="V286" s="90"/>
      <c r="W286" s="90"/>
      <c r="X286" s="89"/>
      <c r="Y286" s="89"/>
      <c r="Z286" s="91"/>
      <c r="AA286" s="91"/>
      <c r="AB286" s="91"/>
      <c r="AC286" s="89"/>
      <c r="AD286" s="17"/>
      <c r="AE286">
        <f t="shared" si="111"/>
        <v>128</v>
      </c>
      <c r="AF286" s="113">
        <f t="shared" si="128"/>
        <v>160.28454152791318</v>
      </c>
      <c r="AG286" s="124">
        <f t="shared" si="83"/>
        <v>0</v>
      </c>
      <c r="AH286" s="124">
        <f t="shared" si="84"/>
        <v>160.28454152791318</v>
      </c>
      <c r="AI286" s="124">
        <f t="shared" si="121"/>
        <v>3.2727365049186812</v>
      </c>
      <c r="AJ286" s="124">
        <f t="shared" si="122"/>
        <v>0.56565816134396951</v>
      </c>
      <c r="AK286" s="124">
        <f t="shared" si="123"/>
        <v>0</v>
      </c>
      <c r="AL286" s="124">
        <f t="shared" si="124"/>
        <v>0</v>
      </c>
      <c r="AM286" s="124">
        <f t="shared" si="125"/>
        <v>0</v>
      </c>
      <c r="AN286" s="124">
        <f t="shared" si="126"/>
        <v>1.0075785998939457</v>
      </c>
      <c r="AO286" s="3">
        <f t="shared" ref="AO286:AO318" si="137">SUM(AH286:AM286)</f>
        <v>164.12293619417582</v>
      </c>
    </row>
    <row r="287" spans="1:41" ht="14">
      <c r="A287">
        <f t="shared" si="113"/>
        <v>129</v>
      </c>
      <c r="B287" s="19">
        <f t="shared" si="113"/>
        <v>209</v>
      </c>
      <c r="C287" s="123">
        <f t="shared" si="80"/>
        <v>160.43555309260927</v>
      </c>
      <c r="D287" s="26"/>
      <c r="E287" s="26">
        <f t="shared" si="135"/>
        <v>160.43555309260927</v>
      </c>
      <c r="F287" s="54">
        <f t="shared" ref="F287:G287" si="138">F286</f>
        <v>3.2727365049186812</v>
      </c>
      <c r="G287" s="54">
        <f t="shared" si="138"/>
        <v>0.56565816134396951</v>
      </c>
      <c r="H287" s="125">
        <f>(H$118)*('Product half-life and C flows'!L188/100)</f>
        <v>0</v>
      </c>
      <c r="I287" s="125">
        <f>(($C$39*$C$118*0.28)*H$41)*('Product half-life and C flows'!N188/100)</f>
        <v>0</v>
      </c>
      <c r="J287" s="125">
        <f>(($C$39*$C$118*0.28)*H$41)*(+'Product half-life and C flows'!P188/100)</f>
        <v>0</v>
      </c>
      <c r="K287" s="54">
        <f t="shared" si="86"/>
        <v>1.0075785998939457</v>
      </c>
      <c r="L287" s="26"/>
      <c r="M287" s="83"/>
      <c r="N287" s="85"/>
      <c r="O287" s="85"/>
      <c r="P287" s="85"/>
      <c r="Q287" s="83"/>
      <c r="R287" s="85"/>
      <c r="S287" s="85"/>
      <c r="T287" s="85"/>
      <c r="U287" s="3"/>
      <c r="V287" s="90"/>
      <c r="W287" s="90"/>
      <c r="X287" s="89"/>
      <c r="Y287" s="89"/>
      <c r="Z287" s="91"/>
      <c r="AA287" s="91"/>
      <c r="AB287" s="91"/>
      <c r="AC287" s="89"/>
      <c r="AD287" s="17"/>
      <c r="AE287">
        <f t="shared" si="111"/>
        <v>129</v>
      </c>
      <c r="AF287" s="113">
        <f t="shared" si="128"/>
        <v>160.43555309260927</v>
      </c>
      <c r="AG287" s="124">
        <f t="shared" si="83"/>
        <v>0</v>
      </c>
      <c r="AH287" s="124">
        <f t="shared" si="84"/>
        <v>160.43555309260927</v>
      </c>
      <c r="AI287" s="124">
        <f t="shared" si="121"/>
        <v>3.2727365049186812</v>
      </c>
      <c r="AJ287" s="124">
        <f t="shared" si="122"/>
        <v>0.56565816134396951</v>
      </c>
      <c r="AK287" s="124">
        <f t="shared" si="123"/>
        <v>0</v>
      </c>
      <c r="AL287" s="124">
        <f t="shared" si="124"/>
        <v>0</v>
      </c>
      <c r="AM287" s="124">
        <f t="shared" si="125"/>
        <v>0</v>
      </c>
      <c r="AN287" s="124">
        <f t="shared" si="126"/>
        <v>1.0075785998939457</v>
      </c>
      <c r="AO287" s="3">
        <f t="shared" si="137"/>
        <v>164.27394775887191</v>
      </c>
    </row>
    <row r="288" spans="1:41" ht="14">
      <c r="A288">
        <f t="shared" ref="A288:B303" si="139">A287+1</f>
        <v>130</v>
      </c>
      <c r="B288" s="19">
        <f t="shared" si="139"/>
        <v>210</v>
      </c>
      <c r="C288" s="123">
        <f t="shared" si="80"/>
        <v>160.58366645029093</v>
      </c>
      <c r="D288" s="26"/>
      <c r="E288" s="26">
        <f t="shared" si="135"/>
        <v>160.58366645029093</v>
      </c>
      <c r="F288" s="54">
        <f t="shared" ref="F288:G288" si="140">F287</f>
        <v>3.2727365049186812</v>
      </c>
      <c r="G288" s="54">
        <f t="shared" si="140"/>
        <v>0.56565816134396951</v>
      </c>
      <c r="H288" s="125">
        <f>(H$118)*('Product half-life and C flows'!L189/100)</f>
        <v>0</v>
      </c>
      <c r="I288" s="125">
        <f>(($C$39*$C$118*0.28)*H$41)*('Product half-life and C flows'!N189/100)</f>
        <v>0</v>
      </c>
      <c r="J288" s="125">
        <f>(($C$39*$C$118*0.28)*H$41)*(+'Product half-life and C flows'!P189/100)</f>
        <v>0</v>
      </c>
      <c r="K288" s="54">
        <f t="shared" si="86"/>
        <v>1.0075785998939457</v>
      </c>
      <c r="L288" s="26"/>
      <c r="M288" s="83"/>
      <c r="N288" s="85"/>
      <c r="O288" s="85"/>
      <c r="P288" s="85"/>
      <c r="Q288" s="83"/>
      <c r="R288" s="85"/>
      <c r="S288" s="85"/>
      <c r="T288" s="85"/>
      <c r="U288" s="3"/>
      <c r="V288" s="90"/>
      <c r="W288" s="90"/>
      <c r="X288" s="89"/>
      <c r="Y288" s="89"/>
      <c r="Z288" s="91"/>
      <c r="AA288" s="91"/>
      <c r="AB288" s="91"/>
      <c r="AC288" s="89"/>
      <c r="AD288" s="17"/>
      <c r="AE288">
        <f t="shared" si="111"/>
        <v>130</v>
      </c>
      <c r="AF288" s="113">
        <f t="shared" si="128"/>
        <v>160.58366645029093</v>
      </c>
      <c r="AG288" s="124">
        <f t="shared" si="83"/>
        <v>0</v>
      </c>
      <c r="AH288" s="124">
        <f t="shared" si="84"/>
        <v>160.58366645029093</v>
      </c>
      <c r="AI288" s="124">
        <f t="shared" si="121"/>
        <v>3.2727365049186812</v>
      </c>
      <c r="AJ288" s="124">
        <f t="shared" si="122"/>
        <v>0.56565816134396951</v>
      </c>
      <c r="AK288" s="124">
        <f t="shared" si="123"/>
        <v>0</v>
      </c>
      <c r="AL288" s="124">
        <f t="shared" si="124"/>
        <v>0</v>
      </c>
      <c r="AM288" s="124">
        <f t="shared" si="125"/>
        <v>0</v>
      </c>
      <c r="AN288" s="124">
        <f t="shared" si="126"/>
        <v>1.0075785998939457</v>
      </c>
      <c r="AO288" s="3">
        <f t="shared" si="137"/>
        <v>164.42206111655358</v>
      </c>
    </row>
    <row r="289" spans="1:41" ht="14">
      <c r="A289">
        <f t="shared" si="139"/>
        <v>131</v>
      </c>
      <c r="B289" s="19">
        <f t="shared" si="139"/>
        <v>211</v>
      </c>
      <c r="C289" s="123">
        <f t="shared" si="80"/>
        <v>160.72893540825862</v>
      </c>
      <c r="D289" s="26"/>
      <c r="E289" s="26">
        <f t="shared" si="135"/>
        <v>160.72893540825862</v>
      </c>
      <c r="F289" s="54">
        <f t="shared" ref="F289:G289" si="141">F288</f>
        <v>3.2727365049186812</v>
      </c>
      <c r="G289" s="54">
        <f t="shared" si="141"/>
        <v>0.56565816134396951</v>
      </c>
      <c r="H289" s="125">
        <f>(H$118)*('Product half-life and C flows'!L190/100)</f>
        <v>0</v>
      </c>
      <c r="I289" s="125">
        <f>(($C$39*$C$118*0.28)*H$41)*('Product half-life and C flows'!N190/100)</f>
        <v>0</v>
      </c>
      <c r="J289" s="125">
        <f>(($C$39*$C$118*0.28)*H$41)*(+'Product half-life and C flows'!P190/100)</f>
        <v>0</v>
      </c>
      <c r="K289" s="54">
        <f t="shared" si="86"/>
        <v>1.0075785998939457</v>
      </c>
      <c r="L289" s="26"/>
      <c r="M289" s="83"/>
      <c r="N289" s="85"/>
      <c r="O289" s="85"/>
      <c r="P289" s="85"/>
      <c r="Q289" s="83"/>
      <c r="R289" s="85"/>
      <c r="S289" s="85"/>
      <c r="T289" s="85"/>
      <c r="U289" s="3"/>
      <c r="V289" s="90"/>
      <c r="W289" s="90"/>
      <c r="X289" s="89"/>
      <c r="Y289" s="89"/>
      <c r="Z289" s="91"/>
      <c r="AA289" s="91"/>
      <c r="AB289" s="91"/>
      <c r="AC289" s="89"/>
      <c r="AD289" s="17"/>
      <c r="AE289">
        <f t="shared" si="111"/>
        <v>131</v>
      </c>
      <c r="AF289" s="113">
        <f t="shared" si="128"/>
        <v>160.72893540825862</v>
      </c>
      <c r="AG289" s="124">
        <f t="shared" si="83"/>
        <v>0</v>
      </c>
      <c r="AH289" s="124">
        <f t="shared" si="84"/>
        <v>160.72893540825862</v>
      </c>
      <c r="AI289" s="124">
        <f t="shared" si="121"/>
        <v>3.2727365049186812</v>
      </c>
      <c r="AJ289" s="124">
        <f t="shared" si="122"/>
        <v>0.56565816134396951</v>
      </c>
      <c r="AK289" s="124">
        <f t="shared" si="123"/>
        <v>0</v>
      </c>
      <c r="AL289" s="124">
        <f t="shared" si="124"/>
        <v>0</v>
      </c>
      <c r="AM289" s="124">
        <f t="shared" si="125"/>
        <v>0</v>
      </c>
      <c r="AN289" s="124">
        <f t="shared" si="126"/>
        <v>1.0075785998939457</v>
      </c>
      <c r="AO289" s="3">
        <f t="shared" si="137"/>
        <v>164.56733007452127</v>
      </c>
    </row>
    <row r="290" spans="1:41" ht="14">
      <c r="A290">
        <f t="shared" si="139"/>
        <v>132</v>
      </c>
      <c r="B290" s="19">
        <f t="shared" si="139"/>
        <v>212</v>
      </c>
      <c r="C290" s="123">
        <f t="shared" si="80"/>
        <v>160.87141284718754</v>
      </c>
      <c r="D290" s="26"/>
      <c r="E290" s="26">
        <f t="shared" si="135"/>
        <v>160.87141284718754</v>
      </c>
      <c r="F290" s="54">
        <f t="shared" ref="F290:G290" si="142">F289</f>
        <v>3.2727365049186812</v>
      </c>
      <c r="G290" s="54">
        <f t="shared" si="142"/>
        <v>0.56565816134396951</v>
      </c>
      <c r="H290" s="125">
        <f>(H$118)*('Product half-life and C flows'!L191/100)</f>
        <v>0</v>
      </c>
      <c r="I290" s="125">
        <f>(($C$39*$C$118*0.28)*H$41)*('Product half-life and C flows'!N191/100)</f>
        <v>0</v>
      </c>
      <c r="J290" s="125">
        <f>(($C$39*$C$118*0.28)*H$41)*(+'Product half-life and C flows'!P191/100)</f>
        <v>0</v>
      </c>
      <c r="K290" s="54">
        <f t="shared" si="86"/>
        <v>1.0075785998939457</v>
      </c>
      <c r="L290" s="26"/>
      <c r="M290" s="83"/>
      <c r="N290" s="85"/>
      <c r="O290" s="85"/>
      <c r="P290" s="85"/>
      <c r="Q290" s="83"/>
      <c r="R290" s="85"/>
      <c r="S290" s="85"/>
      <c r="T290" s="85"/>
      <c r="U290" s="3"/>
      <c r="V290" s="90"/>
      <c r="W290" s="90"/>
      <c r="X290" s="89"/>
      <c r="Y290" s="89"/>
      <c r="Z290" s="91"/>
      <c r="AA290" s="91"/>
      <c r="AB290" s="91"/>
      <c r="AC290" s="89"/>
      <c r="AD290" s="17"/>
      <c r="AE290">
        <f t="shared" si="111"/>
        <v>132</v>
      </c>
      <c r="AF290" s="113">
        <f t="shared" si="128"/>
        <v>160.87141284718754</v>
      </c>
      <c r="AG290" s="124">
        <f t="shared" si="83"/>
        <v>0</v>
      </c>
      <c r="AH290" s="124">
        <f t="shared" si="84"/>
        <v>160.87141284718754</v>
      </c>
      <c r="AI290" s="124">
        <f t="shared" si="121"/>
        <v>3.2727365049186812</v>
      </c>
      <c r="AJ290" s="124">
        <f t="shared" si="122"/>
        <v>0.56565816134396951</v>
      </c>
      <c r="AK290" s="124">
        <f t="shared" si="123"/>
        <v>0</v>
      </c>
      <c r="AL290" s="124">
        <f t="shared" si="124"/>
        <v>0</v>
      </c>
      <c r="AM290" s="124">
        <f t="shared" si="125"/>
        <v>0</v>
      </c>
      <c r="AN290" s="124">
        <f t="shared" si="126"/>
        <v>1.0075785998939457</v>
      </c>
      <c r="AO290" s="3">
        <f t="shared" si="137"/>
        <v>164.70980751345019</v>
      </c>
    </row>
    <row r="291" spans="1:41" ht="14">
      <c r="A291">
        <f t="shared" si="139"/>
        <v>133</v>
      </c>
      <c r="B291" s="19">
        <f t="shared" si="139"/>
        <v>213</v>
      </c>
      <c r="C291" s="123">
        <f t="shared" si="80"/>
        <v>161.0111507341245</v>
      </c>
      <c r="D291" s="26"/>
      <c r="E291" s="26">
        <f t="shared" si="135"/>
        <v>161.0111507341245</v>
      </c>
      <c r="F291" s="54">
        <f t="shared" ref="F291:G291" si="143">F290</f>
        <v>3.2727365049186812</v>
      </c>
      <c r="G291" s="54">
        <f t="shared" si="143"/>
        <v>0.56565816134396951</v>
      </c>
      <c r="H291" s="125">
        <f>(H$118)*('Product half-life and C flows'!L192/100)</f>
        <v>0</v>
      </c>
      <c r="I291" s="125">
        <f>(($C$39*$C$118*0.28)*H$41)*('Product half-life and C flows'!N192/100)</f>
        <v>0</v>
      </c>
      <c r="J291" s="125">
        <f>(($C$39*$C$118*0.28)*H$41)*(+'Product half-life and C flows'!P192/100)</f>
        <v>0</v>
      </c>
      <c r="K291" s="54">
        <f t="shared" si="86"/>
        <v>1.0075785998939457</v>
      </c>
      <c r="L291" s="26"/>
      <c r="M291" s="83"/>
      <c r="N291" s="85"/>
      <c r="O291" s="85"/>
      <c r="P291" s="85"/>
      <c r="Q291" s="83"/>
      <c r="R291" s="85"/>
      <c r="S291" s="85"/>
      <c r="T291" s="85"/>
      <c r="U291" s="3"/>
      <c r="V291" s="90"/>
      <c r="W291" s="90"/>
      <c r="X291" s="89"/>
      <c r="Y291" s="89"/>
      <c r="Z291" s="91"/>
      <c r="AA291" s="91"/>
      <c r="AB291" s="91"/>
      <c r="AC291" s="89"/>
      <c r="AD291" s="17"/>
      <c r="AE291">
        <f t="shared" si="111"/>
        <v>133</v>
      </c>
      <c r="AF291" s="113">
        <f t="shared" si="128"/>
        <v>161.0111507341245</v>
      </c>
      <c r="AG291" s="124">
        <f t="shared" si="83"/>
        <v>0</v>
      </c>
      <c r="AH291" s="124">
        <f t="shared" si="84"/>
        <v>161.0111507341245</v>
      </c>
      <c r="AI291" s="124">
        <f t="shared" si="121"/>
        <v>3.2727365049186812</v>
      </c>
      <c r="AJ291" s="124">
        <f t="shared" si="122"/>
        <v>0.56565816134396951</v>
      </c>
      <c r="AK291" s="124">
        <f t="shared" si="123"/>
        <v>0</v>
      </c>
      <c r="AL291" s="124">
        <f t="shared" si="124"/>
        <v>0</v>
      </c>
      <c r="AM291" s="124">
        <f t="shared" si="125"/>
        <v>0</v>
      </c>
      <c r="AN291" s="124">
        <f t="shared" si="126"/>
        <v>1.0075785998939457</v>
      </c>
      <c r="AO291" s="3">
        <f t="shared" si="137"/>
        <v>164.84954540038714</v>
      </c>
    </row>
    <row r="292" spans="1:41" ht="14">
      <c r="A292">
        <f t="shared" si="139"/>
        <v>134</v>
      </c>
      <c r="B292" s="19">
        <f t="shared" si="139"/>
        <v>214</v>
      </c>
      <c r="C292" s="123">
        <f t="shared" si="80"/>
        <v>161.14820013543206</v>
      </c>
      <c r="D292" s="26"/>
      <c r="E292" s="26">
        <f t="shared" si="135"/>
        <v>161.14820013543206</v>
      </c>
      <c r="F292" s="54">
        <f t="shared" ref="F292:G292" si="144">F291</f>
        <v>3.2727365049186812</v>
      </c>
      <c r="G292" s="54">
        <f t="shared" si="144"/>
        <v>0.56565816134396951</v>
      </c>
      <c r="H292" s="125">
        <f>(H$118)*('Product half-life and C flows'!L193/100)</f>
        <v>0</v>
      </c>
      <c r="I292" s="125">
        <f>(($C$39*$C$118*0.28)*H$41)*('Product half-life and C flows'!N193/100)</f>
        <v>0</v>
      </c>
      <c r="J292" s="125">
        <f>(($C$39*$C$118*0.28)*H$41)*(+'Product half-life and C flows'!P193/100)</f>
        <v>0</v>
      </c>
      <c r="K292" s="54">
        <f t="shared" si="86"/>
        <v>1.0075785998939457</v>
      </c>
      <c r="L292" s="26"/>
      <c r="M292" s="83"/>
      <c r="N292" s="85"/>
      <c r="O292" s="85"/>
      <c r="P292" s="85"/>
      <c r="Q292" s="83"/>
      <c r="R292" s="85"/>
      <c r="S292" s="85"/>
      <c r="T292" s="85"/>
      <c r="U292" s="3"/>
      <c r="V292" s="90"/>
      <c r="W292" s="90"/>
      <c r="X292" s="89"/>
      <c r="Y292" s="89"/>
      <c r="Z292" s="91"/>
      <c r="AA292" s="91"/>
      <c r="AB292" s="91"/>
      <c r="AC292" s="89"/>
      <c r="AD292" s="17"/>
      <c r="AE292">
        <f t="shared" si="111"/>
        <v>134</v>
      </c>
      <c r="AF292" s="113">
        <f t="shared" si="128"/>
        <v>161.14820013543206</v>
      </c>
      <c r="AG292" s="124">
        <f t="shared" si="83"/>
        <v>0</v>
      </c>
      <c r="AH292" s="124">
        <f t="shared" si="84"/>
        <v>161.14820013543206</v>
      </c>
      <c r="AI292" s="124">
        <f t="shared" si="121"/>
        <v>3.2727365049186812</v>
      </c>
      <c r="AJ292" s="124">
        <f t="shared" si="122"/>
        <v>0.56565816134396951</v>
      </c>
      <c r="AK292" s="124">
        <f t="shared" si="123"/>
        <v>0</v>
      </c>
      <c r="AL292" s="124">
        <f t="shared" si="124"/>
        <v>0</v>
      </c>
      <c r="AM292" s="124">
        <f t="shared" si="125"/>
        <v>0</v>
      </c>
      <c r="AN292" s="124">
        <f t="shared" si="126"/>
        <v>1.0075785998939457</v>
      </c>
      <c r="AO292" s="3">
        <f t="shared" si="137"/>
        <v>164.98659480169471</v>
      </c>
    </row>
    <row r="293" spans="1:41" ht="14">
      <c r="A293">
        <f t="shared" si="139"/>
        <v>135</v>
      </c>
      <c r="B293" s="19">
        <f t="shared" si="139"/>
        <v>215</v>
      </c>
      <c r="C293" s="123">
        <f t="shared" si="80"/>
        <v>161.28261122967328</v>
      </c>
      <c r="D293" s="26"/>
      <c r="E293" s="26">
        <f t="shared" si="135"/>
        <v>161.28261122967328</v>
      </c>
      <c r="F293" s="54">
        <f t="shared" ref="F293:G293" si="145">F292</f>
        <v>3.2727365049186812</v>
      </c>
      <c r="G293" s="54">
        <f t="shared" si="145"/>
        <v>0.56565816134396951</v>
      </c>
      <c r="H293" s="125">
        <f>(H$118)*('Product half-life and C flows'!L194/100)</f>
        <v>0</v>
      </c>
      <c r="I293" s="125">
        <f>(($C$39*$C$118*0.28)*H$41)*('Product half-life and C flows'!N194/100)</f>
        <v>0</v>
      </c>
      <c r="J293" s="125">
        <f>(($C$39*$C$118*0.28)*H$41)*(+'Product half-life and C flows'!P194/100)</f>
        <v>0</v>
      </c>
      <c r="K293" s="54">
        <f t="shared" si="86"/>
        <v>1.0075785998939457</v>
      </c>
      <c r="L293" s="26"/>
      <c r="M293" s="83"/>
      <c r="N293" s="85"/>
      <c r="O293" s="85"/>
      <c r="P293" s="85"/>
      <c r="Q293" s="83"/>
      <c r="R293" s="85"/>
      <c r="S293" s="85"/>
      <c r="T293" s="85"/>
      <c r="U293" s="3"/>
      <c r="V293" s="90"/>
      <c r="W293" s="90"/>
      <c r="X293" s="89"/>
      <c r="Y293" s="89"/>
      <c r="Z293" s="91"/>
      <c r="AA293" s="91"/>
      <c r="AB293" s="91"/>
      <c r="AC293" s="89"/>
      <c r="AD293" s="17"/>
      <c r="AE293">
        <f t="shared" si="111"/>
        <v>135</v>
      </c>
      <c r="AF293" s="113">
        <f t="shared" si="128"/>
        <v>161.28261122967328</v>
      </c>
      <c r="AG293" s="124">
        <f t="shared" si="83"/>
        <v>0</v>
      </c>
      <c r="AH293" s="124">
        <f t="shared" si="84"/>
        <v>161.28261122967328</v>
      </c>
      <c r="AI293" s="124">
        <f t="shared" si="121"/>
        <v>3.2727365049186812</v>
      </c>
      <c r="AJ293" s="124">
        <f t="shared" si="122"/>
        <v>0.56565816134396951</v>
      </c>
      <c r="AK293" s="124">
        <f t="shared" si="123"/>
        <v>0</v>
      </c>
      <c r="AL293" s="124">
        <f t="shared" si="124"/>
        <v>0</v>
      </c>
      <c r="AM293" s="124">
        <f t="shared" si="125"/>
        <v>0</v>
      </c>
      <c r="AN293" s="124">
        <f t="shared" si="126"/>
        <v>1.0075785998939457</v>
      </c>
      <c r="AO293" s="3">
        <f t="shared" si="137"/>
        <v>165.12100589593592</v>
      </c>
    </row>
    <row r="294" spans="1:41" ht="14">
      <c r="A294">
        <f t="shared" si="139"/>
        <v>136</v>
      </c>
      <c r="B294" s="19">
        <f t="shared" si="139"/>
        <v>216</v>
      </c>
      <c r="C294" s="123">
        <f t="shared" si="80"/>
        <v>161.41443332043016</v>
      </c>
      <c r="D294" s="26"/>
      <c r="E294" s="26">
        <f t="shared" si="135"/>
        <v>161.41443332043016</v>
      </c>
      <c r="F294" s="54">
        <f t="shared" ref="F294:G294" si="146">F293</f>
        <v>3.2727365049186812</v>
      </c>
      <c r="G294" s="54">
        <f t="shared" si="146"/>
        <v>0.56565816134396951</v>
      </c>
      <c r="H294" s="125">
        <f>(H$118)*('Product half-life and C flows'!L195/100)</f>
        <v>0</v>
      </c>
      <c r="I294" s="125">
        <f>(($C$39*$C$118*0.28)*H$41)*('Product half-life and C flows'!N195/100)</f>
        <v>0</v>
      </c>
      <c r="J294" s="125">
        <f>(($C$39*$C$118*0.28)*H$41)*(+'Product half-life and C flows'!P195/100)</f>
        <v>0</v>
      </c>
      <c r="K294" s="54">
        <f t="shared" si="86"/>
        <v>1.0075785998939457</v>
      </c>
      <c r="L294" s="26"/>
      <c r="M294" s="83"/>
      <c r="N294" s="85"/>
      <c r="O294" s="85"/>
      <c r="P294" s="85"/>
      <c r="Q294" s="83"/>
      <c r="R294" s="85"/>
      <c r="S294" s="85"/>
      <c r="T294" s="85"/>
      <c r="U294" s="3"/>
      <c r="V294" s="90"/>
      <c r="W294" s="90"/>
      <c r="X294" s="89"/>
      <c r="Y294" s="89"/>
      <c r="Z294" s="91"/>
      <c r="AA294" s="91"/>
      <c r="AB294" s="91"/>
      <c r="AC294" s="89"/>
      <c r="AD294" s="17"/>
      <c r="AE294">
        <f t="shared" si="111"/>
        <v>136</v>
      </c>
      <c r="AF294" s="113">
        <f t="shared" si="128"/>
        <v>161.41443332043016</v>
      </c>
      <c r="AG294" s="124">
        <f t="shared" si="83"/>
        <v>0</v>
      </c>
      <c r="AH294" s="124">
        <f t="shared" si="84"/>
        <v>161.41443332043016</v>
      </c>
      <c r="AI294" s="124">
        <f t="shared" si="121"/>
        <v>3.2727365049186812</v>
      </c>
      <c r="AJ294" s="124">
        <f t="shared" si="122"/>
        <v>0.56565816134396951</v>
      </c>
      <c r="AK294" s="124">
        <f t="shared" si="123"/>
        <v>0</v>
      </c>
      <c r="AL294" s="124">
        <f t="shared" si="124"/>
        <v>0</v>
      </c>
      <c r="AM294" s="124">
        <f t="shared" si="125"/>
        <v>0</v>
      </c>
      <c r="AN294" s="124">
        <f t="shared" si="126"/>
        <v>1.0075785998939457</v>
      </c>
      <c r="AO294" s="3">
        <f t="shared" si="137"/>
        <v>165.25282798669281</v>
      </c>
    </row>
    <row r="295" spans="1:41" ht="14">
      <c r="A295">
        <f t="shared" si="139"/>
        <v>137</v>
      </c>
      <c r="B295" s="19">
        <f t="shared" si="139"/>
        <v>217</v>
      </c>
      <c r="C295" s="123">
        <f t="shared" si="80"/>
        <v>161.54371484905107</v>
      </c>
      <c r="D295" s="26"/>
      <c r="E295" s="26">
        <f t="shared" si="135"/>
        <v>161.54371484905107</v>
      </c>
      <c r="F295" s="54">
        <f t="shared" ref="F295:G295" si="147">F294</f>
        <v>3.2727365049186812</v>
      </c>
      <c r="G295" s="54">
        <f t="shared" si="147"/>
        <v>0.56565816134396951</v>
      </c>
      <c r="H295" s="125">
        <f>(H$118)*('Product half-life and C flows'!L196/100)</f>
        <v>0</v>
      </c>
      <c r="I295" s="125">
        <f>(($C$39*$C$118*0.28)*H$41)*('Product half-life and C flows'!N196/100)</f>
        <v>0</v>
      </c>
      <c r="J295" s="125">
        <f>(($C$39*$C$118*0.28)*H$41)*(+'Product half-life and C flows'!P196/100)</f>
        <v>0</v>
      </c>
      <c r="K295" s="54">
        <f t="shared" si="86"/>
        <v>1.0075785998939457</v>
      </c>
      <c r="L295" s="26"/>
      <c r="M295" s="83"/>
      <c r="N295" s="85"/>
      <c r="O295" s="85"/>
      <c r="P295" s="85"/>
      <c r="Q295" s="83"/>
      <c r="R295" s="85"/>
      <c r="S295" s="85"/>
      <c r="T295" s="85"/>
      <c r="U295" s="3"/>
      <c r="V295" s="90"/>
      <c r="W295" s="90"/>
      <c r="X295" s="89"/>
      <c r="Y295" s="89"/>
      <c r="Z295" s="91"/>
      <c r="AA295" s="91"/>
      <c r="AB295" s="91"/>
      <c r="AC295" s="89"/>
      <c r="AD295" s="17"/>
      <c r="AE295">
        <f t="shared" si="111"/>
        <v>137</v>
      </c>
      <c r="AF295" s="113">
        <f t="shared" si="128"/>
        <v>161.54371484905107</v>
      </c>
      <c r="AG295" s="124">
        <f t="shared" si="83"/>
        <v>0</v>
      </c>
      <c r="AH295" s="124">
        <f t="shared" si="84"/>
        <v>161.54371484905107</v>
      </c>
      <c r="AI295" s="124">
        <f t="shared" si="121"/>
        <v>3.2727365049186812</v>
      </c>
      <c r="AJ295" s="124">
        <f t="shared" si="122"/>
        <v>0.56565816134396951</v>
      </c>
      <c r="AK295" s="124">
        <f t="shared" si="123"/>
        <v>0</v>
      </c>
      <c r="AL295" s="124">
        <f t="shared" si="124"/>
        <v>0</v>
      </c>
      <c r="AM295" s="124">
        <f t="shared" si="125"/>
        <v>0</v>
      </c>
      <c r="AN295" s="124">
        <f t="shared" si="126"/>
        <v>1.0075785998939457</v>
      </c>
      <c r="AO295" s="3">
        <f t="shared" si="137"/>
        <v>165.38210951531372</v>
      </c>
    </row>
    <row r="296" spans="1:41" ht="14">
      <c r="A296">
        <f t="shared" si="139"/>
        <v>138</v>
      </c>
      <c r="B296" s="19">
        <f t="shared" si="139"/>
        <v>218</v>
      </c>
      <c r="C296" s="123">
        <f t="shared" si="80"/>
        <v>161.67050340732089</v>
      </c>
      <c r="D296" s="26"/>
      <c r="E296" s="26">
        <f t="shared" si="135"/>
        <v>161.67050340732089</v>
      </c>
      <c r="F296" s="54">
        <f t="shared" ref="F296:G296" si="148">F295</f>
        <v>3.2727365049186812</v>
      </c>
      <c r="G296" s="54">
        <f t="shared" si="148"/>
        <v>0.56565816134396951</v>
      </c>
      <c r="H296" s="125">
        <f>(H$118)*('Product half-life and C flows'!L197/100)</f>
        <v>0</v>
      </c>
      <c r="I296" s="125">
        <f>(($C$39*$C$118*0.28)*H$41)*('Product half-life and C flows'!N197/100)</f>
        <v>0</v>
      </c>
      <c r="J296" s="125">
        <f>(($C$39*$C$118*0.28)*H$41)*(+'Product half-life and C flows'!P197/100)</f>
        <v>0</v>
      </c>
      <c r="K296" s="54">
        <f t="shared" si="86"/>
        <v>1.0075785998939457</v>
      </c>
      <c r="L296" s="26"/>
      <c r="M296" s="83"/>
      <c r="N296" s="85"/>
      <c r="O296" s="85"/>
      <c r="P296" s="85"/>
      <c r="Q296" s="83"/>
      <c r="R296" s="85"/>
      <c r="S296" s="85"/>
      <c r="T296" s="85"/>
      <c r="U296" s="3"/>
      <c r="V296" s="90"/>
      <c r="W296" s="90"/>
      <c r="X296" s="89"/>
      <c r="Y296" s="89"/>
      <c r="Z296" s="91"/>
      <c r="AA296" s="91"/>
      <c r="AB296" s="91"/>
      <c r="AC296" s="89"/>
      <c r="AD296" s="17"/>
      <c r="AE296">
        <f t="shared" si="111"/>
        <v>138</v>
      </c>
      <c r="AF296" s="113">
        <f t="shared" si="128"/>
        <v>161.67050340732089</v>
      </c>
      <c r="AG296" s="124">
        <f t="shared" si="83"/>
        <v>0</v>
      </c>
      <c r="AH296" s="124">
        <f t="shared" si="84"/>
        <v>161.67050340732089</v>
      </c>
      <c r="AI296" s="124">
        <f t="shared" si="121"/>
        <v>3.2727365049186812</v>
      </c>
      <c r="AJ296" s="124">
        <f t="shared" si="122"/>
        <v>0.56565816134396951</v>
      </c>
      <c r="AK296" s="124">
        <f t="shared" si="123"/>
        <v>0</v>
      </c>
      <c r="AL296" s="124">
        <f t="shared" si="124"/>
        <v>0</v>
      </c>
      <c r="AM296" s="124">
        <f t="shared" si="125"/>
        <v>0</v>
      </c>
      <c r="AN296" s="124">
        <f t="shared" si="126"/>
        <v>1.0075785998939457</v>
      </c>
      <c r="AO296" s="3">
        <f t="shared" si="137"/>
        <v>165.50889807358354</v>
      </c>
    </row>
    <row r="297" spans="1:41" ht="14">
      <c r="A297">
        <f t="shared" si="139"/>
        <v>139</v>
      </c>
      <c r="B297" s="19">
        <f t="shared" si="139"/>
        <v>219</v>
      </c>
      <c r="C297" s="123">
        <f t="shared" si="80"/>
        <v>161.79484575004849</v>
      </c>
      <c r="D297" s="26"/>
      <c r="E297" s="26">
        <f t="shared" si="135"/>
        <v>161.79484575004849</v>
      </c>
      <c r="F297" s="54">
        <f t="shared" ref="F297:G297" si="149">F296</f>
        <v>3.2727365049186812</v>
      </c>
      <c r="G297" s="54">
        <f t="shared" si="149"/>
        <v>0.56565816134396951</v>
      </c>
      <c r="H297" s="125">
        <f>(H$118)*('Product half-life and C flows'!L198/100)</f>
        <v>0</v>
      </c>
      <c r="I297" s="125">
        <f>(($C$39*$C$118*0.28)*H$41)*('Product half-life and C flows'!N198/100)</f>
        <v>0</v>
      </c>
      <c r="J297" s="125">
        <f>(($C$39*$C$118*0.28)*H$41)*(+'Product half-life and C flows'!P198/100)</f>
        <v>0</v>
      </c>
      <c r="K297" s="54">
        <f t="shared" si="86"/>
        <v>1.0075785998939457</v>
      </c>
      <c r="L297" s="26"/>
      <c r="M297" s="83"/>
      <c r="N297" s="85"/>
      <c r="O297" s="85"/>
      <c r="P297" s="85"/>
      <c r="Q297" s="83"/>
      <c r="R297" s="85"/>
      <c r="S297" s="85"/>
      <c r="T297" s="85"/>
      <c r="U297" s="3"/>
      <c r="V297" s="90"/>
      <c r="W297" s="90"/>
      <c r="X297" s="89"/>
      <c r="Y297" s="89"/>
      <c r="Z297" s="91"/>
      <c r="AA297" s="91"/>
      <c r="AB297" s="91"/>
      <c r="AC297" s="89"/>
      <c r="AD297" s="17"/>
      <c r="AE297">
        <f t="shared" si="111"/>
        <v>139</v>
      </c>
      <c r="AF297" s="113">
        <f t="shared" si="128"/>
        <v>161.79484575004849</v>
      </c>
      <c r="AG297" s="124">
        <f t="shared" si="83"/>
        <v>0</v>
      </c>
      <c r="AH297" s="124">
        <f t="shared" si="84"/>
        <v>161.79484575004849</v>
      </c>
      <c r="AI297" s="124">
        <f t="shared" ref="AI297:AN312" si="150">F297+O297+X297</f>
        <v>3.2727365049186812</v>
      </c>
      <c r="AJ297" s="124">
        <f t="shared" si="150"/>
        <v>0.56565816134396951</v>
      </c>
      <c r="AK297" s="124">
        <f t="shared" si="150"/>
        <v>0</v>
      </c>
      <c r="AL297" s="124">
        <f t="shared" si="150"/>
        <v>0</v>
      </c>
      <c r="AM297" s="124">
        <f t="shared" si="150"/>
        <v>0</v>
      </c>
      <c r="AN297" s="124">
        <f t="shared" si="150"/>
        <v>1.0075785998939457</v>
      </c>
      <c r="AO297" s="3">
        <f t="shared" si="137"/>
        <v>165.63324041631114</v>
      </c>
    </row>
    <row r="298" spans="1:41" ht="14">
      <c r="A298">
        <f t="shared" si="139"/>
        <v>140</v>
      </c>
      <c r="B298" s="19">
        <f t="shared" si="139"/>
        <v>220</v>
      </c>
      <c r="C298" s="123">
        <f t="shared" si="80"/>
        <v>161.91678780756789</v>
      </c>
      <c r="D298" s="26"/>
      <c r="E298" s="26">
        <f t="shared" si="135"/>
        <v>161.91678780756789</v>
      </c>
      <c r="F298" s="54">
        <f t="shared" ref="F298:G298" si="151">F297</f>
        <v>3.2727365049186812</v>
      </c>
      <c r="G298" s="54">
        <f t="shared" si="151"/>
        <v>0.56565816134396951</v>
      </c>
      <c r="H298" s="125">
        <f>(H$118)*('Product half-life and C flows'!L199/100)</f>
        <v>0</v>
      </c>
      <c r="I298" s="125">
        <f>(($C$39*$C$118*0.28)*H$41)*('Product half-life and C flows'!N199/100)</f>
        <v>0</v>
      </c>
      <c r="J298" s="125">
        <f>(($C$39*$C$118*0.28)*H$41)*(+'Product half-life and C flows'!P199/100)</f>
        <v>0</v>
      </c>
      <c r="K298" s="54">
        <f t="shared" si="86"/>
        <v>1.0075785998939457</v>
      </c>
      <c r="L298" s="26"/>
      <c r="M298" s="83"/>
      <c r="N298" s="85"/>
      <c r="O298" s="85"/>
      <c r="P298" s="85"/>
      <c r="Q298" s="83"/>
      <c r="R298" s="85"/>
      <c r="S298" s="85"/>
      <c r="T298" s="85"/>
      <c r="U298" s="3"/>
      <c r="V298" s="90"/>
      <c r="W298" s="90"/>
      <c r="X298" s="89"/>
      <c r="Y298" s="89"/>
      <c r="Z298" s="91"/>
      <c r="AA298" s="91"/>
      <c r="AB298" s="91"/>
      <c r="AC298" s="89"/>
      <c r="AD298" s="17"/>
      <c r="AE298">
        <f t="shared" si="111"/>
        <v>140</v>
      </c>
      <c r="AF298" s="113">
        <f t="shared" si="128"/>
        <v>161.91678780756789</v>
      </c>
      <c r="AG298" s="124">
        <f t="shared" si="83"/>
        <v>0</v>
      </c>
      <c r="AH298" s="124">
        <f t="shared" si="84"/>
        <v>161.91678780756789</v>
      </c>
      <c r="AI298" s="124">
        <f t="shared" si="150"/>
        <v>3.2727365049186812</v>
      </c>
      <c r="AJ298" s="124">
        <f t="shared" si="150"/>
        <v>0.56565816134396951</v>
      </c>
      <c r="AK298" s="124">
        <f t="shared" si="150"/>
        <v>0</v>
      </c>
      <c r="AL298" s="124">
        <f t="shared" si="150"/>
        <v>0</v>
      </c>
      <c r="AM298" s="124">
        <f t="shared" si="150"/>
        <v>0</v>
      </c>
      <c r="AN298" s="124">
        <f t="shared" si="150"/>
        <v>1.0075785998939457</v>
      </c>
      <c r="AO298" s="3">
        <f t="shared" si="137"/>
        <v>165.75518247383053</v>
      </c>
    </row>
    <row r="299" spans="1:41" ht="14">
      <c r="A299">
        <f t="shared" si="139"/>
        <v>141</v>
      </c>
      <c r="B299" s="19">
        <f t="shared" si="139"/>
        <v>221</v>
      </c>
      <c r="C299" s="123">
        <f t="shared" si="80"/>
        <v>162.03637469814757</v>
      </c>
      <c r="D299" s="26"/>
      <c r="E299" s="26">
        <f t="shared" si="135"/>
        <v>162.03637469814757</v>
      </c>
      <c r="F299" s="54">
        <f t="shared" ref="F299:G299" si="152">F298</f>
        <v>3.2727365049186812</v>
      </c>
      <c r="G299" s="54">
        <f t="shared" si="152"/>
        <v>0.56565816134396951</v>
      </c>
      <c r="H299" s="125">
        <f>(H$118)*('Product half-life and C flows'!L200/100)</f>
        <v>0</v>
      </c>
      <c r="I299" s="125">
        <f>(($C$39*$C$118*0.28)*H$41)*('Product half-life and C flows'!N200/100)</f>
        <v>0</v>
      </c>
      <c r="J299" s="125">
        <f>(($C$39*$C$118*0.28)*H$41)*(+'Product half-life and C flows'!P200/100)</f>
        <v>0</v>
      </c>
      <c r="K299" s="54">
        <f t="shared" si="86"/>
        <v>1.0075785998939457</v>
      </c>
      <c r="L299" s="26"/>
      <c r="M299" s="83"/>
      <c r="N299" s="85"/>
      <c r="O299" s="85"/>
      <c r="P299" s="85"/>
      <c r="Q299" s="83"/>
      <c r="R299" s="85"/>
      <c r="S299" s="85"/>
      <c r="T299" s="85"/>
      <c r="U299" s="3"/>
      <c r="V299" s="90"/>
      <c r="W299" s="90"/>
      <c r="X299" s="89"/>
      <c r="Y299" s="89"/>
      <c r="Z299" s="91"/>
      <c r="AA299" s="91"/>
      <c r="AB299" s="91"/>
      <c r="AC299" s="89"/>
      <c r="AD299" s="17"/>
      <c r="AE299">
        <f t="shared" si="111"/>
        <v>141</v>
      </c>
      <c r="AF299" s="113">
        <f t="shared" si="128"/>
        <v>162.03637469814757</v>
      </c>
      <c r="AG299" s="124">
        <f t="shared" si="83"/>
        <v>0</v>
      </c>
      <c r="AH299" s="124">
        <f t="shared" si="84"/>
        <v>162.03637469814757</v>
      </c>
      <c r="AI299" s="124">
        <f t="shared" si="150"/>
        <v>3.2727365049186812</v>
      </c>
      <c r="AJ299" s="124">
        <f t="shared" si="150"/>
        <v>0.56565816134396951</v>
      </c>
      <c r="AK299" s="124">
        <f t="shared" si="150"/>
        <v>0</v>
      </c>
      <c r="AL299" s="124">
        <f t="shared" si="150"/>
        <v>0</v>
      </c>
      <c r="AM299" s="124">
        <f t="shared" si="150"/>
        <v>0</v>
      </c>
      <c r="AN299" s="124">
        <f t="shared" si="150"/>
        <v>1.0075785998939457</v>
      </c>
      <c r="AO299" s="3">
        <f t="shared" si="137"/>
        <v>165.87476936441021</v>
      </c>
    </row>
    <row r="300" spans="1:41" ht="14">
      <c r="A300">
        <f t="shared" si="139"/>
        <v>142</v>
      </c>
      <c r="B300" s="19">
        <f t="shared" si="139"/>
        <v>222</v>
      </c>
      <c r="C300" s="123">
        <f t="shared" si="80"/>
        <v>162.15365074030461</v>
      </c>
      <c r="D300" s="26"/>
      <c r="E300" s="26">
        <f t="shared" si="135"/>
        <v>162.15365074030461</v>
      </c>
      <c r="F300" s="54">
        <f t="shared" ref="F300:G300" si="153">F299</f>
        <v>3.2727365049186812</v>
      </c>
      <c r="G300" s="54">
        <f t="shared" si="153"/>
        <v>0.56565816134396951</v>
      </c>
      <c r="H300" s="125">
        <f>(H$118)*('Product half-life and C flows'!L201/100)</f>
        <v>0</v>
      </c>
      <c r="I300" s="125">
        <f>(($C$39*$C$118*0.28)*H$41)*('Product half-life and C flows'!N201/100)</f>
        <v>0</v>
      </c>
      <c r="J300" s="125">
        <f>(($C$39*$C$118*0.28)*H$41)*(+'Product half-life and C flows'!P201/100)</f>
        <v>0</v>
      </c>
      <c r="K300" s="54">
        <f t="shared" si="86"/>
        <v>1.0075785998939457</v>
      </c>
      <c r="L300" s="26"/>
      <c r="M300" s="83"/>
      <c r="N300" s="85"/>
      <c r="O300" s="85"/>
      <c r="P300" s="85"/>
      <c r="Q300" s="83"/>
      <c r="R300" s="85"/>
      <c r="S300" s="85"/>
      <c r="T300" s="85"/>
      <c r="U300" s="3"/>
      <c r="V300" s="90"/>
      <c r="W300" s="90"/>
      <c r="X300" s="89"/>
      <c r="Y300" s="89"/>
      <c r="Z300" s="91"/>
      <c r="AA300" s="91"/>
      <c r="AB300" s="91"/>
      <c r="AC300" s="89"/>
      <c r="AD300" s="17"/>
      <c r="AE300">
        <f t="shared" si="111"/>
        <v>142</v>
      </c>
      <c r="AF300" s="113">
        <f t="shared" si="128"/>
        <v>162.15365074030461</v>
      </c>
      <c r="AG300" s="124">
        <f t="shared" si="83"/>
        <v>0</v>
      </c>
      <c r="AH300" s="124">
        <f t="shared" si="84"/>
        <v>162.15365074030461</v>
      </c>
      <c r="AI300" s="124">
        <f t="shared" si="150"/>
        <v>3.2727365049186812</v>
      </c>
      <c r="AJ300" s="124">
        <f t="shared" si="150"/>
        <v>0.56565816134396951</v>
      </c>
      <c r="AK300" s="124">
        <f t="shared" si="150"/>
        <v>0</v>
      </c>
      <c r="AL300" s="124">
        <f t="shared" si="150"/>
        <v>0</v>
      </c>
      <c r="AM300" s="124">
        <f t="shared" si="150"/>
        <v>0</v>
      </c>
      <c r="AN300" s="124">
        <f t="shared" si="150"/>
        <v>1.0075785998939457</v>
      </c>
      <c r="AO300" s="3">
        <f t="shared" si="137"/>
        <v>165.99204540656726</v>
      </c>
    </row>
    <row r="301" spans="1:41" ht="14">
      <c r="A301">
        <f t="shared" si="139"/>
        <v>143</v>
      </c>
      <c r="B301" s="19">
        <f t="shared" si="139"/>
        <v>223</v>
      </c>
      <c r="C301" s="123">
        <f t="shared" si="80"/>
        <v>162.26865946501934</v>
      </c>
      <c r="D301" s="26"/>
      <c r="E301" s="26">
        <f t="shared" si="135"/>
        <v>162.26865946501934</v>
      </c>
      <c r="F301" s="54">
        <f t="shared" ref="F301:G301" si="154">F300</f>
        <v>3.2727365049186812</v>
      </c>
      <c r="G301" s="54">
        <f t="shared" si="154"/>
        <v>0.56565816134396951</v>
      </c>
      <c r="H301" s="125">
        <f>(H$118)*('Product half-life and C flows'!L202/100)</f>
        <v>0</v>
      </c>
      <c r="I301" s="125">
        <f>(($C$39*$C$118*0.28)*H$41)*('Product half-life and C flows'!N202/100)</f>
        <v>0</v>
      </c>
      <c r="J301" s="125">
        <f>(($C$39*$C$118*0.28)*H$41)*(+'Product half-life and C flows'!P202/100)</f>
        <v>0</v>
      </c>
      <c r="K301" s="54">
        <f t="shared" si="86"/>
        <v>1.0075785998939457</v>
      </c>
      <c r="L301" s="26"/>
      <c r="M301" s="83"/>
      <c r="N301" s="85"/>
      <c r="O301" s="85"/>
      <c r="P301" s="85"/>
      <c r="Q301" s="83"/>
      <c r="R301" s="85"/>
      <c r="S301" s="85"/>
      <c r="T301" s="85"/>
      <c r="U301" s="3"/>
      <c r="V301" s="90"/>
      <c r="W301" s="90"/>
      <c r="X301" s="89"/>
      <c r="Y301" s="89"/>
      <c r="Z301" s="91"/>
      <c r="AA301" s="91"/>
      <c r="AB301" s="91"/>
      <c r="AC301" s="89"/>
      <c r="AD301" s="17"/>
      <c r="AE301">
        <f t="shared" si="111"/>
        <v>143</v>
      </c>
      <c r="AF301" s="113">
        <f t="shared" si="128"/>
        <v>162.26865946501934</v>
      </c>
      <c r="AG301" s="124">
        <f t="shared" si="83"/>
        <v>0</v>
      </c>
      <c r="AH301" s="124">
        <f t="shared" si="84"/>
        <v>162.26865946501934</v>
      </c>
      <c r="AI301" s="124">
        <f t="shared" si="150"/>
        <v>3.2727365049186812</v>
      </c>
      <c r="AJ301" s="124">
        <f t="shared" si="150"/>
        <v>0.56565816134396951</v>
      </c>
      <c r="AK301" s="124">
        <f t="shared" si="150"/>
        <v>0</v>
      </c>
      <c r="AL301" s="124">
        <f t="shared" si="150"/>
        <v>0</v>
      </c>
      <c r="AM301" s="124">
        <f t="shared" si="150"/>
        <v>0</v>
      </c>
      <c r="AN301" s="124">
        <f t="shared" si="150"/>
        <v>1.0075785998939457</v>
      </c>
      <c r="AO301" s="3">
        <f t="shared" si="137"/>
        <v>166.10705413128198</v>
      </c>
    </row>
    <row r="302" spans="1:41" ht="14">
      <c r="A302">
        <f t="shared" si="139"/>
        <v>144</v>
      </c>
      <c r="B302" s="19">
        <f t="shared" si="139"/>
        <v>224</v>
      </c>
      <c r="C302" s="123">
        <f t="shared" si="80"/>
        <v>162.38144362784706</v>
      </c>
      <c r="D302" s="26"/>
      <c r="E302" s="26">
        <f t="shared" si="135"/>
        <v>162.38144362784706</v>
      </c>
      <c r="F302" s="54">
        <f t="shared" ref="F302:G302" si="155">F301</f>
        <v>3.2727365049186812</v>
      </c>
      <c r="G302" s="54">
        <f t="shared" si="155"/>
        <v>0.56565816134396951</v>
      </c>
      <c r="H302" s="125">
        <f>(H$118)*('Product half-life and C flows'!L203/100)</f>
        <v>0</v>
      </c>
      <c r="I302" s="125">
        <f>(($C$39*$C$118*0.28)*H$41)*('Product half-life and C flows'!N203/100)</f>
        <v>0</v>
      </c>
      <c r="J302" s="125">
        <f>(($C$39*$C$118*0.28)*H$41)*(+'Product half-life and C flows'!P203/100)</f>
        <v>0</v>
      </c>
      <c r="K302" s="54">
        <f t="shared" si="86"/>
        <v>1.0075785998939457</v>
      </c>
      <c r="L302" s="26"/>
      <c r="M302" s="83"/>
      <c r="N302" s="85"/>
      <c r="O302" s="85"/>
      <c r="P302" s="85"/>
      <c r="Q302" s="83"/>
      <c r="R302" s="85"/>
      <c r="S302" s="85"/>
      <c r="T302" s="85"/>
      <c r="U302" s="3"/>
      <c r="V302" s="90"/>
      <c r="W302" s="90"/>
      <c r="X302" s="89"/>
      <c r="Y302" s="89"/>
      <c r="Z302" s="91"/>
      <c r="AA302" s="91"/>
      <c r="AB302" s="91"/>
      <c r="AC302" s="89"/>
      <c r="AD302" s="17"/>
      <c r="AE302">
        <f t="shared" si="111"/>
        <v>144</v>
      </c>
      <c r="AF302" s="113">
        <f t="shared" si="128"/>
        <v>162.38144362784706</v>
      </c>
      <c r="AG302" s="124">
        <f t="shared" si="83"/>
        <v>0</v>
      </c>
      <c r="AH302" s="124">
        <f t="shared" si="84"/>
        <v>162.38144362784706</v>
      </c>
      <c r="AI302" s="124">
        <f t="shared" si="150"/>
        <v>3.2727365049186812</v>
      </c>
      <c r="AJ302" s="124">
        <f t="shared" si="150"/>
        <v>0.56565816134396951</v>
      </c>
      <c r="AK302" s="124">
        <f t="shared" si="150"/>
        <v>0</v>
      </c>
      <c r="AL302" s="124">
        <f t="shared" si="150"/>
        <v>0</v>
      </c>
      <c r="AM302" s="124">
        <f t="shared" si="150"/>
        <v>0</v>
      </c>
      <c r="AN302" s="124">
        <f t="shared" si="150"/>
        <v>1.0075785998939457</v>
      </c>
      <c r="AO302" s="3">
        <f t="shared" si="137"/>
        <v>166.21983829410971</v>
      </c>
    </row>
    <row r="303" spans="1:41" ht="14">
      <c r="A303">
        <f t="shared" si="139"/>
        <v>145</v>
      </c>
      <c r="B303" s="19">
        <f t="shared" si="139"/>
        <v>225</v>
      </c>
      <c r="C303" s="123">
        <f t="shared" si="80"/>
        <v>162.49204522092421</v>
      </c>
      <c r="D303" s="26"/>
      <c r="E303" s="26">
        <f t="shared" si="135"/>
        <v>162.49204522092421</v>
      </c>
      <c r="F303" s="54">
        <f t="shared" ref="F303:G303" si="156">F302</f>
        <v>3.2727365049186812</v>
      </c>
      <c r="G303" s="54">
        <f t="shared" si="156"/>
        <v>0.56565816134396951</v>
      </c>
      <c r="H303" s="125">
        <f>(H$118)*('Product half-life and C flows'!L204/100)</f>
        <v>0</v>
      </c>
      <c r="I303" s="125">
        <f>(($C$39*$C$118*0.28)*H$41)*('Product half-life and C flows'!N204/100)</f>
        <v>0</v>
      </c>
      <c r="J303" s="125">
        <f>(($C$39*$C$118*0.28)*H$41)*(+'Product half-life and C flows'!P204/100)</f>
        <v>0</v>
      </c>
      <c r="K303" s="54">
        <f t="shared" si="86"/>
        <v>1.0075785998939457</v>
      </c>
      <c r="L303" s="26"/>
      <c r="M303" s="83"/>
      <c r="N303" s="85"/>
      <c r="O303" s="85"/>
      <c r="P303" s="85"/>
      <c r="Q303" s="83"/>
      <c r="R303" s="85"/>
      <c r="S303" s="85"/>
      <c r="T303" s="85"/>
      <c r="U303" s="3"/>
      <c r="V303" s="90"/>
      <c r="W303" s="90"/>
      <c r="X303" s="89"/>
      <c r="Y303" s="89"/>
      <c r="Z303" s="91"/>
      <c r="AA303" s="91"/>
      <c r="AB303" s="91"/>
      <c r="AC303" s="89"/>
      <c r="AD303" s="17"/>
      <c r="AE303">
        <f t="shared" si="111"/>
        <v>145</v>
      </c>
      <c r="AF303" s="113">
        <f t="shared" si="128"/>
        <v>162.49204522092421</v>
      </c>
      <c r="AG303" s="124">
        <f t="shared" si="83"/>
        <v>0</v>
      </c>
      <c r="AH303" s="124">
        <f t="shared" si="84"/>
        <v>162.49204522092421</v>
      </c>
      <c r="AI303" s="124">
        <f t="shared" si="150"/>
        <v>3.2727365049186812</v>
      </c>
      <c r="AJ303" s="124">
        <f t="shared" si="150"/>
        <v>0.56565816134396951</v>
      </c>
      <c r="AK303" s="124">
        <f t="shared" si="150"/>
        <v>0</v>
      </c>
      <c r="AL303" s="124">
        <f t="shared" si="150"/>
        <v>0</v>
      </c>
      <c r="AM303" s="124">
        <f t="shared" si="150"/>
        <v>0</v>
      </c>
      <c r="AN303" s="124">
        <f t="shared" si="150"/>
        <v>1.0075785998939457</v>
      </c>
      <c r="AO303" s="3">
        <f t="shared" si="137"/>
        <v>166.33043988718686</v>
      </c>
    </row>
    <row r="304" spans="1:41" ht="14">
      <c r="A304">
        <f t="shared" ref="A304:B318" si="157">A303+1</f>
        <v>146</v>
      </c>
      <c r="B304" s="19">
        <f t="shared" si="157"/>
        <v>226</v>
      </c>
      <c r="C304" s="123">
        <f t="shared" si="80"/>
        <v>162.60050548486475</v>
      </c>
      <c r="D304" s="26"/>
      <c r="E304" s="26">
        <f t="shared" si="135"/>
        <v>162.60050548486475</v>
      </c>
      <c r="F304" s="54">
        <f t="shared" ref="F304:G304" si="158">F303</f>
        <v>3.2727365049186812</v>
      </c>
      <c r="G304" s="54">
        <f t="shared" si="158"/>
        <v>0.56565816134396951</v>
      </c>
      <c r="H304" s="125">
        <f>(H$118)*('Product half-life and C flows'!L205/100)</f>
        <v>0</v>
      </c>
      <c r="I304" s="125">
        <f>(($C$39*$C$118*0.28)*H$41)*('Product half-life and C flows'!N205/100)</f>
        <v>0</v>
      </c>
      <c r="J304" s="125">
        <f>(($C$39*$C$118*0.28)*H$41)*(+'Product half-life and C flows'!P205/100)</f>
        <v>0</v>
      </c>
      <c r="K304" s="54">
        <f t="shared" si="86"/>
        <v>1.0075785998939457</v>
      </c>
      <c r="L304" s="26"/>
      <c r="M304" s="83"/>
      <c r="N304" s="85"/>
      <c r="O304" s="85"/>
      <c r="P304" s="85"/>
      <c r="Q304" s="83"/>
      <c r="R304" s="85"/>
      <c r="S304" s="85"/>
      <c r="T304" s="85"/>
      <c r="U304" s="3"/>
      <c r="V304" s="90"/>
      <c r="W304" s="90"/>
      <c r="X304" s="89"/>
      <c r="Y304" s="89"/>
      <c r="Z304" s="91"/>
      <c r="AA304" s="91"/>
      <c r="AB304" s="91"/>
      <c r="AC304" s="89"/>
      <c r="AD304" s="17"/>
      <c r="AE304">
        <f t="shared" si="111"/>
        <v>146</v>
      </c>
      <c r="AF304" s="113">
        <f t="shared" si="128"/>
        <v>162.60050548486475</v>
      </c>
      <c r="AG304" s="124">
        <f t="shared" si="83"/>
        <v>0</v>
      </c>
      <c r="AH304" s="124">
        <f t="shared" si="84"/>
        <v>162.60050548486475</v>
      </c>
      <c r="AI304" s="124">
        <f t="shared" si="150"/>
        <v>3.2727365049186812</v>
      </c>
      <c r="AJ304" s="124">
        <f t="shared" si="150"/>
        <v>0.56565816134396951</v>
      </c>
      <c r="AK304" s="124">
        <f t="shared" si="150"/>
        <v>0</v>
      </c>
      <c r="AL304" s="124">
        <f t="shared" si="150"/>
        <v>0</v>
      </c>
      <c r="AM304" s="124">
        <f t="shared" si="150"/>
        <v>0</v>
      </c>
      <c r="AN304" s="124">
        <f t="shared" si="150"/>
        <v>1.0075785998939457</v>
      </c>
      <c r="AO304" s="3">
        <f t="shared" si="137"/>
        <v>166.4389001511274</v>
      </c>
    </row>
    <row r="305" spans="1:41" ht="14">
      <c r="A305">
        <f t="shared" si="157"/>
        <v>147</v>
      </c>
      <c r="B305" s="19">
        <f t="shared" si="157"/>
        <v>227</v>
      </c>
      <c r="C305" s="123">
        <f t="shared" si="80"/>
        <v>162.70686492054548</v>
      </c>
      <c r="D305" s="26"/>
      <c r="E305" s="26">
        <f t="shared" si="135"/>
        <v>162.70686492054548</v>
      </c>
      <c r="F305" s="54">
        <f t="shared" ref="F305:G305" si="159">F304</f>
        <v>3.2727365049186812</v>
      </c>
      <c r="G305" s="54">
        <f t="shared" si="159"/>
        <v>0.56565816134396951</v>
      </c>
      <c r="H305" s="125">
        <f>(H$118)*('Product half-life and C flows'!L206/100)</f>
        <v>0</v>
      </c>
      <c r="I305" s="125">
        <f>(($C$39*$C$118*0.28)*H$41)*('Product half-life and C flows'!N206/100)</f>
        <v>0</v>
      </c>
      <c r="J305" s="125">
        <f>(($C$39*$C$118*0.28)*H$41)*(+'Product half-life and C flows'!P206/100)</f>
        <v>0</v>
      </c>
      <c r="K305" s="54">
        <f t="shared" si="86"/>
        <v>1.0075785998939457</v>
      </c>
      <c r="L305" s="26"/>
      <c r="M305" s="83"/>
      <c r="N305" s="85"/>
      <c r="O305" s="85"/>
      <c r="P305" s="85"/>
      <c r="Q305" s="83"/>
      <c r="R305" s="85"/>
      <c r="S305" s="85"/>
      <c r="T305" s="85"/>
      <c r="U305" s="3"/>
      <c r="V305" s="90"/>
      <c r="W305" s="90"/>
      <c r="X305" s="89"/>
      <c r="Y305" s="89"/>
      <c r="Z305" s="91"/>
      <c r="AA305" s="91"/>
      <c r="AB305" s="91"/>
      <c r="AC305" s="89"/>
      <c r="AD305" s="17"/>
      <c r="AE305">
        <f t="shared" si="111"/>
        <v>147</v>
      </c>
      <c r="AF305" s="113">
        <f t="shared" si="128"/>
        <v>162.70686492054548</v>
      </c>
      <c r="AG305" s="124">
        <f t="shared" si="83"/>
        <v>0</v>
      </c>
      <c r="AH305" s="124">
        <f t="shared" si="84"/>
        <v>162.70686492054548</v>
      </c>
      <c r="AI305" s="124">
        <f t="shared" si="150"/>
        <v>3.2727365049186812</v>
      </c>
      <c r="AJ305" s="124">
        <f t="shared" si="150"/>
        <v>0.56565816134396951</v>
      </c>
      <c r="AK305" s="124">
        <f t="shared" si="150"/>
        <v>0</v>
      </c>
      <c r="AL305" s="124">
        <f t="shared" si="150"/>
        <v>0</v>
      </c>
      <c r="AM305" s="124">
        <f t="shared" si="150"/>
        <v>0</v>
      </c>
      <c r="AN305" s="124">
        <f t="shared" si="150"/>
        <v>1.0075785998939457</v>
      </c>
      <c r="AO305" s="3">
        <f t="shared" si="137"/>
        <v>166.54525958680813</v>
      </c>
    </row>
    <row r="306" spans="1:41" ht="14">
      <c r="A306">
        <f t="shared" si="157"/>
        <v>148</v>
      </c>
      <c r="B306" s="19">
        <f t="shared" si="157"/>
        <v>228</v>
      </c>
      <c r="C306" s="123">
        <f t="shared" si="80"/>
        <v>162.81116330077649</v>
      </c>
      <c r="D306" s="26"/>
      <c r="E306" s="26">
        <f t="shared" si="135"/>
        <v>162.81116330077649</v>
      </c>
      <c r="F306" s="54">
        <f t="shared" ref="F306:G306" si="160">F305</f>
        <v>3.2727365049186812</v>
      </c>
      <c r="G306" s="54">
        <f t="shared" si="160"/>
        <v>0.56565816134396951</v>
      </c>
      <c r="H306" s="125">
        <f>(H$118)*('Product half-life and C flows'!L207/100)</f>
        <v>0</v>
      </c>
      <c r="I306" s="125">
        <f>(($C$39*$C$118*0.28)*H$41)*('Product half-life and C flows'!N207/100)</f>
        <v>0</v>
      </c>
      <c r="J306" s="125">
        <f>(($C$39*$C$118*0.28)*H$41)*(+'Product half-life and C flows'!P207/100)</f>
        <v>0</v>
      </c>
      <c r="K306" s="54">
        <f t="shared" si="86"/>
        <v>1.0075785998939457</v>
      </c>
      <c r="L306" s="26"/>
      <c r="M306" s="83"/>
      <c r="N306" s="85"/>
      <c r="O306" s="85"/>
      <c r="P306" s="85"/>
      <c r="Q306" s="83"/>
      <c r="R306" s="85"/>
      <c r="S306" s="85"/>
      <c r="T306" s="85"/>
      <c r="U306" s="3"/>
      <c r="V306" s="90"/>
      <c r="W306" s="90"/>
      <c r="X306" s="89"/>
      <c r="Y306" s="89"/>
      <c r="Z306" s="91"/>
      <c r="AA306" s="91"/>
      <c r="AB306" s="91"/>
      <c r="AC306" s="89"/>
      <c r="AD306" s="17"/>
      <c r="AE306">
        <f t="shared" si="111"/>
        <v>148</v>
      </c>
      <c r="AF306" s="113">
        <f t="shared" si="128"/>
        <v>162.81116330077649</v>
      </c>
      <c r="AG306" s="124">
        <f t="shared" si="83"/>
        <v>0</v>
      </c>
      <c r="AH306" s="124">
        <f t="shared" si="84"/>
        <v>162.81116330077649</v>
      </c>
      <c r="AI306" s="124">
        <f t="shared" si="150"/>
        <v>3.2727365049186812</v>
      </c>
      <c r="AJ306" s="124">
        <f t="shared" si="150"/>
        <v>0.56565816134396951</v>
      </c>
      <c r="AK306" s="124">
        <f t="shared" si="150"/>
        <v>0</v>
      </c>
      <c r="AL306" s="124">
        <f t="shared" si="150"/>
        <v>0</v>
      </c>
      <c r="AM306" s="124">
        <f t="shared" si="150"/>
        <v>0</v>
      </c>
      <c r="AN306" s="124">
        <f t="shared" si="150"/>
        <v>1.0075785998939457</v>
      </c>
      <c r="AO306" s="3">
        <f t="shared" si="137"/>
        <v>166.64955796703913</v>
      </c>
    </row>
    <row r="307" spans="1:41" ht="14">
      <c r="A307">
        <f t="shared" si="157"/>
        <v>149</v>
      </c>
      <c r="B307" s="19">
        <f t="shared" si="157"/>
        <v>229</v>
      </c>
      <c r="C307" s="123">
        <f t="shared" si="80"/>
        <v>162.91343968185561</v>
      </c>
      <c r="D307" s="26"/>
      <c r="E307" s="26">
        <f t="shared" si="135"/>
        <v>162.91343968185561</v>
      </c>
      <c r="F307" s="54">
        <f t="shared" ref="F307:G307" si="161">F306</f>
        <v>3.2727365049186812</v>
      </c>
      <c r="G307" s="54">
        <f t="shared" si="161"/>
        <v>0.56565816134396951</v>
      </c>
      <c r="H307" s="125">
        <f>(H$118)*('Product half-life and C flows'!L208/100)</f>
        <v>0</v>
      </c>
      <c r="I307" s="125">
        <f>(($C$39*$C$118*0.28)*H$41)*('Product half-life and C flows'!N208/100)</f>
        <v>0</v>
      </c>
      <c r="J307" s="125">
        <f>(($C$39*$C$118*0.28)*H$41)*(+'Product half-life and C flows'!P208/100)</f>
        <v>0</v>
      </c>
      <c r="K307" s="54">
        <f t="shared" si="86"/>
        <v>1.0075785998939457</v>
      </c>
      <c r="L307" s="26"/>
      <c r="M307" s="83"/>
      <c r="N307" s="85"/>
      <c r="O307" s="85"/>
      <c r="P307" s="85"/>
      <c r="Q307" s="83"/>
      <c r="R307" s="85"/>
      <c r="S307" s="85"/>
      <c r="T307" s="85"/>
      <c r="U307" s="3"/>
      <c r="V307" s="90"/>
      <c r="W307" s="90"/>
      <c r="X307" s="89"/>
      <c r="Y307" s="89"/>
      <c r="Z307" s="91"/>
      <c r="AA307" s="91"/>
      <c r="AB307" s="91"/>
      <c r="AC307" s="89"/>
      <c r="AD307" s="17"/>
      <c r="AE307">
        <f t="shared" si="111"/>
        <v>149</v>
      </c>
      <c r="AF307" s="113">
        <f t="shared" si="128"/>
        <v>162.91343968185561</v>
      </c>
      <c r="AG307" s="124">
        <f t="shared" si="83"/>
        <v>0</v>
      </c>
      <c r="AH307" s="124">
        <f t="shared" si="84"/>
        <v>162.91343968185561</v>
      </c>
      <c r="AI307" s="124">
        <f t="shared" si="150"/>
        <v>3.2727365049186812</v>
      </c>
      <c r="AJ307" s="124">
        <f t="shared" si="150"/>
        <v>0.56565816134396951</v>
      </c>
      <c r="AK307" s="124">
        <f t="shared" si="150"/>
        <v>0</v>
      </c>
      <c r="AL307" s="124">
        <f t="shared" si="150"/>
        <v>0</v>
      </c>
      <c r="AM307" s="124">
        <f t="shared" si="150"/>
        <v>0</v>
      </c>
      <c r="AN307" s="124">
        <f t="shared" si="150"/>
        <v>1.0075785998939457</v>
      </c>
      <c r="AO307" s="3">
        <f t="shared" si="137"/>
        <v>166.75183434811825</v>
      </c>
    </row>
    <row r="308" spans="1:41" ht="14">
      <c r="A308">
        <f t="shared" si="157"/>
        <v>150</v>
      </c>
      <c r="B308" s="19">
        <f t="shared" si="157"/>
        <v>230</v>
      </c>
      <c r="C308" s="123">
        <f t="shared" si="80"/>
        <v>163.01373241500369</v>
      </c>
      <c r="D308" s="26"/>
      <c r="E308" s="26">
        <f t="shared" si="135"/>
        <v>163.01373241500369</v>
      </c>
      <c r="F308" s="54">
        <f t="shared" ref="F308:G308" si="162">F307</f>
        <v>3.2727365049186812</v>
      </c>
      <c r="G308" s="54">
        <f t="shared" si="162"/>
        <v>0.56565816134396951</v>
      </c>
      <c r="H308" s="125">
        <f>(H$118)*('Product half-life and C flows'!L209/100)</f>
        <v>0</v>
      </c>
      <c r="I308" s="125">
        <f>(($C$39*$C$118*0.28)*H$41)*('Product half-life and C flows'!N209/100)</f>
        <v>0</v>
      </c>
      <c r="J308" s="125">
        <f>(($C$39*$C$118*0.28)*H$41)*(+'Product half-life and C flows'!P209/100)</f>
        <v>0</v>
      </c>
      <c r="K308" s="54">
        <f t="shared" si="86"/>
        <v>1.0075785998939457</v>
      </c>
      <c r="L308" s="26"/>
      <c r="M308" s="83"/>
      <c r="N308" s="85"/>
      <c r="O308" s="85"/>
      <c r="P308" s="85"/>
      <c r="Q308" s="83"/>
      <c r="R308" s="85"/>
      <c r="S308" s="85"/>
      <c r="T308" s="85"/>
      <c r="U308" s="3"/>
      <c r="V308" s="90"/>
      <c r="W308" s="90"/>
      <c r="X308" s="89"/>
      <c r="Y308" s="89"/>
      <c r="Z308" s="91"/>
      <c r="AA308" s="91"/>
      <c r="AB308" s="91"/>
      <c r="AC308" s="89"/>
      <c r="AD308" s="17"/>
      <c r="AE308">
        <f t="shared" si="111"/>
        <v>150</v>
      </c>
      <c r="AF308" s="113">
        <f t="shared" si="128"/>
        <v>163.01373241500369</v>
      </c>
      <c r="AG308" s="124">
        <f t="shared" si="83"/>
        <v>0</v>
      </c>
      <c r="AH308" s="124">
        <f t="shared" si="84"/>
        <v>163.01373241500369</v>
      </c>
      <c r="AI308" s="124">
        <f t="shared" si="150"/>
        <v>3.2727365049186812</v>
      </c>
      <c r="AJ308" s="124">
        <f t="shared" si="150"/>
        <v>0.56565816134396951</v>
      </c>
      <c r="AK308" s="124">
        <f t="shared" si="150"/>
        <v>0</v>
      </c>
      <c r="AL308" s="124">
        <f t="shared" si="150"/>
        <v>0</v>
      </c>
      <c r="AM308" s="124">
        <f t="shared" si="150"/>
        <v>0</v>
      </c>
      <c r="AN308" s="124">
        <f t="shared" si="150"/>
        <v>1.0075785998939457</v>
      </c>
      <c r="AO308" s="3">
        <f t="shared" si="137"/>
        <v>166.85212708126633</v>
      </c>
    </row>
    <row r="309" spans="1:41" ht="14">
      <c r="A309">
        <f t="shared" si="157"/>
        <v>151</v>
      </c>
      <c r="B309" s="19">
        <f t="shared" si="157"/>
        <v>231</v>
      </c>
      <c r="C309" s="123">
        <f t="shared" si="80"/>
        <v>163.11207915767986</v>
      </c>
      <c r="D309" s="26"/>
      <c r="E309" s="26">
        <f t="shared" si="135"/>
        <v>163.11207915767986</v>
      </c>
      <c r="F309" s="54">
        <f t="shared" ref="F309:G309" si="163">F308</f>
        <v>3.2727365049186812</v>
      </c>
      <c r="G309" s="54">
        <f t="shared" si="163"/>
        <v>0.56565816134396951</v>
      </c>
      <c r="H309" s="125">
        <f>(H$118)*('Product half-life and C flows'!L210/100)</f>
        <v>0</v>
      </c>
      <c r="I309" s="125">
        <f>(($C$39*$C$118*0.28)*H$41)*('Product half-life and C flows'!N210/100)</f>
        <v>0</v>
      </c>
      <c r="J309" s="125">
        <f>(($C$39*$C$118*0.28)*H$41)*(+'Product half-life and C flows'!P210/100)</f>
        <v>0</v>
      </c>
      <c r="K309" s="54">
        <f t="shared" si="86"/>
        <v>1.0075785998939457</v>
      </c>
      <c r="L309" s="26"/>
      <c r="M309" s="83"/>
      <c r="N309" s="85"/>
      <c r="O309" s="85"/>
      <c r="P309" s="85"/>
      <c r="Q309" s="83"/>
      <c r="R309" s="85"/>
      <c r="S309" s="85"/>
      <c r="T309" s="85"/>
      <c r="U309" s="3"/>
      <c r="V309" s="90"/>
      <c r="W309" s="90"/>
      <c r="X309" s="89"/>
      <c r="Y309" s="89"/>
      <c r="Z309" s="91"/>
      <c r="AA309" s="91"/>
      <c r="AB309" s="91"/>
      <c r="AC309" s="89"/>
      <c r="AD309" s="17"/>
      <c r="AE309">
        <f t="shared" si="111"/>
        <v>151</v>
      </c>
      <c r="AF309" s="113">
        <f t="shared" si="128"/>
        <v>163.11207915767986</v>
      </c>
      <c r="AG309" s="124">
        <f t="shared" si="83"/>
        <v>0</v>
      </c>
      <c r="AH309" s="124">
        <f t="shared" si="84"/>
        <v>163.11207915767986</v>
      </c>
      <c r="AI309" s="124">
        <f t="shared" si="150"/>
        <v>3.2727365049186812</v>
      </c>
      <c r="AJ309" s="124">
        <f t="shared" si="150"/>
        <v>0.56565816134396951</v>
      </c>
      <c r="AK309" s="124">
        <f t="shared" si="150"/>
        <v>0</v>
      </c>
      <c r="AL309" s="124">
        <f t="shared" si="150"/>
        <v>0</v>
      </c>
      <c r="AM309" s="124">
        <f t="shared" si="150"/>
        <v>0</v>
      </c>
      <c r="AN309" s="124">
        <f t="shared" si="150"/>
        <v>1.0075785998939457</v>
      </c>
      <c r="AO309" s="3">
        <f t="shared" si="137"/>
        <v>166.9504738239425</v>
      </c>
    </row>
    <row r="310" spans="1:41" ht="14">
      <c r="A310">
        <f t="shared" si="157"/>
        <v>152</v>
      </c>
      <c r="B310" s="19">
        <f t="shared" si="157"/>
        <v>232</v>
      </c>
      <c r="C310" s="123">
        <f t="shared" si="80"/>
        <v>163.2085168847747</v>
      </c>
      <c r="D310" s="26"/>
      <c r="E310" s="26">
        <f t="shared" si="135"/>
        <v>163.2085168847747</v>
      </c>
      <c r="F310" s="54">
        <f t="shared" ref="F310:G310" si="164">F309</f>
        <v>3.2727365049186812</v>
      </c>
      <c r="G310" s="54">
        <f t="shared" si="164"/>
        <v>0.56565816134396951</v>
      </c>
      <c r="H310" s="125">
        <f>(H$118)*('Product half-life and C flows'!L211/100)</f>
        <v>0</v>
      </c>
      <c r="I310" s="125">
        <f>(($C$39*$C$118*0.28)*H$41)*('Product half-life and C flows'!N211/100)</f>
        <v>0</v>
      </c>
      <c r="J310" s="125">
        <f>(($C$39*$C$118*0.28)*H$41)*(+'Product half-life and C flows'!P211/100)</f>
        <v>0</v>
      </c>
      <c r="K310" s="54">
        <f t="shared" si="86"/>
        <v>1.0075785998939457</v>
      </c>
      <c r="L310" s="26"/>
      <c r="M310" s="83"/>
      <c r="N310" s="85"/>
      <c r="O310" s="85"/>
      <c r="P310" s="85"/>
      <c r="Q310" s="83"/>
      <c r="R310" s="85"/>
      <c r="S310" s="85"/>
      <c r="T310" s="85"/>
      <c r="U310" s="3"/>
      <c r="V310" s="90"/>
      <c r="W310" s="90"/>
      <c r="X310" s="89"/>
      <c r="Y310" s="89"/>
      <c r="Z310" s="91"/>
      <c r="AA310" s="91"/>
      <c r="AB310" s="91"/>
      <c r="AC310" s="89"/>
      <c r="AD310" s="17"/>
      <c r="AE310">
        <f t="shared" si="111"/>
        <v>152</v>
      </c>
      <c r="AF310" s="113">
        <f t="shared" si="128"/>
        <v>163.2085168847747</v>
      </c>
      <c r="AG310" s="124">
        <f t="shared" si="83"/>
        <v>0</v>
      </c>
      <c r="AH310" s="124">
        <f t="shared" si="84"/>
        <v>163.2085168847747</v>
      </c>
      <c r="AI310" s="124">
        <f t="shared" si="150"/>
        <v>3.2727365049186812</v>
      </c>
      <c r="AJ310" s="124">
        <f t="shared" si="150"/>
        <v>0.56565816134396951</v>
      </c>
      <c r="AK310" s="124">
        <f t="shared" si="150"/>
        <v>0</v>
      </c>
      <c r="AL310" s="124">
        <f t="shared" si="150"/>
        <v>0</v>
      </c>
      <c r="AM310" s="124">
        <f t="shared" si="150"/>
        <v>0</v>
      </c>
      <c r="AN310" s="124">
        <f t="shared" si="150"/>
        <v>1.0075785998939457</v>
      </c>
      <c r="AO310" s="3">
        <f t="shared" si="137"/>
        <v>167.04691155103734</v>
      </c>
    </row>
    <row r="311" spans="1:41" ht="14">
      <c r="A311">
        <f t="shared" si="157"/>
        <v>153</v>
      </c>
      <c r="B311" s="19">
        <f t="shared" si="157"/>
        <v>233</v>
      </c>
      <c r="C311" s="123">
        <f t="shared" ref="C311:C318" si="165">B$8*(1-EXP(-B$9*$B311))^3</f>
        <v>163.3030818996792</v>
      </c>
      <c r="D311" s="26"/>
      <c r="E311" s="26">
        <f t="shared" si="135"/>
        <v>163.3030818996792</v>
      </c>
      <c r="F311" s="54">
        <f t="shared" ref="F311:G311" si="166">F310</f>
        <v>3.2727365049186812</v>
      </c>
      <c r="G311" s="54">
        <f t="shared" si="166"/>
        <v>0.56565816134396951</v>
      </c>
      <c r="H311" s="125">
        <f>(H$118)*('Product half-life and C flows'!L212/100)</f>
        <v>0</v>
      </c>
      <c r="I311" s="125">
        <f>(($C$39*$C$118*0.28)*H$41)*('Product half-life and C flows'!N212/100)</f>
        <v>0</v>
      </c>
      <c r="J311" s="125">
        <f>(($C$39*$C$118*0.28)*H$41)*(+'Product half-life and C flows'!P212/100)</f>
        <v>0</v>
      </c>
      <c r="K311" s="54">
        <f t="shared" si="86"/>
        <v>1.0075785998939457</v>
      </c>
      <c r="L311" s="26"/>
      <c r="M311" s="83"/>
      <c r="N311" s="85"/>
      <c r="O311" s="85"/>
      <c r="P311" s="85"/>
      <c r="Q311" s="83"/>
      <c r="R311" s="85"/>
      <c r="S311" s="85"/>
      <c r="T311" s="85"/>
      <c r="U311" s="3"/>
      <c r="V311" s="90"/>
      <c r="W311" s="90"/>
      <c r="X311" s="89"/>
      <c r="Y311" s="89"/>
      <c r="Z311" s="91"/>
      <c r="AA311" s="91"/>
      <c r="AB311" s="91"/>
      <c r="AC311" s="89"/>
      <c r="AD311" s="17"/>
      <c r="AE311">
        <f t="shared" si="111"/>
        <v>153</v>
      </c>
      <c r="AF311" s="113">
        <f t="shared" ref="AF311:AF318" si="167">E311</f>
        <v>163.3030818996792</v>
      </c>
      <c r="AG311" s="124">
        <f t="shared" ref="AG311:AG318" si="168">D311+M311+V311</f>
        <v>0</v>
      </c>
      <c r="AH311" s="124">
        <f t="shared" ref="AH311:AH318" si="169">E311</f>
        <v>163.3030818996792</v>
      </c>
      <c r="AI311" s="124">
        <f t="shared" si="150"/>
        <v>3.2727365049186812</v>
      </c>
      <c r="AJ311" s="124">
        <f t="shared" si="150"/>
        <v>0.56565816134396951</v>
      </c>
      <c r="AK311" s="124">
        <f t="shared" si="150"/>
        <v>0</v>
      </c>
      <c r="AL311" s="124">
        <f t="shared" si="150"/>
        <v>0</v>
      </c>
      <c r="AM311" s="124">
        <f t="shared" si="150"/>
        <v>0</v>
      </c>
      <c r="AN311" s="124">
        <f t="shared" si="150"/>
        <v>1.0075785998939457</v>
      </c>
      <c r="AO311" s="3">
        <f t="shared" si="137"/>
        <v>167.14147656594184</v>
      </c>
    </row>
    <row r="312" spans="1:41" ht="14">
      <c r="A312">
        <f t="shared" si="157"/>
        <v>154</v>
      </c>
      <c r="B312" s="19">
        <f t="shared" si="157"/>
        <v>234</v>
      </c>
      <c r="C312" s="123">
        <f t="shared" si="165"/>
        <v>163.39580984522976</v>
      </c>
      <c r="D312" s="26"/>
      <c r="E312" s="26">
        <f t="shared" si="135"/>
        <v>163.39580984522976</v>
      </c>
      <c r="F312" s="54">
        <f t="shared" ref="F312:G312" si="170">F311</f>
        <v>3.2727365049186812</v>
      </c>
      <c r="G312" s="54">
        <f t="shared" si="170"/>
        <v>0.56565816134396951</v>
      </c>
      <c r="H312" s="125">
        <f>(H$118)*('Product half-life and C flows'!L213/100)</f>
        <v>0</v>
      </c>
      <c r="I312" s="125">
        <f>(($C$39*$C$118*0.28)*H$41)*('Product half-life and C flows'!N213/100)</f>
        <v>0</v>
      </c>
      <c r="J312" s="125">
        <f>(($C$39*$C$118*0.28)*H$41)*(+'Product half-life and C flows'!P213/100)</f>
        <v>0</v>
      </c>
      <c r="K312" s="54">
        <f t="shared" ref="K312:K318" si="171">K311</f>
        <v>1.0075785998939457</v>
      </c>
      <c r="L312" s="26"/>
      <c r="M312" s="83"/>
      <c r="N312" s="85"/>
      <c r="O312" s="85"/>
      <c r="P312" s="85"/>
      <c r="Q312" s="83"/>
      <c r="R312" s="85"/>
      <c r="S312" s="85"/>
      <c r="T312" s="85"/>
      <c r="U312" s="3"/>
      <c r="V312" s="90"/>
      <c r="W312" s="90"/>
      <c r="X312" s="89"/>
      <c r="Y312" s="89"/>
      <c r="Z312" s="91"/>
      <c r="AA312" s="91"/>
      <c r="AB312" s="91"/>
      <c r="AC312" s="89"/>
      <c r="AD312" s="17"/>
      <c r="AE312">
        <f t="shared" si="111"/>
        <v>154</v>
      </c>
      <c r="AF312" s="113">
        <f t="shared" si="167"/>
        <v>163.39580984522976</v>
      </c>
      <c r="AG312" s="124">
        <f t="shared" si="168"/>
        <v>0</v>
      </c>
      <c r="AH312" s="124">
        <f t="shared" si="169"/>
        <v>163.39580984522976</v>
      </c>
      <c r="AI312" s="124">
        <f t="shared" si="150"/>
        <v>3.2727365049186812</v>
      </c>
      <c r="AJ312" s="124">
        <f t="shared" si="150"/>
        <v>0.56565816134396951</v>
      </c>
      <c r="AK312" s="124">
        <f t="shared" si="150"/>
        <v>0</v>
      </c>
      <c r="AL312" s="124">
        <f t="shared" si="150"/>
        <v>0</v>
      </c>
      <c r="AM312" s="124">
        <f t="shared" si="150"/>
        <v>0</v>
      </c>
      <c r="AN312" s="124">
        <f t="shared" si="150"/>
        <v>1.0075785998939457</v>
      </c>
      <c r="AO312" s="3">
        <f t="shared" si="137"/>
        <v>167.23420451149241</v>
      </c>
    </row>
    <row r="313" spans="1:41" ht="14">
      <c r="A313">
        <f t="shared" si="157"/>
        <v>155</v>
      </c>
      <c r="B313" s="19">
        <f t="shared" si="157"/>
        <v>235</v>
      </c>
      <c r="C313" s="123">
        <f t="shared" si="165"/>
        <v>163.48673571452642</v>
      </c>
      <c r="D313" s="26"/>
      <c r="E313" s="26">
        <f t="shared" si="135"/>
        <v>163.48673571452642</v>
      </c>
      <c r="F313" s="54">
        <f t="shared" ref="F313:G313" si="172">F312</f>
        <v>3.2727365049186812</v>
      </c>
      <c r="G313" s="54">
        <f t="shared" si="172"/>
        <v>0.56565816134396951</v>
      </c>
      <c r="H313" s="125">
        <f>(H$118)*('Product half-life and C flows'!L214/100)</f>
        <v>0</v>
      </c>
      <c r="I313" s="125">
        <f>(($C$39*$C$118*0.28)*H$41)*('Product half-life and C flows'!N214/100)</f>
        <v>0</v>
      </c>
      <c r="J313" s="125">
        <f>(($C$39*$C$118*0.28)*H$41)*(+'Product half-life and C flows'!P214/100)</f>
        <v>0</v>
      </c>
      <c r="K313" s="54">
        <f t="shared" si="171"/>
        <v>1.0075785998939457</v>
      </c>
      <c r="L313" s="26"/>
      <c r="M313" s="83"/>
      <c r="N313" s="85"/>
      <c r="O313" s="85"/>
      <c r="P313" s="85"/>
      <c r="Q313" s="83"/>
      <c r="R313" s="85"/>
      <c r="S313" s="85"/>
      <c r="T313" s="85"/>
      <c r="U313" s="3"/>
      <c r="V313" s="90"/>
      <c r="W313" s="90"/>
      <c r="X313" s="89"/>
      <c r="Y313" s="89"/>
      <c r="Z313" s="91"/>
      <c r="AA313" s="91"/>
      <c r="AB313" s="91"/>
      <c r="AC313" s="89"/>
      <c r="AD313" s="17"/>
      <c r="AE313">
        <f t="shared" si="111"/>
        <v>155</v>
      </c>
      <c r="AF313" s="113">
        <f t="shared" si="167"/>
        <v>163.48673571452642</v>
      </c>
      <c r="AG313" s="124">
        <f t="shared" si="168"/>
        <v>0</v>
      </c>
      <c r="AH313" s="124">
        <f t="shared" si="169"/>
        <v>163.48673571452642</v>
      </c>
      <c r="AI313" s="124">
        <f t="shared" ref="AI313:AN318" si="173">F313+O313+X313</f>
        <v>3.2727365049186812</v>
      </c>
      <c r="AJ313" s="124">
        <f t="shared" si="173"/>
        <v>0.56565816134396951</v>
      </c>
      <c r="AK313" s="124">
        <f t="shared" si="173"/>
        <v>0</v>
      </c>
      <c r="AL313" s="124">
        <f t="shared" si="173"/>
        <v>0</v>
      </c>
      <c r="AM313" s="124">
        <f t="shared" si="173"/>
        <v>0</v>
      </c>
      <c r="AN313" s="124">
        <f t="shared" si="173"/>
        <v>1.0075785998939457</v>
      </c>
      <c r="AO313" s="3">
        <f t="shared" si="137"/>
        <v>167.32513038078906</v>
      </c>
    </row>
    <row r="314" spans="1:41" ht="14">
      <c r="A314">
        <f t="shared" si="157"/>
        <v>156</v>
      </c>
      <c r="B314" s="19">
        <f t="shared" si="157"/>
        <v>236</v>
      </c>
      <c r="C314" s="123">
        <f t="shared" si="165"/>
        <v>163.57589386162428</v>
      </c>
      <c r="D314" s="26"/>
      <c r="E314" s="26">
        <f t="shared" si="135"/>
        <v>163.57589386162428</v>
      </c>
      <c r="F314" s="54">
        <f t="shared" ref="F314:G314" si="174">F313</f>
        <v>3.2727365049186812</v>
      </c>
      <c r="G314" s="54">
        <f t="shared" si="174"/>
        <v>0.56565816134396951</v>
      </c>
      <c r="H314" s="125">
        <f>(H$118)*('Product half-life and C flows'!L215/100)</f>
        <v>0</v>
      </c>
      <c r="I314" s="125">
        <f>(($C$39*$C$118*0.28)*H$41)*('Product half-life and C flows'!N215/100)</f>
        <v>0</v>
      </c>
      <c r="J314" s="125">
        <f>(($C$39*$C$118*0.28)*H$41)*(+'Product half-life and C flows'!P215/100)</f>
        <v>0</v>
      </c>
      <c r="K314" s="54">
        <f t="shared" si="171"/>
        <v>1.0075785998939457</v>
      </c>
      <c r="L314" s="26"/>
      <c r="M314" s="83"/>
      <c r="N314" s="85"/>
      <c r="O314" s="85"/>
      <c r="P314" s="85"/>
      <c r="Q314" s="83"/>
      <c r="R314" s="85"/>
      <c r="S314" s="85"/>
      <c r="T314" s="85"/>
      <c r="U314" s="3"/>
      <c r="V314" s="90"/>
      <c r="W314" s="90"/>
      <c r="X314" s="89"/>
      <c r="Y314" s="89"/>
      <c r="Z314" s="91"/>
      <c r="AA314" s="91"/>
      <c r="AB314" s="91"/>
      <c r="AC314" s="89"/>
      <c r="AD314" s="17"/>
      <c r="AE314">
        <f t="shared" si="111"/>
        <v>156</v>
      </c>
      <c r="AF314" s="113">
        <f t="shared" si="167"/>
        <v>163.57589386162428</v>
      </c>
      <c r="AG314" s="124">
        <f t="shared" si="168"/>
        <v>0</v>
      </c>
      <c r="AH314" s="124">
        <f t="shared" si="169"/>
        <v>163.57589386162428</v>
      </c>
      <c r="AI314" s="124">
        <f t="shared" si="173"/>
        <v>3.2727365049186812</v>
      </c>
      <c r="AJ314" s="124">
        <f t="shared" si="173"/>
        <v>0.56565816134396951</v>
      </c>
      <c r="AK314" s="124">
        <f t="shared" si="173"/>
        <v>0</v>
      </c>
      <c r="AL314" s="124">
        <f t="shared" si="173"/>
        <v>0</v>
      </c>
      <c r="AM314" s="124">
        <f t="shared" si="173"/>
        <v>0</v>
      </c>
      <c r="AN314" s="124">
        <f t="shared" si="173"/>
        <v>1.0075785998939457</v>
      </c>
      <c r="AO314" s="3">
        <f t="shared" si="137"/>
        <v>167.41428852788692</v>
      </c>
    </row>
    <row r="315" spans="1:41" ht="14">
      <c r="A315">
        <f t="shared" si="157"/>
        <v>157</v>
      </c>
      <c r="B315" s="19">
        <f t="shared" si="157"/>
        <v>237</v>
      </c>
      <c r="C315" s="123">
        <f t="shared" si="165"/>
        <v>163.66331801209776</v>
      </c>
      <c r="D315" s="26"/>
      <c r="E315" s="26">
        <f t="shared" si="135"/>
        <v>163.66331801209776</v>
      </c>
      <c r="F315" s="54">
        <f t="shared" ref="F315:G315" si="175">F314</f>
        <v>3.2727365049186812</v>
      </c>
      <c r="G315" s="54">
        <f t="shared" si="175"/>
        <v>0.56565816134396951</v>
      </c>
      <c r="H315" s="125">
        <f>(H$118)*('Product half-life and C flows'!L216/100)</f>
        <v>0</v>
      </c>
      <c r="I315" s="125">
        <f>(($C$39*$C$118*0.28)*H$41)*('Product half-life and C flows'!N216/100)</f>
        <v>0</v>
      </c>
      <c r="J315" s="125">
        <f>(($C$39*$C$118*0.28)*H$41)*(+'Product half-life and C flows'!P216/100)</f>
        <v>0</v>
      </c>
      <c r="K315" s="54">
        <f t="shared" si="171"/>
        <v>1.0075785998939457</v>
      </c>
      <c r="L315" s="26"/>
      <c r="M315" s="83"/>
      <c r="N315" s="85"/>
      <c r="O315" s="85"/>
      <c r="P315" s="85"/>
      <c r="Q315" s="83"/>
      <c r="R315" s="85"/>
      <c r="S315" s="85"/>
      <c r="T315" s="85"/>
      <c r="U315" s="3"/>
      <c r="V315" s="90"/>
      <c r="W315" s="90"/>
      <c r="X315" s="89"/>
      <c r="Y315" s="89"/>
      <c r="Z315" s="91"/>
      <c r="AA315" s="91"/>
      <c r="AB315" s="91"/>
      <c r="AC315" s="89"/>
      <c r="AD315" s="17"/>
      <c r="AE315">
        <f t="shared" si="111"/>
        <v>157</v>
      </c>
      <c r="AF315" s="113">
        <f t="shared" si="167"/>
        <v>163.66331801209776</v>
      </c>
      <c r="AG315" s="124">
        <f t="shared" si="168"/>
        <v>0</v>
      </c>
      <c r="AH315" s="124">
        <f t="shared" si="169"/>
        <v>163.66331801209776</v>
      </c>
      <c r="AI315" s="124">
        <f t="shared" si="173"/>
        <v>3.2727365049186812</v>
      </c>
      <c r="AJ315" s="124">
        <f t="shared" si="173"/>
        <v>0.56565816134396951</v>
      </c>
      <c r="AK315" s="124">
        <f t="shared" si="173"/>
        <v>0</v>
      </c>
      <c r="AL315" s="124">
        <f t="shared" si="173"/>
        <v>0</v>
      </c>
      <c r="AM315" s="124">
        <f t="shared" si="173"/>
        <v>0</v>
      </c>
      <c r="AN315" s="124">
        <f t="shared" si="173"/>
        <v>1.0075785998939457</v>
      </c>
      <c r="AO315" s="3">
        <f t="shared" si="137"/>
        <v>167.50171267836041</v>
      </c>
    </row>
    <row r="316" spans="1:41" ht="14">
      <c r="A316">
        <f t="shared" si="157"/>
        <v>158</v>
      </c>
      <c r="B316" s="19">
        <f t="shared" si="157"/>
        <v>238</v>
      </c>
      <c r="C316" s="123">
        <f t="shared" si="165"/>
        <v>163.74904127347503</v>
      </c>
      <c r="D316" s="26"/>
      <c r="E316" s="26">
        <f t="shared" si="135"/>
        <v>163.74904127347503</v>
      </c>
      <c r="F316" s="54">
        <f t="shared" ref="F316:G316" si="176">F315</f>
        <v>3.2727365049186812</v>
      </c>
      <c r="G316" s="54">
        <f t="shared" si="176"/>
        <v>0.56565816134396951</v>
      </c>
      <c r="H316" s="125">
        <f>(H$118)*('Product half-life and C flows'!L217/100)</f>
        <v>0</v>
      </c>
      <c r="I316" s="125">
        <f>(($C$39*$C$118*0.28)*H$41)*('Product half-life and C flows'!N217/100)</f>
        <v>0</v>
      </c>
      <c r="J316" s="125">
        <f>(($C$39*$C$118*0.28)*H$41)*(+'Product half-life and C flows'!P217/100)</f>
        <v>0</v>
      </c>
      <c r="K316" s="54">
        <f t="shared" si="171"/>
        <v>1.0075785998939457</v>
      </c>
      <c r="L316" s="26"/>
      <c r="M316" s="83"/>
      <c r="N316" s="85"/>
      <c r="O316" s="85"/>
      <c r="P316" s="85"/>
      <c r="Q316" s="83"/>
      <c r="R316" s="85"/>
      <c r="S316" s="85"/>
      <c r="T316" s="85"/>
      <c r="U316" s="3"/>
      <c r="V316" s="90"/>
      <c r="W316" s="90"/>
      <c r="X316" s="89"/>
      <c r="Y316" s="89"/>
      <c r="Z316" s="91"/>
      <c r="AA316" s="91"/>
      <c r="AB316" s="91"/>
      <c r="AC316" s="89"/>
      <c r="AD316" s="17"/>
      <c r="AE316">
        <f t="shared" si="111"/>
        <v>158</v>
      </c>
      <c r="AF316" s="113">
        <f t="shared" si="167"/>
        <v>163.74904127347503</v>
      </c>
      <c r="AG316" s="124">
        <f t="shared" si="168"/>
        <v>0</v>
      </c>
      <c r="AH316" s="124">
        <f t="shared" si="169"/>
        <v>163.74904127347503</v>
      </c>
      <c r="AI316" s="124">
        <f t="shared" si="173"/>
        <v>3.2727365049186812</v>
      </c>
      <c r="AJ316" s="124">
        <f t="shared" si="173"/>
        <v>0.56565816134396951</v>
      </c>
      <c r="AK316" s="124">
        <f t="shared" si="173"/>
        <v>0</v>
      </c>
      <c r="AL316" s="124">
        <f t="shared" si="173"/>
        <v>0</v>
      </c>
      <c r="AM316" s="124">
        <f t="shared" si="173"/>
        <v>0</v>
      </c>
      <c r="AN316" s="124">
        <f t="shared" si="173"/>
        <v>1.0075785998939457</v>
      </c>
      <c r="AO316" s="3">
        <f t="shared" si="137"/>
        <v>167.58743593973767</v>
      </c>
    </row>
    <row r="317" spans="1:41" ht="14">
      <c r="A317">
        <f t="shared" si="157"/>
        <v>159</v>
      </c>
      <c r="B317" s="19">
        <f t="shared" si="157"/>
        <v>239</v>
      </c>
      <c r="C317" s="123">
        <f t="shared" si="165"/>
        <v>163.83309614554503</v>
      </c>
      <c r="D317" s="26"/>
      <c r="E317" s="26">
        <f t="shared" si="135"/>
        <v>163.83309614554503</v>
      </c>
      <c r="F317" s="54">
        <f t="shared" ref="F317:G317" si="177">F316</f>
        <v>3.2727365049186812</v>
      </c>
      <c r="G317" s="54">
        <f t="shared" si="177"/>
        <v>0.56565816134396951</v>
      </c>
      <c r="H317" s="125">
        <f>(H$118)*('Product half-life and C flows'!L218/100)</f>
        <v>0</v>
      </c>
      <c r="I317" s="125">
        <f>(($C$39*$C$118*0.28)*H$41)*('Product half-life and C flows'!N218/100)</f>
        <v>0</v>
      </c>
      <c r="J317" s="125">
        <f>(($C$39*$C$118*0.28)*H$41)*(+'Product half-life and C flows'!P218/100)</f>
        <v>0</v>
      </c>
      <c r="K317" s="54">
        <f t="shared" si="171"/>
        <v>1.0075785998939457</v>
      </c>
      <c r="L317" s="26"/>
      <c r="M317" s="83"/>
      <c r="N317" s="85"/>
      <c r="O317" s="85"/>
      <c r="P317" s="85"/>
      <c r="Q317" s="83"/>
      <c r="R317" s="85"/>
      <c r="S317" s="85"/>
      <c r="T317" s="85"/>
      <c r="U317" s="3"/>
      <c r="V317" s="90"/>
      <c r="W317" s="90"/>
      <c r="X317" s="89"/>
      <c r="Y317" s="89"/>
      <c r="Z317" s="91"/>
      <c r="AA317" s="91"/>
      <c r="AB317" s="91"/>
      <c r="AC317" s="89"/>
      <c r="AD317" s="17"/>
      <c r="AE317">
        <f t="shared" si="111"/>
        <v>159</v>
      </c>
      <c r="AF317" s="113">
        <f t="shared" si="167"/>
        <v>163.83309614554503</v>
      </c>
      <c r="AG317" s="124">
        <f t="shared" si="168"/>
        <v>0</v>
      </c>
      <c r="AH317" s="124">
        <f t="shared" si="169"/>
        <v>163.83309614554503</v>
      </c>
      <c r="AI317" s="124">
        <f t="shared" si="173"/>
        <v>3.2727365049186812</v>
      </c>
      <c r="AJ317" s="124">
        <f t="shared" si="173"/>
        <v>0.56565816134396951</v>
      </c>
      <c r="AK317" s="124">
        <f t="shared" si="173"/>
        <v>0</v>
      </c>
      <c r="AL317" s="124">
        <f t="shared" si="173"/>
        <v>0</v>
      </c>
      <c r="AM317" s="124">
        <f t="shared" si="173"/>
        <v>0</v>
      </c>
      <c r="AN317" s="124">
        <f t="shared" si="173"/>
        <v>1.0075785998939457</v>
      </c>
      <c r="AO317" s="3">
        <f t="shared" si="137"/>
        <v>167.67149081180767</v>
      </c>
    </row>
    <row r="318" spans="1:41" ht="14">
      <c r="A318">
        <f t="shared" si="157"/>
        <v>160</v>
      </c>
      <c r="B318" s="19">
        <f t="shared" si="157"/>
        <v>240</v>
      </c>
      <c r="C318" s="123">
        <f t="shared" si="165"/>
        <v>163.91551453053341</v>
      </c>
      <c r="D318" s="26"/>
      <c r="E318" s="26">
        <f t="shared" si="135"/>
        <v>163.91551453053341</v>
      </c>
      <c r="F318" s="54">
        <f t="shared" ref="F318:G318" si="178">F317</f>
        <v>3.2727365049186812</v>
      </c>
      <c r="G318" s="54">
        <f t="shared" si="178"/>
        <v>0.56565816134396951</v>
      </c>
      <c r="H318" s="125">
        <f>(H$118)*('Product half-life and C flows'!L219/100)</f>
        <v>0</v>
      </c>
      <c r="I318" s="125">
        <f>(($C$39*$C$118*0.28)*H$41)*('Product half-life and C flows'!N219/100)</f>
        <v>0</v>
      </c>
      <c r="J318" s="125">
        <f>(($C$39*$C$118*0.28)*H$41)*(+'Product half-life and C flows'!P219/100)</f>
        <v>0</v>
      </c>
      <c r="K318" s="54">
        <f t="shared" si="171"/>
        <v>1.0075785998939457</v>
      </c>
      <c r="L318" s="26"/>
      <c r="M318" s="83"/>
      <c r="N318" s="85"/>
      <c r="O318" s="85"/>
      <c r="P318" s="85"/>
      <c r="Q318" s="83"/>
      <c r="R318" s="85"/>
      <c r="S318" s="85"/>
      <c r="T318" s="85"/>
      <c r="U318" s="3"/>
      <c r="V318" s="90"/>
      <c r="W318" s="90"/>
      <c r="X318" s="89"/>
      <c r="Y318" s="89"/>
      <c r="Z318" s="91"/>
      <c r="AA318" s="91"/>
      <c r="AB318" s="91"/>
      <c r="AC318" s="89"/>
      <c r="AD318" s="17"/>
      <c r="AE318">
        <f t="shared" si="111"/>
        <v>160</v>
      </c>
      <c r="AF318" s="113">
        <f t="shared" si="167"/>
        <v>163.91551453053341</v>
      </c>
      <c r="AG318" s="124">
        <f t="shared" si="168"/>
        <v>0</v>
      </c>
      <c r="AH318" s="124">
        <f t="shared" si="169"/>
        <v>163.91551453053341</v>
      </c>
      <c r="AI318" s="124">
        <f t="shared" si="173"/>
        <v>3.2727365049186812</v>
      </c>
      <c r="AJ318" s="124">
        <f t="shared" si="173"/>
        <v>0.56565816134396951</v>
      </c>
      <c r="AK318" s="124">
        <f t="shared" si="173"/>
        <v>0</v>
      </c>
      <c r="AL318" s="124">
        <f t="shared" si="173"/>
        <v>0</v>
      </c>
      <c r="AM318" s="124">
        <f t="shared" si="173"/>
        <v>0</v>
      </c>
      <c r="AN318" s="124">
        <f t="shared" si="173"/>
        <v>1.0075785998939457</v>
      </c>
      <c r="AO318" s="3">
        <f t="shared" si="137"/>
        <v>167.75390919679606</v>
      </c>
    </row>
    <row r="319" spans="1:41">
      <c r="M319" s="17"/>
      <c r="N319" s="17"/>
      <c r="O319" s="17"/>
      <c r="P319" s="17"/>
      <c r="Q319" s="17"/>
      <c r="R319" s="17"/>
      <c r="S319" s="17"/>
      <c r="T319" s="17"/>
    </row>
    <row r="320" spans="1:41">
      <c r="A320" t="s">
        <v>141</v>
      </c>
      <c r="M320" s="3" t="e">
        <f>AVERAGE(M158:M238)</f>
        <v>#DIV/0!</v>
      </c>
      <c r="N320" s="3" t="e">
        <f t="shared" ref="N320:T320" si="179">AVERAGE(N158:N238)</f>
        <v>#DIV/0!</v>
      </c>
      <c r="O320" s="3" t="e">
        <f t="shared" si="179"/>
        <v>#DIV/0!</v>
      </c>
      <c r="P320" s="3" t="e">
        <f t="shared" si="179"/>
        <v>#DIV/0!</v>
      </c>
      <c r="Q320" s="3" t="e">
        <f t="shared" si="179"/>
        <v>#DIV/0!</v>
      </c>
      <c r="R320" s="3" t="e">
        <f t="shared" si="179"/>
        <v>#DIV/0!</v>
      </c>
      <c r="S320" s="3" t="e">
        <f t="shared" si="179"/>
        <v>#DIV/0!</v>
      </c>
      <c r="T320" s="3" t="e">
        <f t="shared" si="179"/>
        <v>#DIV/0!</v>
      </c>
      <c r="AL320" s="115"/>
    </row>
    <row r="321" spans="1:34">
      <c r="A321" t="s">
        <v>142</v>
      </c>
      <c r="M321" s="3" t="e">
        <f>M320+O320+P320+Q320+R320+S320+T320</f>
        <v>#DIV/0!</v>
      </c>
    </row>
    <row r="322" spans="1:34">
      <c r="A322" t="s">
        <v>143</v>
      </c>
      <c r="M322" s="3" t="e">
        <f>AVERAGE(M239:M318)</f>
        <v>#DIV/0!</v>
      </c>
      <c r="Q322" s="3" t="e">
        <f t="shared" ref="Q322:T322" si="180">AVERAGE(Q239:Q318)</f>
        <v>#DIV/0!</v>
      </c>
      <c r="R322" s="3" t="e">
        <f t="shared" si="180"/>
        <v>#DIV/0!</v>
      </c>
      <c r="S322" s="3" t="e">
        <f t="shared" si="180"/>
        <v>#DIV/0!</v>
      </c>
      <c r="T322" s="3" t="e">
        <f t="shared" si="180"/>
        <v>#DIV/0!</v>
      </c>
    </row>
    <row r="323" spans="1:34">
      <c r="A323" t="s">
        <v>180</v>
      </c>
      <c r="AF323">
        <f>(SUM(AF78:AF318))/240</f>
        <v>104.05267469983879</v>
      </c>
      <c r="AH323">
        <f>(SUM(AF78:AF157)+(SUM(AH158:AH318)))/240</f>
        <v>104.05267469983878</v>
      </c>
    </row>
  </sheetData>
  <mergeCells count="4">
    <mergeCell ref="G2:J2"/>
    <mergeCell ref="H3:J3"/>
    <mergeCell ref="H7:J7"/>
    <mergeCell ref="A17:B17"/>
  </mergeCells>
  <hyperlinks>
    <hyperlink ref="C4" r:id="rId1" display="COLE: Carbon On Line Estimator Version 2.0.&quot;   Retrieved February 26, 2014, from http://www.ncasi2.org/COLE/"/>
  </hyperlinks>
  <pageMargins left="0.75" right="0.75" top="1" bottom="1" header="0.5" footer="0.5"/>
  <pageSetup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77"/>
  <sheetViews>
    <sheetView tabSelected="1" topLeftCell="A9" workbookViewId="0">
      <selection activeCell="N63" sqref="N63:P66"/>
    </sheetView>
  </sheetViews>
  <sheetFormatPr baseColWidth="10" defaultRowHeight="12" x14ac:dyDescent="0"/>
  <cols>
    <col min="8" max="8" width="8.5" customWidth="1"/>
    <col min="9" max="9" width="7.6640625" customWidth="1"/>
    <col min="10" max="10" width="8.1640625" customWidth="1"/>
    <col min="11" max="12" width="5.83203125" customWidth="1"/>
    <col min="13" max="13" width="5.33203125" customWidth="1"/>
    <col min="14" max="14" width="9.5" customWidth="1"/>
    <col min="15" max="15" width="5.33203125" customWidth="1"/>
    <col min="16" max="16" width="4.6640625" customWidth="1"/>
    <col min="17" max="17" width="12.33203125" customWidth="1"/>
    <col min="21" max="21" width="14.1640625" customWidth="1"/>
  </cols>
  <sheetData>
    <row r="1" spans="1:15" s="216" customFormat="1" ht="14">
      <c r="A1" s="216" t="s">
        <v>403</v>
      </c>
    </row>
    <row r="2" spans="1:15" s="216" customFormat="1" ht="14">
      <c r="B2" s="217" t="s">
        <v>320</v>
      </c>
      <c r="C2" s="217"/>
      <c r="D2" s="217"/>
      <c r="E2" s="218">
        <v>0.01</v>
      </c>
      <c r="F2" s="217" t="s">
        <v>321</v>
      </c>
      <c r="G2" s="216" t="s">
        <v>322</v>
      </c>
      <c r="L2" s="217" t="s">
        <v>323</v>
      </c>
      <c r="M2" s="217"/>
      <c r="N2" s="217"/>
    </row>
    <row r="3" spans="1:15" s="216" customFormat="1" ht="14">
      <c r="B3" s="217" t="s">
        <v>324</v>
      </c>
      <c r="C3" s="217"/>
      <c r="D3" s="217"/>
      <c r="E3" s="217">
        <v>20</v>
      </c>
      <c r="F3" s="217" t="s">
        <v>321</v>
      </c>
      <c r="G3" s="216" t="s">
        <v>325</v>
      </c>
      <c r="L3" s="217"/>
      <c r="M3" s="217" t="s">
        <v>326</v>
      </c>
      <c r="N3" s="217" t="s">
        <v>327</v>
      </c>
      <c r="O3" s="216" t="s">
        <v>328</v>
      </c>
    </row>
    <row r="4" spans="1:15" s="216" customFormat="1" ht="14">
      <c r="B4" s="217" t="s">
        <v>329</v>
      </c>
      <c r="C4" s="217"/>
      <c r="D4" s="217"/>
      <c r="E4" s="218">
        <f>E3*E2</f>
        <v>0.2</v>
      </c>
      <c r="F4" s="217" t="s">
        <v>330</v>
      </c>
      <c r="L4" s="217" t="s">
        <v>331</v>
      </c>
      <c r="M4" s="219">
        <v>0.3</v>
      </c>
      <c r="N4" s="220">
        <v>0.2</v>
      </c>
      <c r="O4" s="221">
        <v>0.1</v>
      </c>
    </row>
    <row r="5" spans="1:15" s="216" customFormat="1" ht="14">
      <c r="B5" s="217" t="s">
        <v>332</v>
      </c>
      <c r="C5" s="217"/>
      <c r="D5" s="217"/>
      <c r="E5" s="244">
        <v>56</v>
      </c>
      <c r="F5" s="217" t="s">
        <v>321</v>
      </c>
      <c r="G5" s="216" t="s">
        <v>333</v>
      </c>
      <c r="L5" s="217" t="s">
        <v>334</v>
      </c>
      <c r="M5" s="219">
        <v>0.5</v>
      </c>
      <c r="N5" s="220">
        <v>0.2</v>
      </c>
      <c r="O5" s="221">
        <v>0.1</v>
      </c>
    </row>
    <row r="6" spans="1:15" s="216" customFormat="1" ht="14">
      <c r="B6" s="217" t="s">
        <v>335</v>
      </c>
      <c r="C6" s="217"/>
      <c r="D6" s="217"/>
      <c r="E6" s="245">
        <v>50</v>
      </c>
      <c r="F6" s="217"/>
      <c r="G6" s="216" t="s">
        <v>333</v>
      </c>
      <c r="L6" s="217" t="s">
        <v>336</v>
      </c>
      <c r="M6" s="219">
        <v>0.2</v>
      </c>
      <c r="N6" s="220">
        <v>0.6</v>
      </c>
      <c r="O6" s="221">
        <v>0.8</v>
      </c>
    </row>
    <row r="7" spans="1:15" s="216" customFormat="1" ht="14">
      <c r="B7" s="217" t="s">
        <v>337</v>
      </c>
      <c r="C7" s="217"/>
      <c r="D7" s="217"/>
      <c r="E7" s="246">
        <v>45</v>
      </c>
      <c r="F7" s="217"/>
      <c r="L7" s="217"/>
      <c r="M7" s="220"/>
      <c r="N7" s="220"/>
    </row>
    <row r="8" spans="1:15" s="216" customFormat="1" ht="14">
      <c r="B8" s="222" t="s">
        <v>338</v>
      </c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</row>
    <row r="9" spans="1:15" s="216" customFormat="1" ht="14">
      <c r="B9" s="223" t="s">
        <v>339</v>
      </c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</row>
    <row r="10" spans="1:15" s="216" customFormat="1" ht="14">
      <c r="B10" s="222" t="s">
        <v>340</v>
      </c>
      <c r="C10" s="222"/>
      <c r="D10" s="222"/>
      <c r="E10" s="224">
        <v>1</v>
      </c>
      <c r="G10" s="223" t="s">
        <v>340</v>
      </c>
      <c r="H10" s="223"/>
      <c r="I10" s="223"/>
      <c r="J10" s="225">
        <v>0.8</v>
      </c>
      <c r="L10" s="223" t="s">
        <v>340</v>
      </c>
      <c r="M10" s="223"/>
      <c r="N10" s="223"/>
      <c r="O10" s="225">
        <v>0.6</v>
      </c>
    </row>
    <row r="11" spans="1:15" s="216" customFormat="1" ht="14">
      <c r="B11" s="222"/>
      <c r="C11" s="222"/>
      <c r="D11" s="222"/>
      <c r="E11" s="222"/>
      <c r="G11" s="223"/>
      <c r="H11" s="223"/>
      <c r="I11" s="223"/>
      <c r="J11" s="223"/>
      <c r="L11" s="223"/>
      <c r="M11" s="223"/>
      <c r="N11" s="223"/>
      <c r="O11" s="223"/>
    </row>
    <row r="12" spans="1:15" s="216" customFormat="1" ht="14">
      <c r="B12" s="222" t="s">
        <v>341</v>
      </c>
      <c r="C12" s="222"/>
      <c r="D12" s="222"/>
      <c r="E12" s="222"/>
      <c r="G12" s="223" t="s">
        <v>342</v>
      </c>
      <c r="H12" s="223"/>
      <c r="I12" s="223"/>
      <c r="J12" s="223"/>
      <c r="L12" s="223" t="s">
        <v>343</v>
      </c>
      <c r="M12" s="223"/>
      <c r="N12" s="223"/>
      <c r="O12" s="223"/>
    </row>
    <row r="13" spans="1:15" s="216" customFormat="1" ht="14">
      <c r="B13" s="222" t="s">
        <v>344</v>
      </c>
      <c r="C13" s="222"/>
      <c r="D13" s="222"/>
      <c r="E13" s="222"/>
      <c r="G13" s="223" t="s">
        <v>344</v>
      </c>
      <c r="H13" s="223"/>
      <c r="I13" s="223"/>
      <c r="J13" s="223"/>
      <c r="L13" s="223" t="s">
        <v>344</v>
      </c>
      <c r="M13" s="223"/>
      <c r="N13" s="223"/>
      <c r="O13" s="223"/>
    </row>
    <row r="14" spans="1:15" s="216" customFormat="1" ht="14">
      <c r="B14" s="222" t="s">
        <v>345</v>
      </c>
      <c r="C14" s="226" t="s">
        <v>346</v>
      </c>
      <c r="D14" s="226" t="s">
        <v>347</v>
      </c>
      <c r="E14" s="226" t="s">
        <v>348</v>
      </c>
      <c r="G14" s="223" t="s">
        <v>345</v>
      </c>
      <c r="H14" s="227" t="s">
        <v>346</v>
      </c>
      <c r="I14" s="227" t="s">
        <v>347</v>
      </c>
      <c r="J14" s="227" t="s">
        <v>348</v>
      </c>
      <c r="L14" s="223" t="s">
        <v>345</v>
      </c>
      <c r="M14" s="227" t="s">
        <v>346</v>
      </c>
      <c r="N14" s="227" t="s">
        <v>347</v>
      </c>
      <c r="O14" s="227" t="s">
        <v>348</v>
      </c>
    </row>
    <row r="15" spans="1:15" s="216" customFormat="1" ht="14">
      <c r="B15" s="222" t="s">
        <v>331</v>
      </c>
      <c r="C15" s="228">
        <f>$M$4</f>
        <v>0.3</v>
      </c>
      <c r="D15" s="228">
        <v>1</v>
      </c>
      <c r="E15" s="229">
        <f>$E$4*$E$5*C15*D15</f>
        <v>3.3600000000000003</v>
      </c>
      <c r="G15" s="223" t="s">
        <v>331</v>
      </c>
      <c r="H15" s="230">
        <f>$M$4</f>
        <v>0.3</v>
      </c>
      <c r="I15" s="230">
        <v>1</v>
      </c>
      <c r="J15" s="231">
        <f>$E$4*$E$5*H15*I15</f>
        <v>3.3600000000000003</v>
      </c>
      <c r="L15" s="223" t="s">
        <v>331</v>
      </c>
      <c r="M15" s="230">
        <f>$M$4</f>
        <v>0.3</v>
      </c>
      <c r="N15" s="230">
        <v>1</v>
      </c>
      <c r="O15" s="231">
        <f>$E$4*$E$5*M15*N15</f>
        <v>3.3600000000000003</v>
      </c>
    </row>
    <row r="16" spans="1:15" s="216" customFormat="1" ht="14">
      <c r="B16" s="222" t="s">
        <v>334</v>
      </c>
      <c r="C16" s="228">
        <f>$M$5</f>
        <v>0.5</v>
      </c>
      <c r="D16" s="228">
        <v>0.4</v>
      </c>
      <c r="E16" s="229">
        <f>$E$4*$E$5*C16*D16</f>
        <v>2.2400000000000002</v>
      </c>
      <c r="G16" s="223" t="s">
        <v>334</v>
      </c>
      <c r="H16" s="230">
        <f>$M$5</f>
        <v>0.5</v>
      </c>
      <c r="I16" s="230">
        <v>0.4</v>
      </c>
      <c r="J16" s="231">
        <f>$E$4*$E$5*H16*I16</f>
        <v>2.2400000000000002</v>
      </c>
      <c r="L16" s="223" t="s">
        <v>334</v>
      </c>
      <c r="M16" s="230">
        <f>$M$5</f>
        <v>0.5</v>
      </c>
      <c r="N16" s="230">
        <v>0.4</v>
      </c>
      <c r="O16" s="231">
        <f t="shared" ref="O16:O17" si="0">$E$4*$E$5*M16*N16</f>
        <v>2.2400000000000002</v>
      </c>
    </row>
    <row r="17" spans="2:15" s="216" customFormat="1" ht="14">
      <c r="B17" s="222" t="s">
        <v>336</v>
      </c>
      <c r="C17" s="228">
        <f>$M$6</f>
        <v>0.2</v>
      </c>
      <c r="D17" s="228">
        <v>0.2</v>
      </c>
      <c r="E17" s="229">
        <f>$E$4*$E$5*C17*D17</f>
        <v>0.44800000000000006</v>
      </c>
      <c r="G17" s="223" t="s">
        <v>336</v>
      </c>
      <c r="H17" s="230">
        <f>$M$6</f>
        <v>0.2</v>
      </c>
      <c r="I17" s="230">
        <v>0.2</v>
      </c>
      <c r="J17" s="231">
        <f>$E$4*$E$5*H17*I17</f>
        <v>0.44800000000000006</v>
      </c>
      <c r="L17" s="223" t="s">
        <v>336</v>
      </c>
      <c r="M17" s="230">
        <f>$M$6</f>
        <v>0.2</v>
      </c>
      <c r="N17" s="230">
        <v>0.2</v>
      </c>
      <c r="O17" s="231">
        <f t="shared" si="0"/>
        <v>0.44800000000000006</v>
      </c>
    </row>
    <row r="18" spans="2:15" s="216" customFormat="1" ht="14">
      <c r="B18" s="222"/>
      <c r="C18" s="222"/>
      <c r="D18" s="222"/>
      <c r="E18" s="232"/>
      <c r="G18" s="223"/>
      <c r="H18" s="223"/>
      <c r="I18" s="223"/>
      <c r="J18" s="233"/>
      <c r="L18" s="223"/>
      <c r="M18" s="223"/>
      <c r="N18" s="223"/>
      <c r="O18" s="223"/>
    </row>
    <row r="19" spans="2:15" s="216" customFormat="1" ht="14">
      <c r="B19" s="222" t="s">
        <v>349</v>
      </c>
      <c r="C19" s="222"/>
      <c r="D19" s="222"/>
      <c r="E19" s="232">
        <f>SUM(E15:E17)</f>
        <v>6.0480000000000009</v>
      </c>
      <c r="G19" s="223" t="s">
        <v>349</v>
      </c>
      <c r="H19" s="223"/>
      <c r="I19" s="223"/>
      <c r="J19" s="233">
        <f>SUM(J15:J17)</f>
        <v>6.0480000000000009</v>
      </c>
      <c r="L19" s="223" t="s">
        <v>349</v>
      </c>
      <c r="M19" s="223"/>
      <c r="N19" s="223"/>
      <c r="O19" s="233">
        <f>SUM(O15:O17)</f>
        <v>6.0480000000000009</v>
      </c>
    </row>
    <row r="20" spans="2:15" s="216" customFormat="1" ht="14">
      <c r="B20" s="222" t="s">
        <v>350</v>
      </c>
      <c r="C20" s="222"/>
      <c r="D20" s="222">
        <f>(C15*D15)+(C16*D16)+(C17*D17)</f>
        <v>0.54</v>
      </c>
      <c r="E20" s="222"/>
      <c r="G20" s="223" t="s">
        <v>350</v>
      </c>
      <c r="H20" s="223"/>
      <c r="I20" s="223">
        <f>(H15*I15)+(H16*I16)+(H17*I17)</f>
        <v>0.54</v>
      </c>
      <c r="J20" s="223"/>
      <c r="L20" s="223" t="s">
        <v>350</v>
      </c>
      <c r="M20" s="223"/>
      <c r="N20" s="223">
        <f>(M15*N15)+(M16*N16)+(M17*N17)</f>
        <v>0.54</v>
      </c>
      <c r="O20" s="223"/>
    </row>
    <row r="21" spans="2:15" s="216" customFormat="1" ht="14">
      <c r="B21" s="222" t="s">
        <v>351</v>
      </c>
      <c r="C21" s="222"/>
      <c r="D21" s="222"/>
      <c r="E21" s="224">
        <f>E19/E$5</f>
        <v>0.10800000000000001</v>
      </c>
      <c r="G21" s="223" t="s">
        <v>351</v>
      </c>
      <c r="H21" s="223"/>
      <c r="I21" s="223"/>
      <c r="J21" s="225">
        <f>J19/$E$5</f>
        <v>0.10800000000000001</v>
      </c>
      <c r="L21" s="223" t="s">
        <v>351</v>
      </c>
      <c r="M21" s="223"/>
      <c r="N21" s="223"/>
      <c r="O21" s="225">
        <f>O19/$E$5</f>
        <v>0.10800000000000001</v>
      </c>
    </row>
    <row r="22" spans="2:15" s="216" customFormat="1" ht="14">
      <c r="B22" s="222"/>
      <c r="C22" s="222"/>
      <c r="D22" s="222"/>
      <c r="E22" s="222"/>
      <c r="G22" s="223"/>
      <c r="H22" s="223"/>
      <c r="I22" s="223"/>
      <c r="J22" s="223"/>
      <c r="L22" s="223"/>
      <c r="M22" s="223"/>
      <c r="N22" s="223"/>
      <c r="O22" s="223"/>
    </row>
    <row r="23" spans="2:15" s="216" customFormat="1" ht="14">
      <c r="B23" s="222" t="s">
        <v>352</v>
      </c>
      <c r="C23" s="222"/>
      <c r="D23" s="222"/>
      <c r="E23" s="222"/>
      <c r="G23" s="223" t="s">
        <v>352</v>
      </c>
      <c r="H23" s="223"/>
      <c r="I23" s="223"/>
      <c r="J23" s="223"/>
      <c r="L23" s="223" t="s">
        <v>352</v>
      </c>
      <c r="M23" s="223"/>
      <c r="N23" s="223"/>
      <c r="O23" s="223"/>
    </row>
    <row r="24" spans="2:15" s="216" customFormat="1" ht="14">
      <c r="B24" s="222" t="s">
        <v>345</v>
      </c>
      <c r="C24" s="226" t="s">
        <v>346</v>
      </c>
      <c r="D24" s="226" t="s">
        <v>347</v>
      </c>
      <c r="E24" s="226" t="s">
        <v>348</v>
      </c>
      <c r="G24" s="223" t="s">
        <v>345</v>
      </c>
      <c r="H24" s="227" t="s">
        <v>346</v>
      </c>
      <c r="I24" s="227" t="s">
        <v>347</v>
      </c>
      <c r="J24" s="227" t="s">
        <v>348</v>
      </c>
      <c r="L24" s="223" t="s">
        <v>345</v>
      </c>
      <c r="M24" s="227" t="s">
        <v>346</v>
      </c>
      <c r="N24" s="227" t="s">
        <v>347</v>
      </c>
      <c r="O24" s="227" t="s">
        <v>348</v>
      </c>
    </row>
    <row r="25" spans="2:15" s="216" customFormat="1" ht="14">
      <c r="B25" s="222" t="s">
        <v>331</v>
      </c>
      <c r="C25" s="220">
        <v>0.2</v>
      </c>
      <c r="D25" s="228">
        <v>1</v>
      </c>
      <c r="E25" s="229">
        <f>$E$4*$E$6*C25*D25*E$10</f>
        <v>2</v>
      </c>
      <c r="G25" s="223" t="s">
        <v>331</v>
      </c>
      <c r="H25" s="220">
        <v>0.2</v>
      </c>
      <c r="I25" s="230">
        <v>1</v>
      </c>
      <c r="J25" s="231">
        <f>$E$4*$E$6*H25*I25*J$10</f>
        <v>1.6</v>
      </c>
      <c r="L25" s="223" t="s">
        <v>331</v>
      </c>
      <c r="M25" s="220">
        <v>0.2</v>
      </c>
      <c r="N25" s="230">
        <v>1</v>
      </c>
      <c r="O25" s="231">
        <f>$E$4*$E$6*M25*N25*O$10</f>
        <v>1.2</v>
      </c>
    </row>
    <row r="26" spans="2:15" s="216" customFormat="1" ht="14">
      <c r="B26" s="222" t="s">
        <v>334</v>
      </c>
      <c r="C26" s="220">
        <v>0.2</v>
      </c>
      <c r="D26" s="228">
        <v>0.4</v>
      </c>
      <c r="E26" s="229">
        <f>$E$4*$E$6*C26*D26*E$10</f>
        <v>0.8</v>
      </c>
      <c r="G26" s="223" t="s">
        <v>334</v>
      </c>
      <c r="H26" s="220">
        <v>0.2</v>
      </c>
      <c r="I26" s="230">
        <v>0.4</v>
      </c>
      <c r="J26" s="231">
        <f>$E$4*$E$6*H26*I26*J$10</f>
        <v>0.64000000000000012</v>
      </c>
      <c r="L26" s="223" t="s">
        <v>334</v>
      </c>
      <c r="M26" s="220">
        <v>0.2</v>
      </c>
      <c r="N26" s="230">
        <v>0.4</v>
      </c>
      <c r="O26" s="231">
        <f>$E$4*$E$6*M26*N26*O$10</f>
        <v>0.48</v>
      </c>
    </row>
    <row r="27" spans="2:15" s="216" customFormat="1" ht="14">
      <c r="B27" s="222" t="s">
        <v>336</v>
      </c>
      <c r="C27" s="220">
        <v>0.6</v>
      </c>
      <c r="D27" s="228">
        <v>0.2</v>
      </c>
      <c r="E27" s="229">
        <f>$E$4*$E$6*C27*D27*E$10</f>
        <v>1.2000000000000002</v>
      </c>
      <c r="G27" s="223" t="s">
        <v>336</v>
      </c>
      <c r="H27" s="220">
        <v>0.6</v>
      </c>
      <c r="I27" s="230">
        <v>0.2</v>
      </c>
      <c r="J27" s="231">
        <f>$E$4*$E$6*H27*I27*J$10</f>
        <v>0.96000000000000019</v>
      </c>
      <c r="L27" s="223" t="s">
        <v>336</v>
      </c>
      <c r="M27" s="220">
        <v>0.6</v>
      </c>
      <c r="N27" s="230">
        <v>0.2</v>
      </c>
      <c r="O27" s="231">
        <f>$E$4*$E$6*M27*N27*O$10</f>
        <v>0.72000000000000008</v>
      </c>
    </row>
    <row r="28" spans="2:15" s="216" customFormat="1" ht="14">
      <c r="B28" s="222"/>
      <c r="C28" s="222"/>
      <c r="D28" s="222"/>
      <c r="E28" s="222"/>
      <c r="G28" s="223"/>
      <c r="H28" s="223"/>
      <c r="I28" s="223"/>
      <c r="J28" s="223"/>
      <c r="L28" s="223"/>
      <c r="M28" s="223"/>
      <c r="N28" s="223"/>
      <c r="O28" s="223"/>
    </row>
    <row r="29" spans="2:15" s="216" customFormat="1" ht="14">
      <c r="B29" s="222" t="s">
        <v>349</v>
      </c>
      <c r="C29" s="222"/>
      <c r="D29" s="222"/>
      <c r="E29" s="232">
        <f>SUM(E25:E27)</f>
        <v>4</v>
      </c>
      <c r="G29" s="223" t="s">
        <v>349</v>
      </c>
      <c r="H29" s="223"/>
      <c r="I29" s="223"/>
      <c r="J29" s="233">
        <f>SUM(J25:J27)</f>
        <v>3.2</v>
      </c>
      <c r="L29" s="223" t="s">
        <v>349</v>
      </c>
      <c r="M29" s="223"/>
      <c r="N29" s="223"/>
      <c r="O29" s="233">
        <f>SUM(O25:O27)</f>
        <v>2.4</v>
      </c>
    </row>
    <row r="30" spans="2:15" s="216" customFormat="1" ht="14">
      <c r="B30" s="222" t="s">
        <v>350</v>
      </c>
      <c r="C30" s="222"/>
      <c r="D30" s="222">
        <f>(C25*D25)+(C26*D26)+(C27*D27)</f>
        <v>0.4</v>
      </c>
      <c r="E30" s="222"/>
      <c r="G30" s="223" t="s">
        <v>350</v>
      </c>
      <c r="H30" s="223"/>
      <c r="I30" s="223">
        <f>(H25*I25)+(H26*I26)+(H27*I27)</f>
        <v>0.4</v>
      </c>
      <c r="J30" s="223"/>
      <c r="L30" s="223" t="s">
        <v>350</v>
      </c>
      <c r="M30" s="223"/>
      <c r="N30" s="223">
        <f>(M25*N25)+(M26*N26)+(M27*N27)</f>
        <v>0.4</v>
      </c>
      <c r="O30" s="223"/>
    </row>
    <row r="31" spans="2:15" s="216" customFormat="1" ht="14">
      <c r="B31" s="222" t="s">
        <v>353</v>
      </c>
      <c r="C31" s="222"/>
      <c r="D31" s="222"/>
      <c r="E31" s="224">
        <f>E29/E$5</f>
        <v>7.1428571428571425E-2</v>
      </c>
      <c r="G31" s="223" t="s">
        <v>353</v>
      </c>
      <c r="H31" s="223"/>
      <c r="I31" s="223"/>
      <c r="J31" s="225">
        <f>J29/E5</f>
        <v>5.7142857142857148E-2</v>
      </c>
      <c r="L31" s="223" t="s">
        <v>353</v>
      </c>
      <c r="M31" s="223"/>
      <c r="N31" s="223"/>
      <c r="O31" s="225">
        <f>O29/$E$5</f>
        <v>4.2857142857142858E-2</v>
      </c>
    </row>
    <row r="32" spans="2:15" s="216" customFormat="1" ht="14">
      <c r="B32" s="222"/>
      <c r="C32" s="222"/>
      <c r="D32" s="222"/>
      <c r="E32" s="222"/>
      <c r="G32" s="223"/>
      <c r="H32" s="223"/>
      <c r="I32" s="223"/>
      <c r="J32" s="223"/>
      <c r="L32" s="223"/>
      <c r="M32" s="223"/>
      <c r="N32" s="223"/>
      <c r="O32" s="223"/>
    </row>
    <row r="33" spans="2:21" s="216" customFormat="1" ht="13" customHeight="1">
      <c r="B33" s="222" t="s">
        <v>354</v>
      </c>
      <c r="C33" s="222"/>
      <c r="D33" s="222"/>
      <c r="E33" s="232">
        <f>E19-E29</f>
        <v>2.0480000000000009</v>
      </c>
      <c r="F33" s="234"/>
      <c r="G33" s="233"/>
      <c r="H33" s="233"/>
      <c r="I33" s="233"/>
      <c r="J33" s="233">
        <f>J19-J29</f>
        <v>2.8480000000000008</v>
      </c>
      <c r="K33" s="234"/>
      <c r="L33" s="233"/>
      <c r="M33" s="233"/>
      <c r="N33" s="233"/>
      <c r="O33" s="233">
        <f>O19-O29</f>
        <v>3.648000000000001</v>
      </c>
    </row>
    <row r="34" spans="2:21" s="216" customFormat="1" ht="13" customHeight="1">
      <c r="B34" s="216" t="s">
        <v>355</v>
      </c>
    </row>
    <row r="35" spans="2:21" s="216" customFormat="1" ht="13" customHeight="1">
      <c r="B35" s="216" t="s">
        <v>356</v>
      </c>
      <c r="G35" s="216" t="s">
        <v>357</v>
      </c>
    </row>
    <row r="36" spans="2:21" s="216" customFormat="1" ht="13" customHeight="1">
      <c r="C36" s="216" t="s">
        <v>358</v>
      </c>
      <c r="G36" s="216" t="s">
        <v>359</v>
      </c>
    </row>
    <row r="37" spans="2:21" s="216" customFormat="1" ht="13" customHeight="1">
      <c r="C37" s="224">
        <v>1</v>
      </c>
      <c r="D37" s="225">
        <v>0.8</v>
      </c>
      <c r="E37" s="225">
        <v>0.6</v>
      </c>
      <c r="G37" s="216" t="s">
        <v>360</v>
      </c>
    </row>
    <row r="38" spans="2:21" s="216" customFormat="1" ht="13" customHeight="1">
      <c r="B38" s="216" t="s">
        <v>361</v>
      </c>
      <c r="C38" s="235">
        <f>E19</f>
        <v>6.0480000000000009</v>
      </c>
      <c r="D38" s="236">
        <f>J19</f>
        <v>6.0480000000000009</v>
      </c>
      <c r="E38" s="236">
        <f>O19</f>
        <v>6.0480000000000009</v>
      </c>
      <c r="G38" s="216" t="s">
        <v>362</v>
      </c>
    </row>
    <row r="39" spans="2:21" s="216" customFormat="1" ht="13" customHeight="1">
      <c r="B39" s="216" t="s">
        <v>363</v>
      </c>
      <c r="C39" s="235">
        <f>E29</f>
        <v>4</v>
      </c>
      <c r="D39" s="236">
        <f>J29</f>
        <v>3.2</v>
      </c>
      <c r="E39" s="236">
        <f>O29</f>
        <v>2.4</v>
      </c>
      <c r="G39" s="216" t="s">
        <v>364</v>
      </c>
    </row>
    <row r="40" spans="2:21" s="216" customFormat="1" ht="13" customHeight="1">
      <c r="B40" s="237" t="s">
        <v>365</v>
      </c>
      <c r="C40" s="232">
        <f>C38-C39</f>
        <v>2.0480000000000009</v>
      </c>
      <c r="D40" s="233">
        <f t="shared" ref="D40:E40" si="1">D38-D39</f>
        <v>2.8480000000000008</v>
      </c>
      <c r="E40" s="233">
        <f t="shared" si="1"/>
        <v>3.648000000000001</v>
      </c>
      <c r="G40" s="216" t="s">
        <v>366</v>
      </c>
    </row>
    <row r="41" spans="2:21" s="216" customFormat="1" ht="13" customHeight="1">
      <c r="B41" s="237"/>
      <c r="C41" s="234"/>
      <c r="D41" s="234"/>
      <c r="E41" s="234"/>
      <c r="G41" s="216" t="s">
        <v>367</v>
      </c>
    </row>
    <row r="42" spans="2:21" s="216" customFormat="1" ht="13" customHeight="1">
      <c r="B42" s="216" t="s">
        <v>368</v>
      </c>
      <c r="N42" s="216" t="s">
        <v>369</v>
      </c>
      <c r="R42" s="216" t="s">
        <v>370</v>
      </c>
    </row>
    <row r="43" spans="2:21" s="216" customFormat="1" ht="13" customHeight="1">
      <c r="C43" s="216" t="s">
        <v>358</v>
      </c>
      <c r="G43" s="216" t="s">
        <v>371</v>
      </c>
      <c r="N43" s="216" t="s">
        <v>159</v>
      </c>
    </row>
    <row r="44" spans="2:21" s="216" customFormat="1" ht="13" customHeight="1">
      <c r="C44" s="224">
        <v>1</v>
      </c>
      <c r="D44" s="225">
        <v>0.8</v>
      </c>
      <c r="E44" s="225">
        <v>0.6</v>
      </c>
      <c r="G44" s="216" t="s">
        <v>372</v>
      </c>
    </row>
    <row r="45" spans="2:21" s="216" customFormat="1" ht="13" customHeight="1">
      <c r="B45" s="216" t="s">
        <v>361</v>
      </c>
      <c r="C45" s="238">
        <f>C38/$E$5</f>
        <v>0.10800000000000001</v>
      </c>
      <c r="D45" s="239">
        <f t="shared" ref="D45:E45" si="2">D38/$E$5</f>
        <v>0.10800000000000001</v>
      </c>
      <c r="E45" s="239">
        <f t="shared" si="2"/>
        <v>0.10800000000000001</v>
      </c>
      <c r="J45" s="248" t="s">
        <v>405</v>
      </c>
      <c r="K45" s="249"/>
      <c r="L45" s="249"/>
      <c r="M45" s="249"/>
      <c r="N45" s="249"/>
      <c r="O45" s="249"/>
      <c r="P45" s="249"/>
      <c r="Q45" s="249"/>
      <c r="R45" s="250"/>
    </row>
    <row r="46" spans="2:21" s="216" customFormat="1" ht="13" customHeight="1">
      <c r="B46" s="216" t="s">
        <v>363</v>
      </c>
      <c r="C46" s="238">
        <f t="shared" ref="C46:E46" si="3">C39/$E$5</f>
        <v>7.1428571428571425E-2</v>
      </c>
      <c r="D46" s="239">
        <f t="shared" si="3"/>
        <v>5.7142857142857148E-2</v>
      </c>
      <c r="E46" s="239">
        <f t="shared" si="3"/>
        <v>4.2857142857142858E-2</v>
      </c>
      <c r="J46" s="251" t="s">
        <v>406</v>
      </c>
      <c r="K46" s="252"/>
      <c r="L46" s="252"/>
      <c r="M46" s="252"/>
      <c r="N46" s="252"/>
      <c r="O46" s="252" t="s">
        <v>407</v>
      </c>
      <c r="P46" s="252"/>
      <c r="Q46" s="252"/>
      <c r="R46" s="253">
        <f>D30</f>
        <v>0.4</v>
      </c>
    </row>
    <row r="47" spans="2:21" s="216" customFormat="1" ht="13" customHeight="1">
      <c r="B47" s="237" t="s">
        <v>365</v>
      </c>
      <c r="C47" s="240">
        <f>C45-C46</f>
        <v>3.6571428571428588E-2</v>
      </c>
      <c r="D47" s="241">
        <f t="shared" ref="D47:E47" si="4">D45-D46</f>
        <v>5.0857142857142865E-2</v>
      </c>
      <c r="E47" s="241">
        <f t="shared" si="4"/>
        <v>6.5142857142857155E-2</v>
      </c>
      <c r="J47" s="251"/>
      <c r="K47" s="252"/>
      <c r="L47" s="252"/>
      <c r="M47" s="254" t="s">
        <v>331</v>
      </c>
      <c r="N47" s="255">
        <f>C25</f>
        <v>0.2</v>
      </c>
      <c r="O47" s="252"/>
      <c r="P47" s="252"/>
      <c r="Q47" s="252"/>
      <c r="R47" s="253"/>
    </row>
    <row r="48" spans="2:21" ht="14">
      <c r="J48" s="251"/>
      <c r="K48" s="252"/>
      <c r="L48" s="252"/>
      <c r="M48" s="254" t="s">
        <v>334</v>
      </c>
      <c r="N48" s="255">
        <f t="shared" ref="N48:N49" si="5">C26</f>
        <v>0.2</v>
      </c>
      <c r="O48" s="252"/>
      <c r="P48" s="252"/>
      <c r="Q48" s="252"/>
      <c r="R48" s="253"/>
      <c r="S48" s="216"/>
      <c r="T48" s="216"/>
      <c r="U48" s="216"/>
    </row>
    <row r="49" spans="2:21" ht="14">
      <c r="B49" s="242"/>
      <c r="J49" s="251"/>
      <c r="K49" s="252"/>
      <c r="L49" s="252"/>
      <c r="M49" s="254" t="s">
        <v>336</v>
      </c>
      <c r="N49" s="255">
        <f t="shared" si="5"/>
        <v>0.6</v>
      </c>
      <c r="O49" s="252"/>
      <c r="P49" s="252"/>
      <c r="Q49" s="252"/>
      <c r="R49" s="253"/>
      <c r="S49" s="216"/>
      <c r="T49" s="216"/>
      <c r="U49" s="216"/>
    </row>
    <row r="50" spans="2:21" ht="14">
      <c r="B50" s="222" t="s">
        <v>345</v>
      </c>
      <c r="C50" s="242" t="s">
        <v>386</v>
      </c>
      <c r="D50" t="s">
        <v>387</v>
      </c>
      <c r="E50" t="s">
        <v>388</v>
      </c>
      <c r="J50" s="256" t="s">
        <v>408</v>
      </c>
      <c r="K50" s="257"/>
      <c r="L50" s="257"/>
      <c r="M50" s="257"/>
      <c r="N50" s="257"/>
      <c r="O50" s="257"/>
      <c r="P50" s="257"/>
      <c r="Q50" s="257"/>
      <c r="R50" s="258"/>
      <c r="S50" s="216"/>
      <c r="T50" s="216"/>
      <c r="U50" s="216"/>
    </row>
    <row r="51" spans="2:21" ht="14">
      <c r="B51" s="222" t="s">
        <v>331</v>
      </c>
      <c r="C51" s="219">
        <v>0.3</v>
      </c>
      <c r="D51" s="220">
        <v>0.2</v>
      </c>
      <c r="E51" s="247">
        <v>0.1</v>
      </c>
      <c r="J51" s="251"/>
      <c r="K51" s="252"/>
      <c r="L51" s="252"/>
      <c r="M51" s="252"/>
      <c r="N51" s="252" t="s">
        <v>373</v>
      </c>
      <c r="O51" s="252"/>
      <c r="P51" s="252"/>
      <c r="Q51" s="252"/>
      <c r="R51" s="252"/>
      <c r="S51" s="249"/>
      <c r="T51" s="249"/>
      <c r="U51" s="250"/>
    </row>
    <row r="52" spans="2:21" ht="14">
      <c r="B52" s="222" t="s">
        <v>334</v>
      </c>
      <c r="C52" s="219">
        <v>0.5</v>
      </c>
      <c r="D52" s="220">
        <v>0.2</v>
      </c>
      <c r="E52" s="247">
        <v>0.1</v>
      </c>
      <c r="J52" s="251"/>
      <c r="K52" s="252" t="s">
        <v>374</v>
      </c>
      <c r="L52" s="252" t="s">
        <v>375</v>
      </c>
      <c r="M52" s="252" t="s">
        <v>375</v>
      </c>
      <c r="N52" s="252"/>
      <c r="O52" s="252" t="s">
        <v>376</v>
      </c>
      <c r="P52" s="252" t="s">
        <v>376</v>
      </c>
      <c r="Q52" s="252"/>
      <c r="R52" s="252"/>
      <c r="S52" s="252"/>
      <c r="T52" s="252"/>
      <c r="U52" s="253"/>
    </row>
    <row r="53" spans="2:21" ht="14">
      <c r="B53" s="222" t="s">
        <v>336</v>
      </c>
      <c r="C53" s="219">
        <v>0.2</v>
      </c>
      <c r="D53" s="220">
        <v>0.6</v>
      </c>
      <c r="E53" s="247">
        <v>0.8</v>
      </c>
      <c r="J53" s="251"/>
      <c r="K53" s="252" t="s">
        <v>377</v>
      </c>
      <c r="L53" s="252" t="s">
        <v>378</v>
      </c>
      <c r="M53" s="252" t="s">
        <v>379</v>
      </c>
      <c r="N53" s="259" t="s">
        <v>380</v>
      </c>
      <c r="O53" s="259" t="s">
        <v>381</v>
      </c>
      <c r="P53" s="259" t="s">
        <v>382</v>
      </c>
      <c r="Q53" s="252"/>
      <c r="R53" s="252"/>
      <c r="S53" s="252"/>
      <c r="T53" s="252"/>
      <c r="U53" s="253"/>
    </row>
    <row r="54" spans="2:21" ht="14">
      <c r="J54" s="260" t="s">
        <v>383</v>
      </c>
      <c r="K54" s="261">
        <v>0</v>
      </c>
      <c r="L54" s="262">
        <f>E5</f>
        <v>56</v>
      </c>
      <c r="M54" s="263">
        <f>E7</f>
        <v>45</v>
      </c>
      <c r="N54" s="264">
        <f>(L54-C38)-(D20*$E$4*M54)- (D20*$E$4*M54)</f>
        <v>40.231999999999999</v>
      </c>
      <c r="O54" s="252"/>
      <c r="P54" s="252"/>
      <c r="Q54" s="252"/>
      <c r="R54" s="252"/>
      <c r="S54" s="252"/>
      <c r="T54" s="252"/>
      <c r="U54" s="253"/>
    </row>
    <row r="55" spans="2:21" ht="14">
      <c r="B55" s="222" t="s">
        <v>409</v>
      </c>
      <c r="C55" s="219">
        <v>0.54</v>
      </c>
      <c r="D55" s="220">
        <v>0.4</v>
      </c>
      <c r="E55" s="247">
        <v>0.3</v>
      </c>
      <c r="J55" s="265" t="s">
        <v>384</v>
      </c>
      <c r="K55" s="266">
        <v>6</v>
      </c>
      <c r="L55" s="267">
        <f>E6</f>
        <v>50</v>
      </c>
      <c r="M55" s="263">
        <f>E7</f>
        <v>45</v>
      </c>
      <c r="N55" s="268">
        <f t="shared" ref="N55:P56" si="6">($L55-C$39)+$K55-($E$4*$D$30*$M55*C$37) - ($E$4*$D$20*$M55)</f>
        <v>43.54</v>
      </c>
      <c r="O55" s="268">
        <f t="shared" si="6"/>
        <v>45.059999999999995</v>
      </c>
      <c r="P55" s="268">
        <f t="shared" si="6"/>
        <v>46.58</v>
      </c>
      <c r="Q55" s="266"/>
      <c r="R55" s="266"/>
      <c r="S55" s="266"/>
      <c r="T55" s="266"/>
      <c r="U55" s="269"/>
    </row>
    <row r="56" spans="2:21" ht="14">
      <c r="B56" s="270" t="s">
        <v>410</v>
      </c>
      <c r="J56" s="265" t="s">
        <v>385</v>
      </c>
      <c r="K56" s="266">
        <v>3</v>
      </c>
      <c r="L56" s="267">
        <f>E6</f>
        <v>50</v>
      </c>
      <c r="M56" s="263">
        <f>E7</f>
        <v>45</v>
      </c>
      <c r="N56" s="268">
        <f t="shared" si="6"/>
        <v>40.54</v>
      </c>
      <c r="O56" s="268">
        <f t="shared" si="6"/>
        <v>42.059999999999995</v>
      </c>
      <c r="P56" s="268">
        <f t="shared" si="6"/>
        <v>43.58</v>
      </c>
      <c r="Q56" s="266"/>
      <c r="R56" s="266"/>
      <c r="S56" s="266"/>
      <c r="T56" s="266"/>
      <c r="U56" s="269"/>
    </row>
    <row r="57" spans="2:21" ht="14">
      <c r="B57" s="270" t="s">
        <v>411</v>
      </c>
      <c r="J57" s="265" t="s">
        <v>287</v>
      </c>
      <c r="K57" s="266">
        <v>3</v>
      </c>
      <c r="L57" s="271">
        <f>E6</f>
        <v>50</v>
      </c>
      <c r="M57" s="272">
        <f t="shared" ref="M57" si="7">1+13+32</f>
        <v>46</v>
      </c>
      <c r="N57" s="268">
        <f>($L57-C$39)+(0.5*$K57)-($E$4*$D$30*($M57+(0.5*$K57))*C$37) - ($E$4*$D$20*$M57)</f>
        <v>38.731999999999999</v>
      </c>
      <c r="O57" s="268">
        <f t="shared" ref="O57:P57" si="8">($L57-D$39)+(0.5*$K57)-($E$4*$D$30*($M57+(0.5*$K57))*D$37) - ($E$4*$D$20*$M57)</f>
        <v>40.291999999999994</v>
      </c>
      <c r="P57" s="268">
        <f t="shared" si="8"/>
        <v>41.851999999999997</v>
      </c>
      <c r="Q57" s="266"/>
      <c r="R57" s="266"/>
      <c r="S57" s="266"/>
      <c r="T57" s="266"/>
      <c r="U57" s="269"/>
    </row>
    <row r="58" spans="2:21" ht="14">
      <c r="B58" s="40"/>
      <c r="J58" s="265" t="s">
        <v>269</v>
      </c>
      <c r="K58" s="266">
        <v>0</v>
      </c>
      <c r="L58" s="271">
        <f>E6</f>
        <v>50</v>
      </c>
      <c r="M58" s="263">
        <f>E7</f>
        <v>45</v>
      </c>
      <c r="N58" s="268">
        <f>($L58-C$39)+$K58-($E$4*$D$30*$M58*C$37) - ($E$4*$D$20*$M58)</f>
        <v>37.54</v>
      </c>
      <c r="O58" s="268">
        <f t="shared" ref="O58:P58" si="9">($L58-D$39)+$K58-($E$4*$D$30*$M58*D$37) - ($E$4*$D$20*$M58)</f>
        <v>39.059999999999995</v>
      </c>
      <c r="P58" s="268">
        <f t="shared" si="9"/>
        <v>40.58</v>
      </c>
      <c r="Q58" s="266"/>
      <c r="R58" s="266"/>
      <c r="S58" s="266"/>
      <c r="T58" s="266"/>
      <c r="U58" s="269"/>
    </row>
    <row r="59" spans="2:21">
      <c r="J59" s="265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9"/>
    </row>
    <row r="60" spans="2:21" ht="14">
      <c r="J60" s="265" t="s">
        <v>389</v>
      </c>
      <c r="K60" s="266"/>
      <c r="L60" s="252"/>
      <c r="M60" s="252"/>
      <c r="N60" s="252"/>
      <c r="O60" s="266"/>
      <c r="P60" s="252"/>
      <c r="Q60" s="266"/>
      <c r="R60" s="266"/>
      <c r="S60" s="266"/>
      <c r="T60" s="266"/>
      <c r="U60" s="269"/>
    </row>
    <row r="61" spans="2:21" ht="14">
      <c r="J61" s="265"/>
      <c r="K61" s="266"/>
      <c r="L61" s="252"/>
      <c r="M61" s="252"/>
      <c r="N61" s="259" t="s">
        <v>390</v>
      </c>
      <c r="O61" s="259" t="s">
        <v>391</v>
      </c>
      <c r="P61" s="259" t="s">
        <v>392</v>
      </c>
      <c r="Q61" s="266"/>
      <c r="R61" s="266"/>
      <c r="S61" s="266"/>
      <c r="T61" s="266"/>
      <c r="U61" s="269"/>
    </row>
    <row r="62" spans="2:21" ht="14">
      <c r="J62" s="260" t="s">
        <v>383</v>
      </c>
      <c r="K62" s="266"/>
      <c r="L62" s="252"/>
      <c r="M62" s="252"/>
      <c r="N62" s="273">
        <f>N54-$N$54</f>
        <v>0</v>
      </c>
      <c r="O62" s="273"/>
      <c r="P62" s="273"/>
      <c r="Q62" s="266"/>
      <c r="R62" s="259" t="s">
        <v>390</v>
      </c>
      <c r="S62" s="259" t="s">
        <v>391</v>
      </c>
      <c r="T62" s="259" t="s">
        <v>392</v>
      </c>
      <c r="U62" s="274" t="s">
        <v>394</v>
      </c>
    </row>
    <row r="63" spans="2:21" ht="14">
      <c r="J63" s="265" t="s">
        <v>384</v>
      </c>
      <c r="K63" s="266"/>
      <c r="L63" s="252"/>
      <c r="M63" s="252"/>
      <c r="N63" s="273">
        <f t="shared" ref="N63:P66" si="10">N55-$N$54</f>
        <v>3.3079999999999998</v>
      </c>
      <c r="O63" s="273">
        <f t="shared" si="10"/>
        <v>4.8279999999999959</v>
      </c>
      <c r="P63" s="273">
        <f t="shared" si="10"/>
        <v>6.347999999999999</v>
      </c>
      <c r="Q63" s="266"/>
      <c r="R63" s="275">
        <f>AVERAGE(N63:N66)</f>
        <v>-0.14400000000000013</v>
      </c>
      <c r="S63" s="275">
        <f t="shared" ref="S63:T63" si="11">AVERAGE(O63:O66)</f>
        <v>1.3859999999999957</v>
      </c>
      <c r="T63" s="275">
        <f t="shared" si="11"/>
        <v>2.9159999999999986</v>
      </c>
      <c r="U63" s="269" t="s">
        <v>412</v>
      </c>
    </row>
    <row r="64" spans="2:21" ht="14">
      <c r="J64" s="265" t="s">
        <v>385</v>
      </c>
      <c r="K64" s="266"/>
      <c r="L64" s="252"/>
      <c r="M64" s="252"/>
      <c r="N64" s="273">
        <f t="shared" si="10"/>
        <v>0.30799999999999983</v>
      </c>
      <c r="O64" s="273">
        <f t="shared" si="10"/>
        <v>1.8279999999999959</v>
      </c>
      <c r="P64" s="273">
        <f t="shared" si="10"/>
        <v>3.347999999999999</v>
      </c>
      <c r="Q64" s="266"/>
      <c r="R64" s="266"/>
      <c r="S64" s="266"/>
      <c r="T64" s="266"/>
      <c r="U64" s="276">
        <f>AVERAGE(N63:P66)</f>
        <v>1.3859999999999981</v>
      </c>
    </row>
    <row r="65" spans="10:21" ht="14">
      <c r="J65" s="265" t="s">
        <v>287</v>
      </c>
      <c r="K65" s="266"/>
      <c r="L65" s="252"/>
      <c r="M65" s="252"/>
      <c r="N65" s="273">
        <f t="shared" si="10"/>
        <v>-1.5</v>
      </c>
      <c r="O65" s="273">
        <f t="shared" si="10"/>
        <v>5.9999999999995168E-2</v>
      </c>
      <c r="P65" s="273">
        <f t="shared" si="10"/>
        <v>1.6199999999999974</v>
      </c>
      <c r="Q65" s="266"/>
      <c r="R65" s="266"/>
      <c r="S65" s="266"/>
      <c r="T65" s="266"/>
      <c r="U65" s="277" t="s">
        <v>413</v>
      </c>
    </row>
    <row r="66" spans="10:21" ht="14">
      <c r="J66" s="265" t="s">
        <v>269</v>
      </c>
      <c r="K66" s="266"/>
      <c r="L66" s="252"/>
      <c r="M66" s="252"/>
      <c r="N66" s="273">
        <f t="shared" si="10"/>
        <v>-2.6920000000000002</v>
      </c>
      <c r="O66" s="273">
        <f t="shared" si="10"/>
        <v>-1.1720000000000041</v>
      </c>
      <c r="P66" s="273">
        <f t="shared" si="10"/>
        <v>0.34799999999999898</v>
      </c>
      <c r="Q66" s="266"/>
      <c r="R66" s="266"/>
      <c r="S66" s="266"/>
      <c r="T66" s="266"/>
      <c r="U66" s="269"/>
    </row>
    <row r="67" spans="10:21" ht="14">
      <c r="J67" s="265"/>
      <c r="K67" s="266"/>
      <c r="L67" s="252"/>
      <c r="M67" s="252"/>
      <c r="N67" s="252"/>
      <c r="O67" s="252" t="s">
        <v>393</v>
      </c>
      <c r="P67" s="252"/>
      <c r="Q67" s="266"/>
      <c r="R67" s="266"/>
      <c r="S67" s="266"/>
      <c r="T67" s="266"/>
      <c r="U67" s="269"/>
    </row>
    <row r="68" spans="10:21" ht="14">
      <c r="J68" s="265" t="s">
        <v>159</v>
      </c>
      <c r="K68" s="252" t="s">
        <v>377</v>
      </c>
      <c r="L68" s="252" t="s">
        <v>378</v>
      </c>
      <c r="M68" s="252" t="s">
        <v>379</v>
      </c>
      <c r="N68" s="259" t="s">
        <v>380</v>
      </c>
      <c r="O68" s="259" t="s">
        <v>381</v>
      </c>
      <c r="P68" s="259" t="s">
        <v>382</v>
      </c>
      <c r="Q68" s="266"/>
      <c r="S68" s="266"/>
      <c r="T68" s="266"/>
      <c r="U68" s="269"/>
    </row>
    <row r="69" spans="10:21" ht="14">
      <c r="J69" s="265" t="s">
        <v>383</v>
      </c>
      <c r="K69" s="266">
        <f>K54</f>
        <v>0</v>
      </c>
      <c r="L69" s="266">
        <f t="shared" ref="L69:M69" si="12">L54</f>
        <v>56</v>
      </c>
      <c r="M69" s="266">
        <f t="shared" si="12"/>
        <v>45</v>
      </c>
      <c r="N69" s="278">
        <f>N54/$N$54</f>
        <v>1</v>
      </c>
      <c r="O69" s="278"/>
      <c r="P69" s="278"/>
      <c r="Q69" s="266"/>
      <c r="R69" s="266"/>
      <c r="S69" s="266"/>
      <c r="T69" s="266"/>
      <c r="U69" s="269"/>
    </row>
    <row r="70" spans="10:21" ht="14">
      <c r="J70" s="265" t="s">
        <v>384</v>
      </c>
      <c r="K70" s="266">
        <f t="shared" ref="K70:M73" si="13">K55</f>
        <v>6</v>
      </c>
      <c r="L70" s="266" t="s">
        <v>159</v>
      </c>
      <c r="M70" s="266">
        <f t="shared" si="13"/>
        <v>45</v>
      </c>
      <c r="N70" s="278">
        <f t="shared" ref="N70:P73" si="14">N55/$N$54</f>
        <v>1.0822231059852854</v>
      </c>
      <c r="O70" s="278">
        <f t="shared" si="14"/>
        <v>1.120003976933784</v>
      </c>
      <c r="P70" s="278">
        <f t="shared" si="14"/>
        <v>1.1577848478822828</v>
      </c>
      <c r="Q70" s="266"/>
      <c r="R70" s="266"/>
      <c r="S70" s="266"/>
      <c r="T70" s="266"/>
      <c r="U70" s="274" t="s">
        <v>394</v>
      </c>
    </row>
    <row r="71" spans="10:21" ht="14">
      <c r="J71" s="265" t="s">
        <v>385</v>
      </c>
      <c r="K71" s="266">
        <f t="shared" si="13"/>
        <v>3</v>
      </c>
      <c r="L71" s="266">
        <f t="shared" si="13"/>
        <v>50</v>
      </c>
      <c r="M71" s="266">
        <f t="shared" si="13"/>
        <v>45</v>
      </c>
      <c r="N71" s="278">
        <f t="shared" si="14"/>
        <v>1.0076555975343011</v>
      </c>
      <c r="O71" s="278">
        <f t="shared" si="14"/>
        <v>1.0454364684827997</v>
      </c>
      <c r="P71" s="278">
        <f t="shared" si="14"/>
        <v>1.0832173394312985</v>
      </c>
      <c r="Q71" s="266"/>
      <c r="R71" s="266"/>
      <c r="S71" s="266"/>
      <c r="T71" s="266"/>
      <c r="U71" s="279">
        <f>AVERAGE(N70:P73)</f>
        <v>1.0344501889043547</v>
      </c>
    </row>
    <row r="72" spans="10:21" ht="14">
      <c r="J72" s="265" t="s">
        <v>287</v>
      </c>
      <c r="K72" s="266">
        <f t="shared" si="13"/>
        <v>3</v>
      </c>
      <c r="L72" s="266">
        <f t="shared" si="13"/>
        <v>50</v>
      </c>
      <c r="M72" s="266">
        <f t="shared" si="13"/>
        <v>46</v>
      </c>
      <c r="N72" s="278">
        <f t="shared" si="14"/>
        <v>0.96271624577450787</v>
      </c>
      <c r="O72" s="278">
        <f t="shared" si="14"/>
        <v>1.0014913501690195</v>
      </c>
      <c r="P72" s="278">
        <f t="shared" si="14"/>
        <v>1.0402664545635314</v>
      </c>
      <c r="Q72" s="266"/>
      <c r="R72" s="266"/>
      <c r="S72" s="266"/>
      <c r="T72" s="266"/>
      <c r="U72" s="280" t="s">
        <v>414</v>
      </c>
    </row>
    <row r="73" spans="10:21" ht="14">
      <c r="J73" s="265" t="s">
        <v>269</v>
      </c>
      <c r="K73" s="266">
        <f t="shared" si="13"/>
        <v>0</v>
      </c>
      <c r="L73" s="266">
        <f t="shared" si="13"/>
        <v>50</v>
      </c>
      <c r="M73" s="266">
        <f t="shared" si="13"/>
        <v>45</v>
      </c>
      <c r="N73" s="278">
        <f t="shared" si="14"/>
        <v>0.93308808908331675</v>
      </c>
      <c r="O73" s="278">
        <f t="shared" si="14"/>
        <v>0.97086896003181533</v>
      </c>
      <c r="P73" s="278">
        <f t="shared" si="14"/>
        <v>1.0086498309803142</v>
      </c>
      <c r="Q73" s="266"/>
      <c r="R73" s="266"/>
      <c r="S73" s="266"/>
      <c r="T73" s="266"/>
      <c r="U73" t="s">
        <v>415</v>
      </c>
    </row>
    <row r="74" spans="10:21">
      <c r="J74" s="265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9" t="s">
        <v>416</v>
      </c>
    </row>
    <row r="75" spans="10:21">
      <c r="J75" s="265" t="s">
        <v>395</v>
      </c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9" t="s">
        <v>344</v>
      </c>
    </row>
    <row r="76" spans="10:21">
      <c r="J76" s="265" t="s">
        <v>396</v>
      </c>
      <c r="K76" s="266"/>
      <c r="L76" s="266"/>
      <c r="M76" s="266"/>
      <c r="N76" s="266"/>
      <c r="O76" s="266"/>
      <c r="P76" s="266"/>
      <c r="Q76" s="266"/>
      <c r="R76" s="266"/>
      <c r="S76" s="266"/>
      <c r="T76" s="266"/>
      <c r="U76" s="269"/>
    </row>
    <row r="77" spans="10:21">
      <c r="J77" s="281" t="s">
        <v>397</v>
      </c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82"/>
    </row>
  </sheetData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 enableFormatConditionsCalculation="0"/>
  <dimension ref="A1:AG323"/>
  <sheetViews>
    <sheetView workbookViewId="0">
      <selection activeCell="C19" sqref="C19"/>
    </sheetView>
  </sheetViews>
  <sheetFormatPr baseColWidth="10" defaultColWidth="11.5" defaultRowHeight="12" x14ac:dyDescent="0"/>
  <cols>
    <col min="1" max="1" width="27.33203125" customWidth="1"/>
    <col min="2" max="2" width="15.1640625" style="19" customWidth="1"/>
    <col min="3" max="3" width="9.1640625" customWidth="1"/>
    <col min="4" max="4" width="11" customWidth="1"/>
    <col min="8" max="8" width="12.5" customWidth="1"/>
    <col min="12" max="12" width="4" customWidth="1"/>
    <col min="21" max="21" width="2.33203125" customWidth="1"/>
  </cols>
  <sheetData>
    <row r="1" spans="1:17">
      <c r="A1" t="s">
        <v>205</v>
      </c>
    </row>
    <row r="2" spans="1:17">
      <c r="A2" s="65" t="s">
        <v>22</v>
      </c>
      <c r="B2" s="65"/>
      <c r="C2" s="65"/>
      <c r="D2" s="65"/>
      <c r="E2" s="65"/>
      <c r="G2" s="306" t="s">
        <v>72</v>
      </c>
      <c r="H2" s="307"/>
      <c r="I2" s="307"/>
      <c r="J2" s="308"/>
    </row>
    <row r="3" spans="1:17" ht="14">
      <c r="A3" s="65" t="s">
        <v>101</v>
      </c>
      <c r="B3" s="66"/>
      <c r="C3" s="65"/>
      <c r="D3" s="65"/>
      <c r="E3" s="65"/>
      <c r="G3" s="61" t="s">
        <v>68</v>
      </c>
      <c r="H3" s="303" t="s">
        <v>100</v>
      </c>
      <c r="I3" s="304"/>
      <c r="J3" s="305"/>
      <c r="Q3" s="4"/>
    </row>
    <row r="4" spans="1:17" ht="14">
      <c r="A4" t="s">
        <v>107</v>
      </c>
      <c r="C4" s="15" t="s">
        <v>106</v>
      </c>
      <c r="E4" s="65"/>
      <c r="G4" s="67" t="s">
        <v>69</v>
      </c>
      <c r="H4" s="71" t="s">
        <v>99</v>
      </c>
      <c r="I4" s="72"/>
      <c r="J4" s="73"/>
      <c r="Q4" s="4"/>
    </row>
    <row r="5" spans="1:17" ht="14">
      <c r="A5" s="19"/>
      <c r="B5" s="76" t="s">
        <v>23</v>
      </c>
      <c r="C5" t="s">
        <v>24</v>
      </c>
      <c r="D5" t="s">
        <v>211</v>
      </c>
      <c r="G5" s="68" t="s">
        <v>70</v>
      </c>
      <c r="H5" s="71" t="s">
        <v>98</v>
      </c>
      <c r="I5" s="72"/>
      <c r="J5" s="73"/>
      <c r="Q5" s="4"/>
    </row>
    <row r="6" spans="1:17" ht="14">
      <c r="A6" s="117" t="s">
        <v>138</v>
      </c>
      <c r="B6" s="118">
        <v>121.4</v>
      </c>
      <c r="C6" s="117">
        <v>84.4</v>
      </c>
      <c r="G6" s="69" t="s">
        <v>71</v>
      </c>
      <c r="H6" s="71" t="s">
        <v>97</v>
      </c>
      <c r="I6" s="72"/>
      <c r="J6" s="73"/>
      <c r="Q6" s="4"/>
    </row>
    <row r="7" spans="1:17" ht="14">
      <c r="A7" s="116" t="s">
        <v>140</v>
      </c>
      <c r="B7" s="76"/>
      <c r="G7" s="70" t="s">
        <v>103</v>
      </c>
      <c r="H7" s="303" t="s">
        <v>96</v>
      </c>
      <c r="I7" s="304"/>
      <c r="J7" s="305"/>
      <c r="Q7" s="4"/>
    </row>
    <row r="8" spans="1:17" ht="14">
      <c r="A8" s="116" t="s">
        <v>6</v>
      </c>
      <c r="B8" s="27">
        <v>168.03</v>
      </c>
      <c r="C8" s="27">
        <v>110.94</v>
      </c>
      <c r="D8" s="160">
        <v>39.64</v>
      </c>
      <c r="Q8" s="4"/>
    </row>
    <row r="9" spans="1:17" ht="14">
      <c r="A9" s="116" t="s">
        <v>7</v>
      </c>
      <c r="B9" s="27">
        <v>0.02</v>
      </c>
      <c r="C9" s="27">
        <v>0.04</v>
      </c>
      <c r="D9" s="160">
        <v>0.04</v>
      </c>
      <c r="Q9" s="4"/>
    </row>
    <row r="10" spans="1:17" ht="14">
      <c r="A10" s="116" t="s">
        <v>8</v>
      </c>
      <c r="B10" s="27">
        <v>120.14</v>
      </c>
      <c r="C10" s="48">
        <v>77.91</v>
      </c>
      <c r="D10" s="160">
        <v>27.97</v>
      </c>
      <c r="Q10" s="4"/>
    </row>
    <row r="11" spans="1:17" s="40" customFormat="1" ht="14">
      <c r="A11" s="64" t="s">
        <v>132</v>
      </c>
      <c r="B11" s="27">
        <v>1374</v>
      </c>
      <c r="C11" s="48">
        <v>351</v>
      </c>
      <c r="D11" s="161">
        <v>241</v>
      </c>
      <c r="Q11" s="59"/>
    </row>
    <row r="12" spans="1:17" s="40" customFormat="1">
      <c r="A12" s="38" t="s">
        <v>234</v>
      </c>
      <c r="B12" s="74" t="s">
        <v>108</v>
      </c>
      <c r="C12" s="40" t="s">
        <v>109</v>
      </c>
      <c r="D12" s="36" t="s">
        <v>94</v>
      </c>
      <c r="E12" s="74" t="s">
        <v>134</v>
      </c>
      <c r="Q12" s="59"/>
    </row>
    <row r="13" spans="1:17" s="40" customFormat="1" ht="14">
      <c r="A13" s="24" t="s">
        <v>160</v>
      </c>
      <c r="B13" s="74">
        <v>0.72</v>
      </c>
      <c r="C13" s="77">
        <v>0.28000000000000003</v>
      </c>
      <c r="D13" s="36"/>
      <c r="E13" s="167" t="s">
        <v>161</v>
      </c>
      <c r="F13" s="168"/>
      <c r="G13" s="168"/>
      <c r="H13" s="168"/>
      <c r="I13" s="168"/>
      <c r="J13" s="168"/>
      <c r="K13" s="168"/>
      <c r="Q13" s="59"/>
    </row>
    <row r="14" spans="1:17" s="40" customFormat="1" ht="14">
      <c r="A14" s="36" t="s">
        <v>92</v>
      </c>
      <c r="B14" s="50">
        <v>0.75</v>
      </c>
      <c r="C14" s="77">
        <v>0</v>
      </c>
      <c r="D14" s="50">
        <v>0.25</v>
      </c>
      <c r="E14" s="169" t="s">
        <v>110</v>
      </c>
      <c r="F14" s="168"/>
      <c r="G14" s="168"/>
      <c r="H14" s="168"/>
      <c r="I14" s="168"/>
      <c r="J14" s="168"/>
      <c r="K14" s="168"/>
      <c r="Q14" s="59"/>
    </row>
    <row r="15" spans="1:17" s="40" customFormat="1" ht="14">
      <c r="A15" s="36" t="s">
        <v>93</v>
      </c>
      <c r="B15" s="50">
        <v>0.24</v>
      </c>
      <c r="C15" s="61">
        <v>0.75</v>
      </c>
      <c r="D15" s="40">
        <v>0.01</v>
      </c>
      <c r="E15" s="169" t="s">
        <v>235</v>
      </c>
      <c r="F15" s="168"/>
      <c r="G15" s="168"/>
      <c r="H15" s="168"/>
      <c r="I15" s="168"/>
      <c r="J15" s="168"/>
      <c r="K15" s="168"/>
      <c r="Q15" s="59"/>
    </row>
    <row r="16" spans="1:17" s="40" customFormat="1" ht="14">
      <c r="A16" s="120" t="s">
        <v>183</v>
      </c>
      <c r="B16" s="60"/>
      <c r="C16" s="30">
        <v>0.56999999999999995</v>
      </c>
      <c r="D16" s="30">
        <v>0.43</v>
      </c>
      <c r="E16" s="170" t="s">
        <v>156</v>
      </c>
      <c r="F16" s="168"/>
      <c r="G16" s="168"/>
      <c r="H16" s="168"/>
      <c r="I16" s="168"/>
      <c r="J16" s="168"/>
      <c r="K16" s="168"/>
      <c r="Q16" s="59"/>
    </row>
    <row r="17" spans="1:19" ht="14">
      <c r="A17" s="314" t="s">
        <v>90</v>
      </c>
      <c r="B17" s="316"/>
      <c r="C17" s="30"/>
      <c r="D17" s="30"/>
      <c r="E17" s="28"/>
      <c r="F17" s="28"/>
      <c r="G17" s="28"/>
      <c r="Q17" s="4"/>
    </row>
    <row r="18" spans="1:19" ht="37">
      <c r="A18" s="57" t="s">
        <v>218</v>
      </c>
      <c r="B18" s="57" t="s">
        <v>217</v>
      </c>
      <c r="C18" s="103" t="s">
        <v>216</v>
      </c>
      <c r="D18" s="163"/>
      <c r="E18" s="162"/>
      <c r="Q18" s="4"/>
    </row>
    <row r="19" spans="1:19" ht="14">
      <c r="A19" s="173" t="s">
        <v>242</v>
      </c>
      <c r="B19" s="181">
        <f>SUM(C78:C198)</f>
        <v>7008.9526996531886</v>
      </c>
      <c r="C19" s="176">
        <f>B19/120</f>
        <v>58.407939163776568</v>
      </c>
      <c r="D19" s="163"/>
      <c r="E19" s="162"/>
      <c r="Q19" s="4"/>
    </row>
    <row r="20" spans="1:19" ht="14">
      <c r="A20" s="24" t="s">
        <v>58</v>
      </c>
      <c r="B20" s="75">
        <f>SUM(C78:C238)</f>
        <v>12562.876994020155</v>
      </c>
      <c r="C20" s="56">
        <f>B20/160</f>
        <v>78.517981212625969</v>
      </c>
      <c r="D20" s="3"/>
      <c r="E20" s="162"/>
      <c r="Q20" s="4"/>
    </row>
    <row r="21" spans="1:19" ht="14">
      <c r="A21" s="24" t="s">
        <v>59</v>
      </c>
      <c r="B21" s="75">
        <f>SUM(C78:C318)</f>
        <v>25212.989255306493</v>
      </c>
      <c r="C21" s="56">
        <f>B21/240</f>
        <v>105.05412189711039</v>
      </c>
      <c r="D21" s="30"/>
      <c r="Q21" s="4"/>
    </row>
    <row r="22" spans="1:19">
      <c r="B22"/>
      <c r="Q22" s="4"/>
    </row>
    <row r="23" spans="1:19" s="1" customFormat="1" ht="24">
      <c r="A23" s="103" t="s">
        <v>120</v>
      </c>
      <c r="B23" s="103" t="s">
        <v>73</v>
      </c>
      <c r="C23" s="103" t="s">
        <v>67</v>
      </c>
      <c r="D23" s="103" t="s">
        <v>91</v>
      </c>
      <c r="E23" s="1" t="s">
        <v>243</v>
      </c>
      <c r="Q23" s="104"/>
    </row>
    <row r="24" spans="1:19" s="1" customFormat="1" ht="24">
      <c r="A24" s="174" t="s">
        <v>241</v>
      </c>
      <c r="B24" s="179">
        <f>SUM(C78:C158)+(SUM(Y78:AF198))</f>
        <v>7694.3796956584574</v>
      </c>
      <c r="C24" s="176">
        <f>B24/120</f>
        <v>64.11983079715381</v>
      </c>
      <c r="D24" s="177">
        <f>C24/C19</f>
        <v>1.0977930691470046</v>
      </c>
      <c r="E24" s="182">
        <f>(D24-D25)/D$25</f>
        <v>-7.0760637031992202E-2</v>
      </c>
      <c r="Q24" s="104"/>
    </row>
    <row r="25" spans="1:19" ht="14">
      <c r="A25" s="24" t="s">
        <v>111</v>
      </c>
      <c r="B25" s="75">
        <f>SUM(C78:C158)+SUM(Y78:AF238)</f>
        <v>14841.643436769153</v>
      </c>
      <c r="C25" s="56">
        <f>B25/160</f>
        <v>92.760271479807201</v>
      </c>
      <c r="D25" s="69">
        <f>B25/B20</f>
        <v>1.1813889003158811</v>
      </c>
      <c r="E25" s="22"/>
      <c r="Q25" s="4"/>
    </row>
    <row r="26" spans="1:19" ht="14">
      <c r="A26" s="24" t="s">
        <v>112</v>
      </c>
      <c r="B26" s="75">
        <f>SUM(X78:X158)+(SUM(Y78:AF318))</f>
        <v>34766.733835652158</v>
      </c>
      <c r="C26" s="56">
        <f>B26/240</f>
        <v>144.861390981884</v>
      </c>
      <c r="D26" s="69">
        <f>B26/B21</f>
        <v>1.3789215345949082</v>
      </c>
      <c r="E26" s="22">
        <f>(D26-D25)/D$25</f>
        <v>0.167203733018154</v>
      </c>
      <c r="F26" s="28"/>
      <c r="G26" s="28"/>
      <c r="H26" s="31"/>
      <c r="Q26" s="4"/>
    </row>
    <row r="27" spans="1:19" s="40" customFormat="1" ht="14">
      <c r="A27" s="28"/>
      <c r="B27" s="31"/>
      <c r="C27" s="31"/>
      <c r="D27" s="58"/>
      <c r="F27" s="28"/>
      <c r="G27" s="28"/>
      <c r="H27" s="31"/>
      <c r="Q27" s="59"/>
    </row>
    <row r="28" spans="1:19" s="40" customFormat="1" ht="14">
      <c r="A28" s="63" t="s">
        <v>131</v>
      </c>
      <c r="B28" s="31"/>
      <c r="C28" s="62"/>
      <c r="G28" s="28"/>
      <c r="Q28" s="59"/>
    </row>
    <row r="29" spans="1:19" ht="48">
      <c r="A29" s="39" t="s">
        <v>89</v>
      </c>
      <c r="B29" s="39" t="s">
        <v>222</v>
      </c>
      <c r="C29" s="39" t="s">
        <v>220</v>
      </c>
      <c r="D29" s="39" t="s">
        <v>176</v>
      </c>
      <c r="E29" s="39" t="s">
        <v>127</v>
      </c>
      <c r="F29" s="39" t="s">
        <v>115</v>
      </c>
      <c r="G29" s="103" t="s">
        <v>116</v>
      </c>
      <c r="I29" s="28"/>
      <c r="S29" s="4"/>
    </row>
    <row r="30" spans="1:19">
      <c r="A30" s="39"/>
      <c r="B30" s="39"/>
      <c r="C30" s="39"/>
      <c r="D30" s="39"/>
      <c r="E30" s="39"/>
      <c r="F30" s="39"/>
      <c r="G30" s="175"/>
      <c r="I30" s="28"/>
      <c r="S30" s="4"/>
    </row>
    <row r="31" spans="1:19" ht="14">
      <c r="A31" s="74" t="s">
        <v>105</v>
      </c>
      <c r="B31" s="75">
        <f>(SUM(D78:D238))+(SUM(C78:C158))+(SUM(E78:E238))</f>
        <v>7087.9138138033904</v>
      </c>
      <c r="C31" s="75">
        <f>+(SUM(H78:H238))</f>
        <v>1792.6176505888016</v>
      </c>
      <c r="D31" s="75">
        <f>(SUM(F78:G238))+(SUM(J78:J238))</f>
        <v>3304.8318855543612</v>
      </c>
      <c r="E31" s="75">
        <f>SUM(I78:I238)</f>
        <v>881.53152694663493</v>
      </c>
      <c r="F31" s="75">
        <f>SUM(K78:K238)</f>
        <v>1774.7485598759508</v>
      </c>
      <c r="G31" s="102">
        <f>SUM(B31:F31)</f>
        <v>14841.64343676914</v>
      </c>
      <c r="I31" s="28"/>
      <c r="J31" s="31"/>
      <c r="S31" s="4"/>
    </row>
    <row r="32" spans="1:19" ht="14">
      <c r="A32" s="74" t="s">
        <v>104</v>
      </c>
      <c r="B32" s="75">
        <f>(SUM(Y78:Y318))+(SUM(X78:X158))+(SUM(Z78:Z318))</f>
        <v>11445.443565458843</v>
      </c>
      <c r="C32" s="75">
        <f>+(SUM(AC78:AC318))</f>
        <v>4346.2400843893329</v>
      </c>
      <c r="D32" s="101">
        <f>+SUM(AA78:AA318)+(SUM(AB78:AB318))+(SUM(AE78:AE318))</f>
        <v>10725.923772282955</v>
      </c>
      <c r="E32" s="101">
        <f>SUM(AD78:AD318)</f>
        <v>3581.9735518826747</v>
      </c>
      <c r="F32" s="101">
        <f>SUM(AF78:AF318)</f>
        <v>4667.1528616383139</v>
      </c>
      <c r="G32" s="102">
        <f>SUM(B32:F32)</f>
        <v>34766.733835652114</v>
      </c>
      <c r="I32" s="28"/>
      <c r="J32" s="31"/>
      <c r="S32" s="4"/>
    </row>
    <row r="33" spans="1:32" ht="14">
      <c r="A33" s="28"/>
      <c r="B33" s="29"/>
      <c r="C33" s="29"/>
      <c r="D33" s="30"/>
      <c r="E33" s="30"/>
      <c r="F33" s="30"/>
      <c r="G33" s="114"/>
      <c r="H33" s="28"/>
      <c r="I33" s="28"/>
      <c r="J33" s="31"/>
    </row>
    <row r="34" spans="1:32" ht="49">
      <c r="A34" s="39" t="s">
        <v>89</v>
      </c>
      <c r="B34" s="39" t="s">
        <v>114</v>
      </c>
      <c r="C34" s="39" t="s">
        <v>220</v>
      </c>
      <c r="D34" s="39" t="s">
        <v>176</v>
      </c>
      <c r="E34" s="39" t="s">
        <v>127</v>
      </c>
      <c r="F34" s="39" t="s">
        <v>115</v>
      </c>
      <c r="G34" s="103" t="s">
        <v>116</v>
      </c>
      <c r="H34" s="28"/>
      <c r="I34" s="28"/>
      <c r="J34" s="31"/>
    </row>
    <row r="35" spans="1:32" ht="14">
      <c r="A35" s="39"/>
      <c r="B35" s="180"/>
      <c r="C35" s="180"/>
      <c r="D35" s="180"/>
      <c r="E35" s="180"/>
      <c r="F35" s="180"/>
      <c r="G35" s="175"/>
      <c r="H35" s="28"/>
      <c r="I35" s="28"/>
      <c r="J35" s="31"/>
    </row>
    <row r="36" spans="1:32">
      <c r="A36" s="74" t="s">
        <v>105</v>
      </c>
      <c r="B36" s="105">
        <f t="shared" ref="B36:G37" si="0">B31/$G31</f>
        <v>0.47756933684605146</v>
      </c>
      <c r="C36" s="105">
        <f t="shared" si="0"/>
        <v>0.12078296168655528</v>
      </c>
      <c r="D36" s="105">
        <f t="shared" si="0"/>
        <v>0.22267290678651327</v>
      </c>
      <c r="E36" s="105">
        <f t="shared" si="0"/>
        <v>5.9395816285594212E-2</v>
      </c>
      <c r="F36" s="105">
        <f t="shared" si="0"/>
        <v>0.11957897839528571</v>
      </c>
      <c r="G36" s="105">
        <f t="shared" si="0"/>
        <v>1</v>
      </c>
      <c r="H36" s="28"/>
      <c r="I36" s="28"/>
      <c r="J36" s="28"/>
    </row>
    <row r="37" spans="1:32">
      <c r="A37" s="74" t="s">
        <v>104</v>
      </c>
      <c r="B37" s="105">
        <f t="shared" si="0"/>
        <v>0.32920675320158854</v>
      </c>
      <c r="C37" s="105">
        <f t="shared" si="0"/>
        <v>0.12501145793374499</v>
      </c>
      <c r="D37" s="105">
        <f t="shared" si="0"/>
        <v>0.30851111361182515</v>
      </c>
      <c r="E37" s="105">
        <f t="shared" si="0"/>
        <v>0.1030287621729218</v>
      </c>
      <c r="F37" s="105">
        <f t="shared" si="0"/>
        <v>0.1342419130799197</v>
      </c>
      <c r="G37" s="105">
        <f t="shared" si="0"/>
        <v>1</v>
      </c>
    </row>
    <row r="38" spans="1:32">
      <c r="N38" s="2"/>
    </row>
    <row r="39" spans="1:32">
      <c r="N39" s="22"/>
      <c r="O39" s="22"/>
    </row>
    <row r="40" spans="1:32">
      <c r="A40" t="s">
        <v>203</v>
      </c>
      <c r="N40" s="22"/>
      <c r="O40" s="22"/>
    </row>
    <row r="41" spans="1:32" ht="14">
      <c r="A41" t="s">
        <v>129</v>
      </c>
      <c r="C41" s="3"/>
      <c r="D41" s="107">
        <f>D14</f>
        <v>0.25</v>
      </c>
      <c r="F41" s="107">
        <f>B14</f>
        <v>0.75</v>
      </c>
      <c r="H41" s="3"/>
      <c r="J41" s="2"/>
      <c r="M41" s="109">
        <f>D14</f>
        <v>0.25</v>
      </c>
      <c r="O41" s="109">
        <f>B14</f>
        <v>0.75</v>
      </c>
      <c r="Y41" s="109">
        <f>D14</f>
        <v>0.25</v>
      </c>
      <c r="AA41" s="109">
        <f>B14</f>
        <v>0.75</v>
      </c>
    </row>
    <row r="42" spans="1:32" ht="14">
      <c r="A42" t="s">
        <v>130</v>
      </c>
      <c r="C42" s="3"/>
      <c r="G42" s="108">
        <f>B15</f>
        <v>0.24</v>
      </c>
      <c r="H42" s="108">
        <f>C15</f>
        <v>0.75</v>
      </c>
      <c r="J42" s="2"/>
      <c r="K42" s="2"/>
      <c r="L42" s="4"/>
      <c r="O42" s="110"/>
      <c r="P42" s="108">
        <f>B15</f>
        <v>0.24</v>
      </c>
      <c r="Q42" s="109">
        <f>C15</f>
        <v>0.75</v>
      </c>
      <c r="AA42" s="110"/>
      <c r="AB42" s="108">
        <f>B15</f>
        <v>0.24</v>
      </c>
      <c r="AC42" s="109">
        <f>C15</f>
        <v>0.75</v>
      </c>
    </row>
    <row r="43" spans="1:32" ht="14">
      <c r="A43" t="s">
        <v>153</v>
      </c>
      <c r="C43" s="3"/>
      <c r="G43" s="108"/>
      <c r="H43" s="108"/>
      <c r="J43" s="2"/>
      <c r="K43" s="119">
        <f>C16</f>
        <v>0.56999999999999995</v>
      </c>
      <c r="L43" s="4"/>
      <c r="O43" s="110"/>
      <c r="P43" s="108"/>
      <c r="Q43" s="109"/>
      <c r="T43" s="119">
        <f>C16</f>
        <v>0.56999999999999995</v>
      </c>
      <c r="AA43" s="110"/>
      <c r="AB43" s="108"/>
      <c r="AC43" s="109"/>
      <c r="AF43" s="119">
        <f>C16</f>
        <v>0.56999999999999995</v>
      </c>
    </row>
    <row r="44" spans="1:32" ht="14">
      <c r="C44" s="3"/>
      <c r="G44" s="108"/>
      <c r="H44" s="108"/>
      <c r="J44" s="2"/>
      <c r="K44" s="119"/>
      <c r="L44" s="4"/>
      <c r="O44" s="110"/>
      <c r="P44" s="108"/>
      <c r="Q44" s="109"/>
      <c r="T44" s="119"/>
      <c r="AA44" s="110"/>
      <c r="AB44" s="108"/>
      <c r="AC44" s="109"/>
      <c r="AF44" s="119"/>
    </row>
    <row r="45" spans="1:32" ht="14">
      <c r="C45" s="3"/>
      <c r="G45" s="108"/>
      <c r="H45" s="108"/>
      <c r="J45" s="2"/>
      <c r="K45" s="119"/>
      <c r="L45" s="4"/>
      <c r="O45" s="110"/>
      <c r="P45" s="108"/>
      <c r="Q45" s="109"/>
      <c r="T45" s="119"/>
      <c r="AA45" s="110"/>
      <c r="AB45" s="108"/>
      <c r="AC45" s="109"/>
      <c r="AF45" s="119"/>
    </row>
    <row r="46" spans="1:32" ht="14">
      <c r="C46" s="3"/>
      <c r="G46" s="108"/>
      <c r="H46" s="108"/>
      <c r="J46" s="2"/>
      <c r="K46" s="119"/>
      <c r="L46" s="4"/>
      <c r="O46" s="110"/>
      <c r="P46" s="108"/>
      <c r="Q46" s="109"/>
      <c r="T46" s="119"/>
      <c r="AA46" s="110"/>
      <c r="AB46" s="108"/>
      <c r="AC46" s="109"/>
      <c r="AF46" s="119"/>
    </row>
    <row r="47" spans="1:32" ht="14">
      <c r="C47" s="3"/>
      <c r="G47" s="108"/>
      <c r="H47" s="108"/>
      <c r="J47" s="2"/>
      <c r="K47" s="119"/>
      <c r="L47" s="4"/>
      <c r="O47" s="110"/>
      <c r="P47" s="108"/>
      <c r="Q47" s="109"/>
      <c r="T47" s="119"/>
      <c r="AA47" s="110"/>
      <c r="AB47" s="108"/>
      <c r="AC47" s="109"/>
      <c r="AF47" s="119"/>
    </row>
    <row r="48" spans="1:32" ht="14">
      <c r="C48" s="3"/>
      <c r="G48" s="108"/>
      <c r="H48" s="108"/>
      <c r="J48" s="2"/>
      <c r="K48" s="119"/>
      <c r="L48" s="4"/>
      <c r="O48" s="110"/>
      <c r="P48" s="108"/>
      <c r="Q48" s="109"/>
      <c r="T48" s="119"/>
      <c r="AA48" s="110"/>
      <c r="AB48" s="108"/>
      <c r="AC48" s="109"/>
      <c r="AF48" s="119"/>
    </row>
    <row r="49" spans="3:32" ht="14">
      <c r="C49" s="3"/>
      <c r="G49" s="108"/>
      <c r="H49" s="108"/>
      <c r="J49" s="2"/>
      <c r="K49" s="119"/>
      <c r="L49" s="4"/>
      <c r="O49" s="110"/>
      <c r="P49" s="108"/>
      <c r="Q49" s="109"/>
      <c r="T49" s="119"/>
      <c r="AA49" s="110"/>
      <c r="AB49" s="108"/>
      <c r="AC49" s="109"/>
      <c r="AF49" s="119"/>
    </row>
    <row r="50" spans="3:32" ht="14">
      <c r="C50" s="3"/>
      <c r="G50" s="108"/>
      <c r="H50" s="108"/>
      <c r="J50" s="2"/>
      <c r="K50" s="119"/>
      <c r="L50" s="4"/>
      <c r="O50" s="110"/>
      <c r="P50" s="108"/>
      <c r="Q50" s="109"/>
      <c r="T50" s="119"/>
      <c r="AA50" s="110"/>
      <c r="AB50" s="108"/>
      <c r="AC50" s="109"/>
      <c r="AF50" s="119"/>
    </row>
    <row r="51" spans="3:32" ht="14">
      <c r="C51" s="3"/>
      <c r="G51" s="108"/>
      <c r="H51" s="108"/>
      <c r="J51" s="2"/>
      <c r="K51" s="119"/>
      <c r="L51" s="4"/>
      <c r="O51" s="110"/>
      <c r="P51" s="108"/>
      <c r="Q51" s="109"/>
      <c r="T51" s="119"/>
      <c r="AA51" s="110"/>
      <c r="AB51" s="108"/>
      <c r="AC51" s="109"/>
      <c r="AF51" s="119"/>
    </row>
    <row r="52" spans="3:32" ht="14">
      <c r="C52" s="3"/>
      <c r="G52" s="108"/>
      <c r="H52" s="108"/>
      <c r="J52" s="2"/>
      <c r="K52" s="119"/>
      <c r="L52" s="4"/>
      <c r="O52" s="110"/>
      <c r="P52" s="108"/>
      <c r="Q52" s="109"/>
      <c r="T52" s="119"/>
      <c r="AA52" s="110"/>
      <c r="AB52" s="108"/>
      <c r="AC52" s="109"/>
      <c r="AF52" s="119"/>
    </row>
    <row r="53" spans="3:32" ht="14">
      <c r="C53" s="3"/>
      <c r="G53" s="108"/>
      <c r="H53" s="108"/>
      <c r="J53" s="2"/>
      <c r="K53" s="119"/>
      <c r="L53" s="4"/>
      <c r="O53" s="110"/>
      <c r="P53" s="108"/>
      <c r="Q53" s="109"/>
      <c r="T53" s="119"/>
      <c r="AA53" s="110"/>
      <c r="AB53" s="108"/>
      <c r="AC53" s="109"/>
      <c r="AF53" s="119"/>
    </row>
    <row r="54" spans="3:32" ht="14">
      <c r="C54" s="3"/>
      <c r="G54" s="108"/>
      <c r="H54" s="108"/>
      <c r="J54" s="2"/>
      <c r="K54" s="119"/>
      <c r="L54" s="4"/>
      <c r="O54" s="110"/>
      <c r="P54" s="108"/>
      <c r="Q54" s="109"/>
      <c r="T54" s="119"/>
      <c r="AA54" s="110"/>
      <c r="AB54" s="108"/>
      <c r="AC54" s="109"/>
      <c r="AF54" s="119"/>
    </row>
    <row r="55" spans="3:32" ht="14">
      <c r="C55" s="3"/>
      <c r="G55" s="108"/>
      <c r="H55" s="108"/>
      <c r="J55" s="2"/>
      <c r="K55" s="119"/>
      <c r="L55" s="4"/>
      <c r="O55" s="110"/>
      <c r="P55" s="108"/>
      <c r="Q55" s="109"/>
      <c r="T55" s="119"/>
      <c r="AA55" s="110"/>
      <c r="AB55" s="108"/>
      <c r="AC55" s="109"/>
      <c r="AF55" s="119"/>
    </row>
    <row r="56" spans="3:32" ht="14">
      <c r="C56" s="3"/>
      <c r="G56" s="108"/>
      <c r="H56" s="108"/>
      <c r="J56" s="2"/>
      <c r="K56" s="119"/>
      <c r="L56" s="4"/>
      <c r="O56" s="110"/>
      <c r="P56" s="108"/>
      <c r="Q56" s="109"/>
      <c r="T56" s="119"/>
      <c r="AA56" s="110"/>
      <c r="AB56" s="108"/>
      <c r="AC56" s="109"/>
      <c r="AF56" s="119"/>
    </row>
    <row r="57" spans="3:32" ht="14">
      <c r="C57" s="3"/>
      <c r="G57" s="108"/>
      <c r="H57" s="108"/>
      <c r="J57" s="2"/>
      <c r="K57" s="119"/>
      <c r="L57" s="4"/>
      <c r="O57" s="110"/>
      <c r="P57" s="108"/>
      <c r="Q57" s="109"/>
      <c r="T57" s="119"/>
      <c r="AA57" s="110"/>
      <c r="AB57" s="108"/>
      <c r="AC57" s="109"/>
      <c r="AF57" s="119"/>
    </row>
    <row r="58" spans="3:32" ht="14">
      <c r="C58" s="3"/>
      <c r="G58" s="108"/>
      <c r="H58" s="108"/>
      <c r="J58" s="2"/>
      <c r="K58" s="119"/>
      <c r="L58" s="4"/>
      <c r="O58" s="110"/>
      <c r="P58" s="108"/>
      <c r="Q58" s="109"/>
      <c r="T58" s="119"/>
      <c r="AA58" s="110"/>
      <c r="AB58" s="108"/>
      <c r="AC58" s="109"/>
      <c r="AF58" s="119"/>
    </row>
    <row r="59" spans="3:32" ht="14">
      <c r="C59" s="3"/>
      <c r="G59" s="108"/>
      <c r="H59" s="108"/>
      <c r="J59" s="2"/>
      <c r="K59" s="119"/>
      <c r="L59" s="4"/>
      <c r="O59" s="110"/>
      <c r="P59" s="108"/>
      <c r="Q59" s="109"/>
      <c r="T59" s="119"/>
      <c r="AA59" s="110"/>
      <c r="AB59" s="108"/>
      <c r="AC59" s="109"/>
      <c r="AF59" s="119"/>
    </row>
    <row r="60" spans="3:32" ht="14">
      <c r="C60" s="3"/>
      <c r="G60" s="108"/>
      <c r="H60" s="108"/>
      <c r="J60" s="2"/>
      <c r="K60" s="119"/>
      <c r="L60" s="4"/>
      <c r="O60" s="110"/>
      <c r="P60" s="108"/>
      <c r="Q60" s="109"/>
      <c r="T60" s="119"/>
      <c r="AA60" s="110"/>
      <c r="AB60" s="108"/>
      <c r="AC60" s="109"/>
      <c r="AF60" s="119"/>
    </row>
    <row r="61" spans="3:32" ht="14">
      <c r="C61" s="3"/>
      <c r="G61" s="108"/>
      <c r="H61" s="108"/>
      <c r="J61" s="2"/>
      <c r="K61" s="119"/>
      <c r="L61" s="4"/>
      <c r="O61" s="110"/>
      <c r="P61" s="108"/>
      <c r="Q61" s="109"/>
      <c r="T61" s="119"/>
      <c r="AA61" s="110"/>
      <c r="AB61" s="108"/>
      <c r="AC61" s="109"/>
      <c r="AF61" s="119"/>
    </row>
    <row r="62" spans="3:32" ht="14">
      <c r="C62" s="3"/>
      <c r="G62" s="108"/>
      <c r="H62" s="108"/>
      <c r="J62" s="2"/>
      <c r="K62" s="119"/>
      <c r="L62" s="4"/>
      <c r="O62" s="110"/>
      <c r="P62" s="108"/>
      <c r="Q62" s="109"/>
      <c r="T62" s="119"/>
      <c r="AA62" s="110"/>
      <c r="AB62" s="108"/>
      <c r="AC62" s="109"/>
      <c r="AF62" s="119"/>
    </row>
    <row r="63" spans="3:32" ht="14">
      <c r="C63" s="3"/>
      <c r="G63" s="108"/>
      <c r="H63" s="108"/>
      <c r="J63" s="2"/>
      <c r="K63" s="119"/>
      <c r="L63" s="4"/>
      <c r="O63" s="110"/>
      <c r="P63" s="108"/>
      <c r="Q63" s="109"/>
      <c r="T63" s="119"/>
      <c r="AA63" s="110"/>
      <c r="AB63" s="108"/>
      <c r="AC63" s="109"/>
      <c r="AF63" s="119"/>
    </row>
    <row r="64" spans="3:32" ht="14">
      <c r="C64" s="3"/>
      <c r="G64" s="108"/>
      <c r="H64" s="108"/>
      <c r="J64" s="2"/>
      <c r="K64" s="119"/>
      <c r="L64" s="4"/>
      <c r="O64" s="110"/>
      <c r="P64" s="108"/>
      <c r="Q64" s="109"/>
      <c r="T64" s="119"/>
      <c r="AA64" s="110"/>
      <c r="AB64" s="108"/>
      <c r="AC64" s="109"/>
      <c r="AF64" s="119"/>
    </row>
    <row r="65" spans="1:33" ht="14">
      <c r="C65" s="3"/>
      <c r="G65" s="108"/>
      <c r="H65" s="108"/>
      <c r="J65" s="2"/>
      <c r="K65" s="119"/>
      <c r="L65" s="4"/>
      <c r="O65" s="110"/>
      <c r="P65" s="108"/>
      <c r="Q65" s="109"/>
      <c r="T65" s="119"/>
      <c r="AA65" s="110"/>
      <c r="AB65" s="108"/>
      <c r="AC65" s="109"/>
      <c r="AF65" s="119"/>
    </row>
    <row r="66" spans="1:33" ht="14">
      <c r="C66" s="3"/>
      <c r="G66" s="108"/>
      <c r="H66" s="108"/>
      <c r="J66" s="2"/>
      <c r="K66" s="119"/>
      <c r="L66" s="4"/>
      <c r="O66" s="110"/>
      <c r="P66" s="108"/>
      <c r="Q66" s="109"/>
      <c r="T66" s="119"/>
      <c r="AA66" s="110"/>
      <c r="AB66" s="108"/>
      <c r="AC66" s="109"/>
      <c r="AF66" s="119"/>
    </row>
    <row r="67" spans="1:33" ht="14">
      <c r="C67" s="3"/>
      <c r="G67" s="108"/>
      <c r="H67" s="108"/>
      <c r="J67" s="2"/>
      <c r="K67" s="119"/>
      <c r="L67" s="4"/>
      <c r="O67" s="110"/>
      <c r="P67" s="108"/>
      <c r="Q67" s="109"/>
      <c r="T67" s="119"/>
      <c r="AA67" s="110"/>
      <c r="AB67" s="108"/>
      <c r="AC67" s="109"/>
      <c r="AF67" s="119"/>
    </row>
    <row r="68" spans="1:33" ht="14">
      <c r="C68" s="3"/>
      <c r="G68" s="108"/>
      <c r="H68" s="108"/>
      <c r="J68" s="2"/>
      <c r="K68" s="119"/>
      <c r="L68" s="4"/>
      <c r="O68" s="110"/>
      <c r="P68" s="108"/>
      <c r="Q68" s="109"/>
      <c r="T68" s="119"/>
      <c r="AA68" s="110"/>
      <c r="AB68" s="108"/>
      <c r="AC68" s="109"/>
      <c r="AF68" s="119"/>
    </row>
    <row r="69" spans="1:33" ht="14">
      <c r="C69" s="3"/>
      <c r="G69" s="108"/>
      <c r="H69" s="108"/>
      <c r="J69" s="2"/>
      <c r="K69" s="119"/>
      <c r="L69" s="4"/>
      <c r="O69" s="110"/>
      <c r="P69" s="108"/>
      <c r="Q69" s="109"/>
      <c r="T69" s="119"/>
      <c r="AA69" s="110"/>
      <c r="AB69" s="108"/>
      <c r="AC69" s="109"/>
      <c r="AF69" s="119"/>
    </row>
    <row r="70" spans="1:33" ht="14">
      <c r="C70" s="3"/>
      <c r="G70" s="108"/>
      <c r="H70" s="108"/>
      <c r="J70" s="2"/>
      <c r="K70" s="119"/>
      <c r="L70" s="4"/>
      <c r="O70" s="110"/>
      <c r="P70" s="108"/>
      <c r="Q70" s="109"/>
      <c r="T70" s="119"/>
      <c r="AA70" s="110"/>
      <c r="AB70" s="108"/>
      <c r="AC70" s="109"/>
      <c r="AF70" s="119"/>
    </row>
    <row r="71" spans="1:33" ht="14">
      <c r="C71" s="3"/>
      <c r="G71" s="108"/>
      <c r="H71" s="108"/>
      <c r="J71" s="2"/>
      <c r="K71" s="119"/>
      <c r="L71" s="4"/>
      <c r="O71" s="110"/>
      <c r="P71" s="108"/>
      <c r="Q71" s="109"/>
      <c r="T71" s="119"/>
      <c r="AA71" s="110"/>
      <c r="AB71" s="108"/>
      <c r="AC71" s="109"/>
      <c r="AF71" s="119"/>
    </row>
    <row r="72" spans="1:33" ht="14">
      <c r="C72" s="3"/>
      <c r="G72" s="108"/>
      <c r="H72" s="108"/>
      <c r="J72" s="2"/>
      <c r="K72" s="119"/>
      <c r="L72" s="4"/>
      <c r="O72" s="110"/>
      <c r="P72" s="108"/>
      <c r="Q72" s="109"/>
      <c r="T72" s="119"/>
      <c r="AA72" s="110"/>
      <c r="AB72" s="108"/>
      <c r="AC72" s="109"/>
      <c r="AF72" s="119"/>
    </row>
    <row r="73" spans="1:33" ht="14">
      <c r="C73" s="3"/>
      <c r="G73" s="108"/>
      <c r="H73" s="108"/>
      <c r="J73" s="2"/>
      <c r="K73" s="119"/>
      <c r="L73" s="4"/>
      <c r="O73" s="110"/>
      <c r="P73" s="108"/>
      <c r="Q73" s="109"/>
      <c r="T73" s="119"/>
      <c r="AA73" s="110"/>
      <c r="AB73" s="108"/>
      <c r="AC73" s="109"/>
      <c r="AF73" s="119"/>
    </row>
    <row r="74" spans="1:33" ht="14">
      <c r="C74" s="3"/>
      <c r="G74" s="108"/>
      <c r="H74" s="108"/>
      <c r="J74" s="2"/>
      <c r="K74" s="119"/>
      <c r="L74" s="4"/>
      <c r="O74" s="110"/>
      <c r="P74" s="108"/>
      <c r="Q74" s="109"/>
      <c r="T74" s="119"/>
      <c r="AA74" s="110"/>
      <c r="AB74" s="108"/>
      <c r="AC74" s="109"/>
      <c r="AF74" s="119"/>
    </row>
    <row r="75" spans="1:33" ht="14">
      <c r="C75" s="3"/>
      <c r="G75" s="108"/>
      <c r="H75" s="108"/>
      <c r="J75" s="2"/>
      <c r="K75" s="119"/>
      <c r="L75" s="4"/>
      <c r="O75" s="110"/>
      <c r="P75" s="108"/>
      <c r="Q75" s="109"/>
      <c r="T75" s="119"/>
      <c r="AA75" s="110"/>
      <c r="AB75" s="108"/>
      <c r="AC75" s="109"/>
      <c r="AF75" s="119"/>
    </row>
    <row r="76" spans="1:33" ht="14">
      <c r="C76" s="3"/>
      <c r="D76" s="111" t="s">
        <v>117</v>
      </c>
      <c r="J76" s="2"/>
      <c r="K76" s="2"/>
      <c r="L76" s="4"/>
      <c r="M76" s="111" t="s">
        <v>118</v>
      </c>
      <c r="O76" s="99"/>
      <c r="Q76" s="100"/>
      <c r="Y76" s="111" t="s">
        <v>119</v>
      </c>
    </row>
    <row r="77" spans="1:33" s="1" customFormat="1" ht="47" customHeight="1">
      <c r="A77" s="1" t="s">
        <v>62</v>
      </c>
      <c r="B77" s="20" t="s">
        <v>19</v>
      </c>
      <c r="C77" s="1" t="s">
        <v>152</v>
      </c>
      <c r="D77" s="78" t="s">
        <v>61</v>
      </c>
      <c r="E77" s="78" t="s">
        <v>43</v>
      </c>
      <c r="F77" s="78" t="s">
        <v>44</v>
      </c>
      <c r="G77" s="79" t="s">
        <v>45</v>
      </c>
      <c r="H77" s="92" t="s">
        <v>46</v>
      </c>
      <c r="I77" s="79" t="s">
        <v>48</v>
      </c>
      <c r="J77" s="78" t="s">
        <v>49</v>
      </c>
      <c r="K77" s="92" t="s">
        <v>47</v>
      </c>
      <c r="L77" s="16"/>
      <c r="M77" s="86" t="s">
        <v>61</v>
      </c>
      <c r="N77" s="86" t="s">
        <v>50</v>
      </c>
      <c r="O77" s="86" t="s">
        <v>51</v>
      </c>
      <c r="P77" s="87" t="s">
        <v>52</v>
      </c>
      <c r="Q77" s="93" t="s">
        <v>53</v>
      </c>
      <c r="R77" s="87" t="s">
        <v>55</v>
      </c>
      <c r="S77" s="86" t="s">
        <v>56</v>
      </c>
      <c r="T77" s="93" t="s">
        <v>54</v>
      </c>
      <c r="V77" s="1" t="s">
        <v>42</v>
      </c>
      <c r="W77" s="1" t="s">
        <v>219</v>
      </c>
      <c r="X77" s="112" t="s">
        <v>65</v>
      </c>
      <c r="Y77" s="94" t="s">
        <v>123</v>
      </c>
      <c r="Z77" s="94" t="s">
        <v>122</v>
      </c>
      <c r="AA77" s="94" t="s">
        <v>124</v>
      </c>
      <c r="AB77" s="95" t="s">
        <v>125</v>
      </c>
      <c r="AC77" s="96" t="s">
        <v>126</v>
      </c>
      <c r="AD77" s="95" t="s">
        <v>127</v>
      </c>
      <c r="AE77" s="94" t="s">
        <v>128</v>
      </c>
      <c r="AF77" s="96" t="s">
        <v>155</v>
      </c>
      <c r="AG77" s="1" t="s">
        <v>57</v>
      </c>
    </row>
    <row r="78" spans="1:33" ht="14">
      <c r="A78">
        <f t="shared" ref="A78:A141" si="1">A79-1</f>
        <v>-80</v>
      </c>
      <c r="B78" s="21">
        <v>0</v>
      </c>
      <c r="C78" s="26">
        <f t="shared" ref="C78:C141" si="2">B$8*(1-EXP(-B$9*$B78))^3</f>
        <v>0</v>
      </c>
      <c r="D78" s="80"/>
      <c r="E78" s="80"/>
      <c r="F78" s="80"/>
      <c r="G78" s="81"/>
      <c r="H78" s="81"/>
      <c r="I78" s="81"/>
      <c r="J78" s="81"/>
      <c r="K78" s="81"/>
      <c r="L78" s="3"/>
      <c r="M78" s="88"/>
      <c r="N78" s="88"/>
      <c r="O78" s="88"/>
      <c r="P78" s="88"/>
      <c r="Q78" s="88"/>
      <c r="R78" s="88"/>
      <c r="S78" s="88"/>
      <c r="T78" s="88"/>
      <c r="V78">
        <f t="shared" ref="V78:V141" si="3">A78</f>
        <v>-80</v>
      </c>
      <c r="X78" s="113">
        <f t="shared" ref="X78:X141" si="4">C78</f>
        <v>0</v>
      </c>
      <c r="Y78" s="97"/>
      <c r="Z78" s="97"/>
      <c r="AA78" s="97"/>
      <c r="AB78" s="97"/>
      <c r="AC78" s="97"/>
      <c r="AD78" s="97"/>
      <c r="AE78" s="97"/>
      <c r="AF78" s="97"/>
    </row>
    <row r="79" spans="1:33" ht="14">
      <c r="A79">
        <f t="shared" si="1"/>
        <v>-79</v>
      </c>
      <c r="B79" s="21">
        <v>1</v>
      </c>
      <c r="C79" s="26">
        <f t="shared" si="2"/>
        <v>1.304576931015696E-3</v>
      </c>
      <c r="D79" s="80"/>
      <c r="E79" s="80"/>
      <c r="F79" s="80"/>
      <c r="G79" s="81"/>
      <c r="H79" s="81"/>
      <c r="I79" s="81"/>
      <c r="J79" s="81"/>
      <c r="K79" s="81"/>
      <c r="L79" s="3"/>
      <c r="M79" s="88"/>
      <c r="N79" s="88"/>
      <c r="O79" s="88"/>
      <c r="P79" s="88"/>
      <c r="Q79" s="88"/>
      <c r="R79" s="88"/>
      <c r="S79" s="88"/>
      <c r="T79" s="88"/>
      <c r="V79">
        <f t="shared" si="3"/>
        <v>-79</v>
      </c>
      <c r="X79" s="113">
        <f t="shared" si="4"/>
        <v>1.304576931015696E-3</v>
      </c>
      <c r="Y79" s="97"/>
      <c r="Z79" s="97"/>
      <c r="AA79" s="97"/>
      <c r="AB79" s="97"/>
      <c r="AC79" s="97"/>
      <c r="AD79" s="97"/>
      <c r="AE79" s="97"/>
      <c r="AF79" s="97"/>
    </row>
    <row r="80" spans="1:33" ht="14">
      <c r="A80">
        <f t="shared" si="1"/>
        <v>-78</v>
      </c>
      <c r="B80" s="21">
        <v>2</v>
      </c>
      <c r="C80" s="26">
        <f t="shared" si="2"/>
        <v>1.0129686160647853E-2</v>
      </c>
      <c r="D80" s="80"/>
      <c r="E80" s="80"/>
      <c r="F80" s="80"/>
      <c r="G80" s="81"/>
      <c r="H80" s="81"/>
      <c r="I80" s="81"/>
      <c r="J80" s="81"/>
      <c r="K80" s="81"/>
      <c r="L80" s="3"/>
      <c r="M80" s="88"/>
      <c r="N80" s="88"/>
      <c r="O80" s="88"/>
      <c r="P80" s="88"/>
      <c r="Q80" s="88"/>
      <c r="R80" s="88"/>
      <c r="S80" s="88"/>
      <c r="T80" s="88"/>
      <c r="V80">
        <f t="shared" si="3"/>
        <v>-78</v>
      </c>
      <c r="X80" s="113">
        <f t="shared" si="4"/>
        <v>1.0129686160647853E-2</v>
      </c>
      <c r="Y80" s="97"/>
      <c r="Z80" s="97"/>
      <c r="AA80" s="97"/>
      <c r="AB80" s="97"/>
      <c r="AC80" s="97"/>
      <c r="AD80" s="97"/>
      <c r="AE80" s="97"/>
      <c r="AF80" s="97"/>
    </row>
    <row r="81" spans="1:32" ht="14">
      <c r="A81">
        <f t="shared" si="1"/>
        <v>-77</v>
      </c>
      <c r="B81" s="21">
        <v>3</v>
      </c>
      <c r="C81" s="26">
        <f t="shared" si="2"/>
        <v>3.3185586831962252E-2</v>
      </c>
      <c r="D81" s="80"/>
      <c r="E81" s="80"/>
      <c r="F81" s="80"/>
      <c r="G81" s="81"/>
      <c r="H81" s="81"/>
      <c r="I81" s="81"/>
      <c r="J81" s="81"/>
      <c r="K81" s="81"/>
      <c r="L81" s="3"/>
      <c r="M81" s="88"/>
      <c r="N81" s="88"/>
      <c r="O81" s="88"/>
      <c r="P81" s="88"/>
      <c r="Q81" s="88"/>
      <c r="R81" s="88"/>
      <c r="S81" s="88"/>
      <c r="T81" s="88"/>
      <c r="V81">
        <f t="shared" si="3"/>
        <v>-77</v>
      </c>
      <c r="X81" s="113">
        <f t="shared" si="4"/>
        <v>3.3185586831962252E-2</v>
      </c>
      <c r="Y81" s="97"/>
      <c r="Z81" s="97"/>
      <c r="AA81" s="97"/>
      <c r="AB81" s="97"/>
      <c r="AC81" s="97"/>
      <c r="AD81" s="97"/>
      <c r="AE81" s="97"/>
      <c r="AF81" s="97"/>
    </row>
    <row r="82" spans="1:32" ht="14">
      <c r="A82">
        <f t="shared" si="1"/>
        <v>-76</v>
      </c>
      <c r="B82" s="21">
        <v>4</v>
      </c>
      <c r="C82" s="26">
        <f t="shared" si="2"/>
        <v>7.6364034925272523E-2</v>
      </c>
      <c r="D82" s="80"/>
      <c r="E82" s="80"/>
      <c r="F82" s="80"/>
      <c r="G82" s="81"/>
      <c r="H82" s="81"/>
      <c r="I82" s="81"/>
      <c r="J82" s="81"/>
      <c r="K82" s="81"/>
      <c r="L82" s="3"/>
      <c r="M82" s="88"/>
      <c r="N82" s="88"/>
      <c r="O82" s="88"/>
      <c r="P82" s="88"/>
      <c r="Q82" s="88"/>
      <c r="R82" s="88"/>
      <c r="S82" s="88"/>
      <c r="T82" s="88"/>
      <c r="V82">
        <f t="shared" si="3"/>
        <v>-76</v>
      </c>
      <c r="X82" s="113">
        <f t="shared" si="4"/>
        <v>7.6364034925272523E-2</v>
      </c>
      <c r="Y82" s="97"/>
      <c r="Z82" s="97"/>
      <c r="AA82" s="97"/>
      <c r="AB82" s="97"/>
      <c r="AC82" s="97"/>
      <c r="AD82" s="97"/>
      <c r="AE82" s="97"/>
      <c r="AF82" s="97"/>
    </row>
    <row r="83" spans="1:32" ht="14">
      <c r="A83">
        <f t="shared" si="1"/>
        <v>-75</v>
      </c>
      <c r="B83" s="21">
        <v>5</v>
      </c>
      <c r="C83" s="26">
        <f t="shared" si="2"/>
        <v>0.14480564018396114</v>
      </c>
      <c r="D83" s="80"/>
      <c r="E83" s="80"/>
      <c r="F83" s="80"/>
      <c r="G83" s="81"/>
      <c r="H83" s="81"/>
      <c r="I83" s="81"/>
      <c r="J83" s="81"/>
      <c r="K83" s="81"/>
      <c r="L83" s="3"/>
      <c r="M83" s="88"/>
      <c r="N83" s="88"/>
      <c r="O83" s="88"/>
      <c r="P83" s="88"/>
      <c r="Q83" s="88"/>
      <c r="R83" s="88"/>
      <c r="S83" s="88"/>
      <c r="T83" s="88"/>
      <c r="V83">
        <f t="shared" si="3"/>
        <v>-75</v>
      </c>
      <c r="X83" s="113">
        <f t="shared" si="4"/>
        <v>0.14480564018396114</v>
      </c>
      <c r="Y83" s="97"/>
      <c r="Z83" s="97"/>
      <c r="AA83" s="97"/>
      <c r="AB83" s="97"/>
      <c r="AC83" s="97"/>
      <c r="AD83" s="97"/>
      <c r="AE83" s="97"/>
      <c r="AF83" s="97"/>
    </row>
    <row r="84" spans="1:32" ht="14">
      <c r="A84">
        <f t="shared" si="1"/>
        <v>-74</v>
      </c>
      <c r="B84" s="21">
        <v>6</v>
      </c>
      <c r="C84" s="26">
        <f t="shared" si="2"/>
        <v>0.24296247057162773</v>
      </c>
      <c r="D84" s="80"/>
      <c r="E84" s="80"/>
      <c r="F84" s="80"/>
      <c r="G84" s="81"/>
      <c r="H84" s="81"/>
      <c r="I84" s="81"/>
      <c r="J84" s="81"/>
      <c r="K84" s="81"/>
      <c r="L84" s="3"/>
      <c r="M84" s="88"/>
      <c r="N84" s="88"/>
      <c r="O84" s="88"/>
      <c r="P84" s="88"/>
      <c r="Q84" s="88"/>
      <c r="R84" s="88"/>
      <c r="S84" s="88"/>
      <c r="T84" s="88"/>
      <c r="V84">
        <f t="shared" si="3"/>
        <v>-74</v>
      </c>
      <c r="X84" s="113">
        <f t="shared" si="4"/>
        <v>0.24296247057162773</v>
      </c>
      <c r="Y84" s="97"/>
      <c r="Z84" s="97"/>
      <c r="AA84" s="97"/>
      <c r="AB84" s="97"/>
      <c r="AC84" s="97"/>
      <c r="AD84" s="97"/>
      <c r="AE84" s="97"/>
      <c r="AF84" s="97"/>
    </row>
    <row r="85" spans="1:32" ht="14">
      <c r="A85">
        <f t="shared" si="1"/>
        <v>-73</v>
      </c>
      <c r="B85" s="21">
        <v>7</v>
      </c>
      <c r="C85" s="26">
        <f t="shared" si="2"/>
        <v>0.3746562147086363</v>
      </c>
      <c r="D85" s="80"/>
      <c r="E85" s="80"/>
      <c r="F85" s="80"/>
      <c r="G85" s="81"/>
      <c r="H85" s="81"/>
      <c r="I85" s="81"/>
      <c r="J85" s="81"/>
      <c r="K85" s="81"/>
      <c r="L85" s="3"/>
      <c r="M85" s="88"/>
      <c r="N85" s="88"/>
      <c r="O85" s="88"/>
      <c r="P85" s="88"/>
      <c r="Q85" s="88"/>
      <c r="R85" s="88"/>
      <c r="S85" s="88"/>
      <c r="T85" s="88"/>
      <c r="V85">
        <f t="shared" si="3"/>
        <v>-73</v>
      </c>
      <c r="X85" s="113">
        <f t="shared" si="4"/>
        <v>0.3746562147086363</v>
      </c>
      <c r="Y85" s="97"/>
      <c r="Z85" s="97"/>
      <c r="AA85" s="97"/>
      <c r="AB85" s="97"/>
      <c r="AC85" s="97"/>
      <c r="AD85" s="97"/>
      <c r="AE85" s="97"/>
      <c r="AF85" s="97"/>
    </row>
    <row r="86" spans="1:32" ht="14">
      <c r="A86">
        <f t="shared" si="1"/>
        <v>-72</v>
      </c>
      <c r="B86" s="21">
        <v>8</v>
      </c>
      <c r="C86" s="26">
        <f t="shared" si="2"/>
        <v>0.54313219331353713</v>
      </c>
      <c r="D86" s="80"/>
      <c r="E86" s="80"/>
      <c r="F86" s="80"/>
      <c r="G86" s="81"/>
      <c r="H86" s="81"/>
      <c r="I86" s="81"/>
      <c r="J86" s="81"/>
      <c r="K86" s="81"/>
      <c r="L86" s="3"/>
      <c r="M86" s="88"/>
      <c r="N86" s="88"/>
      <c r="O86" s="88"/>
      <c r="P86" s="88"/>
      <c r="Q86" s="88"/>
      <c r="R86" s="88"/>
      <c r="S86" s="88"/>
      <c r="T86" s="88"/>
      <c r="V86">
        <f t="shared" si="3"/>
        <v>-72</v>
      </c>
      <c r="X86" s="113">
        <f t="shared" si="4"/>
        <v>0.54313219331353713</v>
      </c>
      <c r="Y86" s="97"/>
      <c r="Z86" s="97"/>
      <c r="AA86" s="97"/>
      <c r="AB86" s="97"/>
      <c r="AC86" s="97"/>
      <c r="AD86" s="97"/>
      <c r="AE86" s="97"/>
      <c r="AF86" s="97"/>
    </row>
    <row r="87" spans="1:32" ht="14">
      <c r="A87">
        <f t="shared" si="1"/>
        <v>-71</v>
      </c>
      <c r="B87" s="21">
        <v>9</v>
      </c>
      <c r="C87" s="26">
        <f t="shared" si="2"/>
        <v>0.7511094924364492</v>
      </c>
      <c r="D87" s="80"/>
      <c r="E87" s="80"/>
      <c r="F87" s="80"/>
      <c r="G87" s="81"/>
      <c r="H87" s="81"/>
      <c r="I87" s="81"/>
      <c r="J87" s="81"/>
      <c r="K87" s="81"/>
      <c r="L87" s="3"/>
      <c r="M87" s="88"/>
      <c r="N87" s="88"/>
      <c r="O87" s="88"/>
      <c r="P87" s="88"/>
      <c r="Q87" s="88"/>
      <c r="R87" s="88"/>
      <c r="S87" s="88"/>
      <c r="T87" s="88"/>
      <c r="V87">
        <f t="shared" si="3"/>
        <v>-71</v>
      </c>
      <c r="X87" s="113">
        <f t="shared" si="4"/>
        <v>0.7511094924364492</v>
      </c>
      <c r="Y87" s="97"/>
      <c r="Z87" s="97"/>
      <c r="AA87" s="97"/>
      <c r="AB87" s="97"/>
      <c r="AC87" s="97"/>
      <c r="AD87" s="97"/>
      <c r="AE87" s="97"/>
      <c r="AF87" s="97"/>
    </row>
    <row r="88" spans="1:32" ht="14">
      <c r="A88">
        <f t="shared" si="1"/>
        <v>-70</v>
      </c>
      <c r="B88" s="21">
        <v>10</v>
      </c>
      <c r="C88" s="26">
        <f t="shared" si="2"/>
        <v>1.000827474146279</v>
      </c>
      <c r="D88" s="80"/>
      <c r="E88" s="80"/>
      <c r="F88" s="80"/>
      <c r="G88" s="81"/>
      <c r="H88" s="81"/>
      <c r="I88" s="81"/>
      <c r="J88" s="81"/>
      <c r="K88" s="81"/>
      <c r="L88" s="3"/>
      <c r="M88" s="88"/>
      <c r="N88" s="88"/>
      <c r="O88" s="88"/>
      <c r="P88" s="88"/>
      <c r="Q88" s="88"/>
      <c r="R88" s="88"/>
      <c r="S88" s="88"/>
      <c r="T88" s="88"/>
      <c r="V88">
        <f t="shared" si="3"/>
        <v>-70</v>
      </c>
      <c r="X88" s="113">
        <f t="shared" si="4"/>
        <v>1.000827474146279</v>
      </c>
      <c r="Y88" s="97"/>
      <c r="Z88" s="97"/>
      <c r="AA88" s="97"/>
      <c r="AB88" s="97"/>
      <c r="AC88" s="97"/>
      <c r="AD88" s="97"/>
      <c r="AE88" s="97"/>
      <c r="AF88" s="97"/>
    </row>
    <row r="89" spans="1:32" ht="14">
      <c r="A89">
        <f t="shared" si="1"/>
        <v>-69</v>
      </c>
      <c r="B89" s="21">
        <v>11</v>
      </c>
      <c r="C89" s="26">
        <f t="shared" si="2"/>
        <v>1.2940889042547259</v>
      </c>
      <c r="D89" s="80"/>
      <c r="E89" s="80"/>
      <c r="F89" s="80"/>
      <c r="G89" s="81"/>
      <c r="H89" s="81"/>
      <c r="I89" s="81"/>
      <c r="J89" s="81"/>
      <c r="K89" s="81"/>
      <c r="L89" s="3"/>
      <c r="M89" s="88"/>
      <c r="N89" s="88"/>
      <c r="O89" s="88"/>
      <c r="P89" s="88"/>
      <c r="Q89" s="88"/>
      <c r="R89" s="88"/>
      <c r="S89" s="88"/>
      <c r="T89" s="88"/>
      <c r="V89">
        <f t="shared" si="3"/>
        <v>-69</v>
      </c>
      <c r="X89" s="113">
        <f t="shared" si="4"/>
        <v>1.2940889042547259</v>
      </c>
      <c r="Y89" s="97"/>
      <c r="Z89" s="97"/>
      <c r="AA89" s="97"/>
      <c r="AB89" s="97"/>
      <c r="AC89" s="97"/>
      <c r="AD89" s="97"/>
      <c r="AE89" s="97"/>
      <c r="AF89" s="97"/>
    </row>
    <row r="90" spans="1:32" ht="14">
      <c r="A90">
        <f t="shared" si="1"/>
        <v>-68</v>
      </c>
      <c r="B90" s="21">
        <v>12</v>
      </c>
      <c r="C90" s="26">
        <f t="shared" si="2"/>
        <v>1.6322999215645968</v>
      </c>
      <c r="D90" s="80"/>
      <c r="E90" s="80"/>
      <c r="F90" s="80"/>
      <c r="G90" s="81"/>
      <c r="H90" s="81"/>
      <c r="I90" s="81"/>
      <c r="J90" s="81"/>
      <c r="K90" s="81"/>
      <c r="L90" s="3"/>
      <c r="M90" s="88"/>
      <c r="N90" s="88"/>
      <c r="O90" s="88"/>
      <c r="P90" s="88"/>
      <c r="Q90" s="88"/>
      <c r="R90" s="88"/>
      <c r="S90" s="88"/>
      <c r="T90" s="88"/>
      <c r="V90">
        <f t="shared" si="3"/>
        <v>-68</v>
      </c>
      <c r="X90" s="113">
        <f t="shared" si="4"/>
        <v>1.6322999215645968</v>
      </c>
      <c r="Y90" s="97"/>
      <c r="Z90" s="97"/>
      <c r="AA90" s="97"/>
      <c r="AB90" s="97"/>
      <c r="AC90" s="97"/>
      <c r="AD90" s="97"/>
      <c r="AE90" s="97"/>
      <c r="AF90" s="97"/>
    </row>
    <row r="91" spans="1:32" ht="14">
      <c r="A91">
        <f t="shared" si="1"/>
        <v>-67</v>
      </c>
      <c r="B91" s="21">
        <v>13</v>
      </c>
      <c r="C91" s="26">
        <f t="shared" si="2"/>
        <v>2.0165070589588248</v>
      </c>
      <c r="D91" s="80"/>
      <c r="E91" s="80"/>
      <c r="F91" s="80"/>
      <c r="G91" s="81"/>
      <c r="H91" s="81"/>
      <c r="I91" s="81"/>
      <c r="J91" s="81"/>
      <c r="K91" s="81"/>
      <c r="L91" s="3"/>
      <c r="M91" s="88"/>
      <c r="N91" s="88"/>
      <c r="O91" s="88"/>
      <c r="P91" s="88"/>
      <c r="Q91" s="88"/>
      <c r="R91" s="88"/>
      <c r="S91" s="88"/>
      <c r="T91" s="88"/>
      <c r="V91">
        <f t="shared" si="3"/>
        <v>-67</v>
      </c>
      <c r="X91" s="113">
        <f t="shared" si="4"/>
        <v>2.0165070589588248</v>
      </c>
      <c r="Y91" s="97"/>
      <c r="Z91" s="97"/>
      <c r="AA91" s="97"/>
      <c r="AB91" s="97"/>
      <c r="AC91" s="97"/>
      <c r="AD91" s="97"/>
      <c r="AE91" s="97"/>
      <c r="AF91" s="97"/>
    </row>
    <row r="92" spans="1:32" ht="14">
      <c r="A92">
        <f t="shared" si="1"/>
        <v>-66</v>
      </c>
      <c r="B92" s="21">
        <v>14</v>
      </c>
      <c r="C92" s="26">
        <f t="shared" si="2"/>
        <v>2.4474315133441817</v>
      </c>
      <c r="D92" s="80"/>
      <c r="E92" s="80"/>
      <c r="F92" s="80"/>
      <c r="G92" s="81"/>
      <c r="H92" s="81"/>
      <c r="I92" s="81"/>
      <c r="J92" s="81"/>
      <c r="K92" s="81"/>
      <c r="L92" s="3"/>
      <c r="M92" s="88"/>
      <c r="N92" s="88"/>
      <c r="O92" s="88"/>
      <c r="P92" s="88"/>
      <c r="Q92" s="88"/>
      <c r="R92" s="88"/>
      <c r="S92" s="88"/>
      <c r="T92" s="88"/>
      <c r="V92">
        <f t="shared" si="3"/>
        <v>-66</v>
      </c>
      <c r="X92" s="113">
        <f t="shared" si="4"/>
        <v>2.4474315133441817</v>
      </c>
      <c r="Y92" s="97"/>
      <c r="Z92" s="97"/>
      <c r="AA92" s="97"/>
      <c r="AB92" s="97"/>
      <c r="AC92" s="97"/>
      <c r="AD92" s="97"/>
      <c r="AE92" s="97"/>
      <c r="AF92" s="97"/>
    </row>
    <row r="93" spans="1:32" ht="14">
      <c r="A93">
        <f t="shared" si="1"/>
        <v>-65</v>
      </c>
      <c r="B93" s="21">
        <v>15</v>
      </c>
      <c r="C93" s="26">
        <f t="shared" si="2"/>
        <v>2.9255008489777561</v>
      </c>
      <c r="D93" s="80"/>
      <c r="E93" s="80"/>
      <c r="F93" s="80"/>
      <c r="G93" s="81"/>
      <c r="H93" s="81"/>
      <c r="I93" s="81"/>
      <c r="J93" s="81"/>
      <c r="K93" s="81"/>
      <c r="L93" s="3"/>
      <c r="M93" s="88"/>
      <c r="N93" s="88"/>
      <c r="O93" s="88"/>
      <c r="P93" s="88"/>
      <c r="Q93" s="88"/>
      <c r="R93" s="88"/>
      <c r="S93" s="88"/>
      <c r="T93" s="88"/>
      <c r="V93">
        <f t="shared" si="3"/>
        <v>-65</v>
      </c>
      <c r="X93" s="113">
        <f t="shared" si="4"/>
        <v>2.9255008489777561</v>
      </c>
      <c r="Y93" s="97"/>
      <c r="Z93" s="97"/>
      <c r="AA93" s="97"/>
      <c r="AB93" s="97"/>
      <c r="AC93" s="97"/>
      <c r="AD93" s="97"/>
      <c r="AE93" s="97"/>
      <c r="AF93" s="97"/>
    </row>
    <row r="94" spans="1:32" ht="14">
      <c r="A94">
        <f t="shared" si="1"/>
        <v>-64</v>
      </c>
      <c r="B94" s="21">
        <v>16</v>
      </c>
      <c r="C94" s="26">
        <f t="shared" si="2"/>
        <v>3.4508783069854148</v>
      </c>
      <c r="D94" s="80"/>
      <c r="E94" s="80"/>
      <c r="F94" s="80"/>
      <c r="G94" s="81"/>
      <c r="H94" s="81"/>
      <c r="I94" s="81"/>
      <c r="J94" s="81"/>
      <c r="K94" s="81"/>
      <c r="L94" s="3"/>
      <c r="M94" s="88"/>
      <c r="N94" s="88"/>
      <c r="O94" s="88"/>
      <c r="P94" s="88"/>
      <c r="Q94" s="88"/>
      <c r="R94" s="88"/>
      <c r="S94" s="88"/>
      <c r="T94" s="88"/>
      <c r="V94">
        <f t="shared" si="3"/>
        <v>-64</v>
      </c>
      <c r="X94" s="113">
        <f t="shared" si="4"/>
        <v>3.4508783069854148</v>
      </c>
      <c r="Y94" s="97"/>
      <c r="Z94" s="97"/>
      <c r="AA94" s="97"/>
      <c r="AB94" s="97"/>
      <c r="AC94" s="97"/>
      <c r="AD94" s="97"/>
      <c r="AE94" s="97"/>
      <c r="AF94" s="97"/>
    </row>
    <row r="95" spans="1:32" ht="14">
      <c r="A95">
        <f t="shared" si="1"/>
        <v>-63</v>
      </c>
      <c r="B95" s="21">
        <v>17</v>
      </c>
      <c r="C95" s="26">
        <f t="shared" si="2"/>
        <v>4.0234898828837915</v>
      </c>
      <c r="D95" s="80"/>
      <c r="E95" s="80"/>
      <c r="F95" s="80"/>
      <c r="G95" s="81"/>
      <c r="H95" s="81"/>
      <c r="I95" s="81"/>
      <c r="J95" s="81"/>
      <c r="K95" s="81"/>
      <c r="L95" s="3"/>
      <c r="M95" s="88"/>
      <c r="N95" s="88"/>
      <c r="O95" s="88"/>
      <c r="P95" s="88"/>
      <c r="Q95" s="88"/>
      <c r="R95" s="88"/>
      <c r="S95" s="88"/>
      <c r="T95" s="88"/>
      <c r="V95">
        <f t="shared" si="3"/>
        <v>-63</v>
      </c>
      <c r="X95" s="113">
        <f t="shared" si="4"/>
        <v>4.0234898828837915</v>
      </c>
      <c r="Y95" s="97"/>
      <c r="Z95" s="97"/>
      <c r="AA95" s="97"/>
      <c r="AB95" s="97"/>
      <c r="AC95" s="97"/>
      <c r="AD95" s="97"/>
      <c r="AE95" s="97"/>
      <c r="AF95" s="97"/>
    </row>
    <row r="96" spans="1:32" ht="14">
      <c r="A96">
        <f t="shared" si="1"/>
        <v>-62</v>
      </c>
      <c r="B96" s="21">
        <v>18</v>
      </c>
      <c r="C96" s="26">
        <f t="shared" si="2"/>
        <v>4.643049323596939</v>
      </c>
      <c r="D96" s="80"/>
      <c r="E96" s="80"/>
      <c r="F96" s="80"/>
      <c r="G96" s="81"/>
      <c r="H96" s="81"/>
      <c r="I96" s="81"/>
      <c r="J96" s="81"/>
      <c r="K96" s="81"/>
      <c r="L96" s="3"/>
      <c r="M96" s="88"/>
      <c r="N96" s="88"/>
      <c r="O96" s="88"/>
      <c r="P96" s="88"/>
      <c r="Q96" s="88"/>
      <c r="R96" s="88"/>
      <c r="S96" s="88"/>
      <c r="T96" s="88"/>
      <c r="V96">
        <f t="shared" si="3"/>
        <v>-62</v>
      </c>
      <c r="X96" s="113">
        <f t="shared" si="4"/>
        <v>4.643049323596939</v>
      </c>
      <c r="Y96" s="97"/>
      <c r="Z96" s="97"/>
      <c r="AA96" s="97"/>
      <c r="AB96" s="97"/>
      <c r="AC96" s="97"/>
      <c r="AD96" s="97"/>
      <c r="AE96" s="97"/>
      <c r="AF96" s="97"/>
    </row>
    <row r="97" spans="1:32" ht="14">
      <c r="A97">
        <f t="shared" si="1"/>
        <v>-61</v>
      </c>
      <c r="B97" s="21">
        <v>19</v>
      </c>
      <c r="C97" s="26">
        <f t="shared" si="2"/>
        <v>5.3090811857751401</v>
      </c>
      <c r="D97" s="80"/>
      <c r="E97" s="80"/>
      <c r="F97" s="80"/>
      <c r="G97" s="81"/>
      <c r="H97" s="81"/>
      <c r="I97" s="81"/>
      <c r="J97" s="81"/>
      <c r="K97" s="81"/>
      <c r="L97" s="3"/>
      <c r="M97" s="88"/>
      <c r="N97" s="88"/>
      <c r="O97" s="88"/>
      <c r="P97" s="88"/>
      <c r="Q97" s="88"/>
      <c r="R97" s="88"/>
      <c r="S97" s="88"/>
      <c r="T97" s="88"/>
      <c r="V97">
        <f t="shared" si="3"/>
        <v>-61</v>
      </c>
      <c r="X97" s="113">
        <f t="shared" si="4"/>
        <v>5.3090811857751401</v>
      </c>
      <c r="Y97" s="97"/>
      <c r="Z97" s="97"/>
      <c r="AA97" s="97"/>
      <c r="AB97" s="97"/>
      <c r="AC97" s="97"/>
      <c r="AD97" s="97"/>
      <c r="AE97" s="97"/>
      <c r="AF97" s="97"/>
    </row>
    <row r="98" spans="1:32" ht="14">
      <c r="A98">
        <f t="shared" si="1"/>
        <v>-60</v>
      </c>
      <c r="B98" s="21">
        <v>20</v>
      </c>
      <c r="C98" s="26">
        <f t="shared" si="2"/>
        <v>6.020942088137498</v>
      </c>
      <c r="D98" s="80"/>
      <c r="E98" s="80"/>
      <c r="F98" s="80"/>
      <c r="G98" s="81"/>
      <c r="H98" s="81"/>
      <c r="I98" s="81"/>
      <c r="J98" s="81"/>
      <c r="K98" s="81"/>
      <c r="L98" s="3"/>
      <c r="M98" s="88"/>
      <c r="N98" s="88"/>
      <c r="O98" s="88"/>
      <c r="P98" s="88"/>
      <c r="Q98" s="88"/>
      <c r="R98" s="88"/>
      <c r="S98" s="88"/>
      <c r="T98" s="88"/>
      <c r="V98">
        <f t="shared" si="3"/>
        <v>-60</v>
      </c>
      <c r="X98" s="113">
        <f t="shared" si="4"/>
        <v>6.020942088137498</v>
      </c>
      <c r="Y98" s="97"/>
      <c r="Z98" s="97"/>
      <c r="AA98" s="97"/>
      <c r="AB98" s="97"/>
      <c r="AC98" s="97"/>
      <c r="AD98" s="97"/>
      <c r="AE98" s="97"/>
      <c r="AF98" s="97"/>
    </row>
    <row r="99" spans="1:32" ht="14">
      <c r="A99">
        <f t="shared" si="1"/>
        <v>-59</v>
      </c>
      <c r="B99" s="21">
        <v>21</v>
      </c>
      <c r="C99" s="26">
        <f t="shared" si="2"/>
        <v>6.7778402820363954</v>
      </c>
      <c r="D99" s="80"/>
      <c r="E99" s="80"/>
      <c r="F99" s="80"/>
      <c r="G99" s="81"/>
      <c r="H99" s="81"/>
      <c r="I99" s="81"/>
      <c r="J99" s="81"/>
      <c r="K99" s="81"/>
      <c r="L99" s="3"/>
      <c r="M99" s="88"/>
      <c r="N99" s="88"/>
      <c r="O99" s="88"/>
      <c r="P99" s="88"/>
      <c r="Q99" s="88"/>
      <c r="R99" s="88"/>
      <c r="S99" s="88"/>
      <c r="T99" s="88"/>
      <c r="V99">
        <f t="shared" si="3"/>
        <v>-59</v>
      </c>
      <c r="X99" s="113">
        <f t="shared" si="4"/>
        <v>6.7778402820363954</v>
      </c>
      <c r="Y99" s="97"/>
      <c r="Z99" s="97"/>
      <c r="AA99" s="97"/>
      <c r="AB99" s="97"/>
      <c r="AC99" s="97"/>
      <c r="AD99" s="97"/>
      <c r="AE99" s="97"/>
      <c r="AF99" s="97"/>
    </row>
    <row r="100" spans="1:32" ht="14">
      <c r="A100">
        <f t="shared" si="1"/>
        <v>-58</v>
      </c>
      <c r="B100" s="21">
        <v>22</v>
      </c>
      <c r="C100" s="26">
        <f t="shared" si="2"/>
        <v>7.5788536564457836</v>
      </c>
      <c r="D100" s="80"/>
      <c r="E100" s="80"/>
      <c r="F100" s="80"/>
      <c r="G100" s="81"/>
      <c r="H100" s="81"/>
      <c r="I100" s="81"/>
      <c r="J100" s="81"/>
      <c r="K100" s="81"/>
      <c r="L100" s="3"/>
      <c r="M100" s="88"/>
      <c r="N100" s="88"/>
      <c r="O100" s="88"/>
      <c r="P100" s="88"/>
      <c r="Q100" s="88"/>
      <c r="R100" s="88"/>
      <c r="S100" s="88"/>
      <c r="T100" s="88"/>
      <c r="V100">
        <f t="shared" si="3"/>
        <v>-58</v>
      </c>
      <c r="X100" s="113">
        <f t="shared" si="4"/>
        <v>7.5788536564457836</v>
      </c>
      <c r="Y100" s="97"/>
      <c r="Z100" s="97"/>
      <c r="AA100" s="97"/>
      <c r="AB100" s="97"/>
      <c r="AC100" s="97"/>
      <c r="AD100" s="97"/>
      <c r="AE100" s="97"/>
      <c r="AF100" s="97"/>
    </row>
    <row r="101" spans="1:32" ht="14">
      <c r="A101">
        <f t="shared" si="1"/>
        <v>-57</v>
      </c>
      <c r="B101" s="21">
        <v>23</v>
      </c>
      <c r="C101" s="26">
        <f t="shared" si="2"/>
        <v>8.4229462860755522</v>
      </c>
      <c r="D101" s="80"/>
      <c r="E101" s="80"/>
      <c r="F101" s="80"/>
      <c r="G101" s="81"/>
      <c r="H101" s="81"/>
      <c r="I101" s="81"/>
      <c r="J101" s="81"/>
      <c r="K101" s="81"/>
      <c r="L101" s="3"/>
      <c r="M101" s="88"/>
      <c r="N101" s="88"/>
      <c r="O101" s="88"/>
      <c r="P101" s="88"/>
      <c r="Q101" s="88"/>
      <c r="R101" s="88"/>
      <c r="S101" s="88"/>
      <c r="T101" s="88"/>
      <c r="V101">
        <f t="shared" si="3"/>
        <v>-57</v>
      </c>
      <c r="X101" s="113">
        <f t="shared" si="4"/>
        <v>8.4229462860755522</v>
      </c>
      <c r="Y101" s="97"/>
      <c r="Z101" s="97"/>
      <c r="AA101" s="97"/>
      <c r="AB101" s="97"/>
      <c r="AC101" s="97"/>
      <c r="AD101" s="97"/>
      <c r="AE101" s="97"/>
      <c r="AF101" s="97"/>
    </row>
    <row r="102" spans="1:32" ht="14">
      <c r="A102">
        <f t="shared" si="1"/>
        <v>-56</v>
      </c>
      <c r="B102" s="21">
        <v>24</v>
      </c>
      <c r="C102" s="26">
        <f t="shared" si="2"/>
        <v>9.3089836242797599</v>
      </c>
      <c r="D102" s="80"/>
      <c r="E102" s="80"/>
      <c r="F102" s="80"/>
      <c r="G102" s="81"/>
      <c r="H102" s="81"/>
      <c r="I102" s="81"/>
      <c r="J102" s="81"/>
      <c r="K102" s="81"/>
      <c r="L102" s="3"/>
      <c r="M102" s="88"/>
      <c r="N102" s="88"/>
      <c r="O102" s="88"/>
      <c r="P102" s="88"/>
      <c r="Q102" s="88"/>
      <c r="R102" s="88"/>
      <c r="S102" s="88"/>
      <c r="T102" s="88"/>
      <c r="V102">
        <f t="shared" si="3"/>
        <v>-56</v>
      </c>
      <c r="X102" s="113">
        <f t="shared" si="4"/>
        <v>9.3089836242797599</v>
      </c>
      <c r="Y102" s="97"/>
      <c r="Z102" s="97"/>
      <c r="AA102" s="97"/>
      <c r="AB102" s="97"/>
      <c r="AC102" s="97"/>
      <c r="AD102" s="97"/>
      <c r="AE102" s="97"/>
      <c r="AF102" s="97"/>
    </row>
    <row r="103" spans="1:32" ht="14">
      <c r="A103">
        <f t="shared" si="1"/>
        <v>-55</v>
      </c>
      <c r="B103" s="21">
        <v>25</v>
      </c>
      <c r="C103" s="26">
        <f t="shared" si="2"/>
        <v>10.235746435830315</v>
      </c>
      <c r="D103" s="80"/>
      <c r="E103" s="80"/>
      <c r="F103" s="80"/>
      <c r="G103" s="81"/>
      <c r="H103" s="81"/>
      <c r="I103" s="81"/>
      <c r="J103" s="81"/>
      <c r="K103" s="81"/>
      <c r="L103" s="3"/>
      <c r="M103" s="88"/>
      <c r="N103" s="88"/>
      <c r="O103" s="88"/>
      <c r="P103" s="88"/>
      <c r="Q103" s="88"/>
      <c r="R103" s="88"/>
      <c r="S103" s="88"/>
      <c r="T103" s="88"/>
      <c r="V103">
        <f t="shared" si="3"/>
        <v>-55</v>
      </c>
      <c r="X103" s="113">
        <f t="shared" si="4"/>
        <v>10.235746435830315</v>
      </c>
      <c r="Y103" s="97"/>
      <c r="Z103" s="97"/>
      <c r="AA103" s="97"/>
      <c r="AB103" s="97"/>
      <c r="AC103" s="97"/>
      <c r="AD103" s="97"/>
      <c r="AE103" s="97"/>
      <c r="AF103" s="97"/>
    </row>
    <row r="104" spans="1:32" ht="14">
      <c r="A104">
        <f t="shared" si="1"/>
        <v>-54</v>
      </c>
      <c r="B104" s="21">
        <v>26</v>
      </c>
      <c r="C104" s="26">
        <f t="shared" si="2"/>
        <v>11.201943558441718</v>
      </c>
      <c r="D104" s="80"/>
      <c r="E104" s="80"/>
      <c r="F104" s="80"/>
      <c r="G104" s="81"/>
      <c r="H104" s="81"/>
      <c r="I104" s="81"/>
      <c r="J104" s="81"/>
      <c r="K104" s="81"/>
      <c r="L104" s="3"/>
      <c r="M104" s="88"/>
      <c r="N104" s="88"/>
      <c r="O104" s="88"/>
      <c r="P104" s="88"/>
      <c r="Q104" s="88"/>
      <c r="R104" s="88"/>
      <c r="S104" s="88"/>
      <c r="T104" s="88"/>
      <c r="V104">
        <f t="shared" si="3"/>
        <v>-54</v>
      </c>
      <c r="X104" s="113">
        <f t="shared" si="4"/>
        <v>11.201943558441718</v>
      </c>
      <c r="Y104" s="97"/>
      <c r="Z104" s="97"/>
      <c r="AA104" s="97"/>
      <c r="AB104" s="97"/>
      <c r="AC104" s="97"/>
      <c r="AD104" s="97"/>
      <c r="AE104" s="97"/>
      <c r="AF104" s="97"/>
    </row>
    <row r="105" spans="1:32" ht="14">
      <c r="A105">
        <f t="shared" si="1"/>
        <v>-53</v>
      </c>
      <c r="B105" s="21">
        <v>27</v>
      </c>
      <c r="C105" s="26">
        <f t="shared" si="2"/>
        <v>12.206223576133153</v>
      </c>
      <c r="D105" s="80"/>
      <c r="E105" s="80"/>
      <c r="F105" s="80"/>
      <c r="G105" s="81"/>
      <c r="H105" s="81"/>
      <c r="I105" s="81"/>
      <c r="J105" s="81"/>
      <c r="K105" s="81"/>
      <c r="L105" s="3"/>
      <c r="M105" s="88"/>
      <c r="N105" s="88"/>
      <c r="O105" s="88"/>
      <c r="P105" s="88"/>
      <c r="Q105" s="88"/>
      <c r="R105" s="88"/>
      <c r="S105" s="88"/>
      <c r="T105" s="88"/>
      <c r="V105">
        <f t="shared" si="3"/>
        <v>-53</v>
      </c>
      <c r="X105" s="113">
        <f t="shared" si="4"/>
        <v>12.206223576133153</v>
      </c>
      <c r="Y105" s="97"/>
      <c r="Z105" s="97"/>
      <c r="AA105" s="97"/>
      <c r="AB105" s="97"/>
      <c r="AC105" s="97"/>
      <c r="AD105" s="97"/>
      <c r="AE105" s="97"/>
      <c r="AF105" s="97"/>
    </row>
    <row r="106" spans="1:32" ht="14">
      <c r="A106">
        <f t="shared" si="1"/>
        <v>-52</v>
      </c>
      <c r="B106" s="21">
        <v>28</v>
      </c>
      <c r="C106" s="26">
        <f t="shared" si="2"/>
        <v>13.247185482076821</v>
      </c>
      <c r="D106" s="80"/>
      <c r="E106" s="80"/>
      <c r="F106" s="80"/>
      <c r="G106" s="81"/>
      <c r="H106" s="81"/>
      <c r="I106" s="81"/>
      <c r="J106" s="81"/>
      <c r="K106" s="81"/>
      <c r="L106" s="3"/>
      <c r="M106" s="88"/>
      <c r="N106" s="88"/>
      <c r="O106" s="88"/>
      <c r="P106" s="88"/>
      <c r="Q106" s="88"/>
      <c r="R106" s="88"/>
      <c r="S106" s="88"/>
      <c r="T106" s="88"/>
      <c r="V106">
        <f t="shared" si="3"/>
        <v>-52</v>
      </c>
      <c r="X106" s="113">
        <f t="shared" si="4"/>
        <v>13.247185482076821</v>
      </c>
      <c r="Y106" s="97"/>
      <c r="Z106" s="97"/>
      <c r="AA106" s="97"/>
      <c r="AB106" s="97"/>
      <c r="AC106" s="97"/>
      <c r="AD106" s="97"/>
      <c r="AE106" s="97"/>
      <c r="AF106" s="97"/>
    </row>
    <row r="107" spans="1:32" ht="14">
      <c r="A107">
        <f t="shared" si="1"/>
        <v>-51</v>
      </c>
      <c r="B107" s="21">
        <v>29</v>
      </c>
      <c r="C107" s="26">
        <f t="shared" si="2"/>
        <v>14.323388403485012</v>
      </c>
      <c r="D107" s="80"/>
      <c r="E107" s="80"/>
      <c r="F107" s="80"/>
      <c r="G107" s="81"/>
      <c r="H107" s="81"/>
      <c r="I107" s="81"/>
      <c r="J107" s="81"/>
      <c r="K107" s="81"/>
      <c r="L107" s="3"/>
      <c r="M107" s="88"/>
      <c r="N107" s="88"/>
      <c r="O107" s="88"/>
      <c r="P107" s="88"/>
      <c r="Q107" s="88"/>
      <c r="R107" s="88"/>
      <c r="S107" s="88"/>
      <c r="T107" s="88"/>
      <c r="V107">
        <f t="shared" si="3"/>
        <v>-51</v>
      </c>
      <c r="X107" s="113">
        <f t="shared" si="4"/>
        <v>14.323388403485012</v>
      </c>
      <c r="Y107" s="97"/>
      <c r="Z107" s="97"/>
      <c r="AA107" s="97"/>
      <c r="AB107" s="97"/>
      <c r="AC107" s="97"/>
      <c r="AD107" s="97"/>
      <c r="AE107" s="97"/>
      <c r="AF107" s="97"/>
    </row>
    <row r="108" spans="1:32" ht="14">
      <c r="A108">
        <f t="shared" si="1"/>
        <v>-50</v>
      </c>
      <c r="B108" s="21">
        <v>30</v>
      </c>
      <c r="C108" s="26">
        <f t="shared" si="2"/>
        <v>15.433360456310989</v>
      </c>
      <c r="D108" s="80"/>
      <c r="E108" s="80"/>
      <c r="F108" s="80"/>
      <c r="G108" s="81"/>
      <c r="H108" s="81"/>
      <c r="I108" s="81"/>
      <c r="J108" s="81"/>
      <c r="K108" s="81"/>
      <c r="L108" s="3"/>
      <c r="M108" s="88"/>
      <c r="N108" s="88"/>
      <c r="O108" s="88"/>
      <c r="P108" s="88"/>
      <c r="Q108" s="88"/>
      <c r="R108" s="88"/>
      <c r="S108" s="88"/>
      <c r="T108" s="88"/>
      <c r="V108">
        <f t="shared" si="3"/>
        <v>-50</v>
      </c>
      <c r="X108" s="113">
        <f t="shared" si="4"/>
        <v>15.433360456310989</v>
      </c>
      <c r="Y108" s="97"/>
      <c r="Z108" s="97"/>
      <c r="AA108" s="97"/>
      <c r="AB108" s="97"/>
      <c r="AC108" s="97"/>
      <c r="AD108" s="97"/>
      <c r="AE108" s="97"/>
      <c r="AF108" s="97"/>
    </row>
    <row r="109" spans="1:32" ht="14">
      <c r="A109">
        <f t="shared" si="1"/>
        <v>-49</v>
      </c>
      <c r="B109" s="21">
        <v>31</v>
      </c>
      <c r="C109" s="26">
        <f t="shared" si="2"/>
        <v>16.575606793061986</v>
      </c>
      <c r="D109" s="80"/>
      <c r="E109" s="80"/>
      <c r="F109" s="80"/>
      <c r="G109" s="81"/>
      <c r="H109" s="81"/>
      <c r="I109" s="81"/>
      <c r="J109" s="81"/>
      <c r="K109" s="81"/>
      <c r="L109" s="3"/>
      <c r="M109" s="88"/>
      <c r="N109" s="88"/>
      <c r="O109" s="88"/>
      <c r="P109" s="88"/>
      <c r="Q109" s="88"/>
      <c r="R109" s="88"/>
      <c r="S109" s="88"/>
      <c r="T109" s="88"/>
      <c r="V109">
        <f t="shared" si="3"/>
        <v>-49</v>
      </c>
      <c r="X109" s="113">
        <f t="shared" si="4"/>
        <v>16.575606793061986</v>
      </c>
      <c r="Y109" s="97"/>
      <c r="Z109" s="97"/>
      <c r="AA109" s="97"/>
      <c r="AB109" s="97"/>
      <c r="AC109" s="97"/>
      <c r="AD109" s="97"/>
      <c r="AE109" s="97"/>
      <c r="AF109" s="97"/>
    </row>
    <row r="110" spans="1:32" ht="14">
      <c r="A110">
        <f t="shared" si="1"/>
        <v>-48</v>
      </c>
      <c r="B110" s="21">
        <v>32</v>
      </c>
      <c r="C110" s="26">
        <f t="shared" si="2"/>
        <v>17.74861690282755</v>
      </c>
      <c r="D110" s="80"/>
      <c r="E110" s="80"/>
      <c r="F110" s="80"/>
      <c r="G110" s="81"/>
      <c r="H110" s="81"/>
      <c r="I110" s="81"/>
      <c r="J110" s="81"/>
      <c r="K110" s="81"/>
      <c r="L110" s="3"/>
      <c r="M110" s="88"/>
      <c r="N110" s="88"/>
      <c r="O110" s="88"/>
      <c r="P110" s="88"/>
      <c r="Q110" s="88"/>
      <c r="R110" s="88"/>
      <c r="S110" s="88"/>
      <c r="T110" s="88"/>
      <c r="V110">
        <f t="shared" si="3"/>
        <v>-48</v>
      </c>
      <c r="X110" s="113">
        <f t="shared" si="4"/>
        <v>17.74861690282755</v>
      </c>
      <c r="Y110" s="97"/>
      <c r="Z110" s="97"/>
      <c r="AA110" s="97"/>
      <c r="AB110" s="97"/>
      <c r="AC110" s="97"/>
      <c r="AD110" s="97"/>
      <c r="AE110" s="97"/>
      <c r="AF110" s="97"/>
    </row>
    <row r="111" spans="1:32" ht="14">
      <c r="A111">
        <f t="shared" si="1"/>
        <v>-47</v>
      </c>
      <c r="B111" s="21">
        <v>33</v>
      </c>
      <c r="C111" s="26">
        <f t="shared" si="2"/>
        <v>18.950871218695532</v>
      </c>
      <c r="D111" s="80"/>
      <c r="E111" s="80"/>
      <c r="F111" s="80"/>
      <c r="G111" s="81"/>
      <c r="H111" s="81"/>
      <c r="I111" s="81"/>
      <c r="J111" s="81"/>
      <c r="K111" s="81"/>
      <c r="L111" s="3"/>
      <c r="M111" s="88"/>
      <c r="N111" s="88"/>
      <c r="O111" s="88"/>
      <c r="P111" s="88"/>
      <c r="Q111" s="88"/>
      <c r="R111" s="88"/>
      <c r="S111" s="88"/>
      <c r="T111" s="88"/>
      <c r="V111">
        <f t="shared" si="3"/>
        <v>-47</v>
      </c>
      <c r="X111" s="113">
        <f t="shared" si="4"/>
        <v>18.950871218695532</v>
      </c>
      <c r="Y111" s="97"/>
      <c r="Z111" s="97"/>
      <c r="AA111" s="97"/>
      <c r="AB111" s="97"/>
      <c r="AC111" s="97"/>
      <c r="AD111" s="97"/>
      <c r="AE111" s="97"/>
      <c r="AF111" s="97"/>
    </row>
    <row r="112" spans="1:32" ht="14">
      <c r="A112">
        <f t="shared" si="1"/>
        <v>-46</v>
      </c>
      <c r="B112" s="21">
        <v>34</v>
      </c>
      <c r="C112" s="26">
        <f t="shared" si="2"/>
        <v>20.180847084046018</v>
      </c>
      <c r="D112" s="80"/>
      <c r="E112" s="80"/>
      <c r="F112" s="80"/>
      <c r="G112" s="81"/>
      <c r="H112" s="81"/>
      <c r="I112" s="81"/>
      <c r="J112" s="81"/>
      <c r="K112" s="81"/>
      <c r="L112" s="3"/>
      <c r="M112" s="88"/>
      <c r="N112" s="88"/>
      <c r="O112" s="88"/>
      <c r="P112" s="88"/>
      <c r="Q112" s="88"/>
      <c r="R112" s="88"/>
      <c r="S112" s="88"/>
      <c r="T112" s="88"/>
      <c r="V112">
        <f t="shared" si="3"/>
        <v>-46</v>
      </c>
      <c r="X112" s="113">
        <f t="shared" si="4"/>
        <v>20.180847084046018</v>
      </c>
      <c r="Y112" s="97"/>
      <c r="Z112" s="97"/>
      <c r="AA112" s="97"/>
      <c r="AB112" s="97"/>
      <c r="AC112" s="97"/>
      <c r="AD112" s="97"/>
      <c r="AE112" s="97"/>
      <c r="AF112" s="97"/>
    </row>
    <row r="113" spans="1:32" ht="14">
      <c r="A113">
        <f t="shared" si="1"/>
        <v>-45</v>
      </c>
      <c r="B113" s="21">
        <v>35</v>
      </c>
      <c r="C113" s="26">
        <f t="shared" si="2"/>
        <v>21.43702412576425</v>
      </c>
      <c r="D113" s="80"/>
      <c r="E113" s="80"/>
      <c r="F113" s="80"/>
      <c r="G113" s="81"/>
      <c r="H113" s="81"/>
      <c r="I113" s="81"/>
      <c r="J113" s="81"/>
      <c r="K113" s="81"/>
      <c r="L113" s="3"/>
      <c r="M113" s="88"/>
      <c r="N113" s="88"/>
      <c r="O113" s="88"/>
      <c r="P113" s="88"/>
      <c r="Q113" s="88"/>
      <c r="R113" s="88"/>
      <c r="S113" s="88"/>
      <c r="T113" s="88"/>
      <c r="V113">
        <f t="shared" si="3"/>
        <v>-45</v>
      </c>
      <c r="X113" s="113">
        <f t="shared" si="4"/>
        <v>21.43702412576425</v>
      </c>
      <c r="Y113" s="97"/>
      <c r="Z113" s="97"/>
      <c r="AA113" s="97"/>
      <c r="AB113" s="97"/>
      <c r="AC113" s="97"/>
      <c r="AD113" s="97"/>
      <c r="AE113" s="97"/>
      <c r="AF113" s="97"/>
    </row>
    <row r="114" spans="1:32" ht="14">
      <c r="A114">
        <f t="shared" si="1"/>
        <v>-44</v>
      </c>
      <c r="B114" s="21">
        <v>36</v>
      </c>
      <c r="C114" s="26">
        <f t="shared" si="2"/>
        <v>22.717889079182989</v>
      </c>
      <c r="D114" s="80"/>
      <c r="E114" s="80"/>
      <c r="F114" s="80"/>
      <c r="G114" s="81"/>
      <c r="H114" s="81"/>
      <c r="I114" s="81"/>
      <c r="J114" s="81"/>
      <c r="K114" s="81"/>
      <c r="L114" s="3"/>
      <c r="M114" s="88"/>
      <c r="N114" s="88"/>
      <c r="O114" s="88"/>
      <c r="P114" s="88"/>
      <c r="Q114" s="88"/>
      <c r="R114" s="88"/>
      <c r="S114" s="88"/>
      <c r="T114" s="88"/>
      <c r="V114">
        <f t="shared" si="3"/>
        <v>-44</v>
      </c>
      <c r="X114" s="113">
        <f t="shared" si="4"/>
        <v>22.717889079182989</v>
      </c>
      <c r="Y114" s="97"/>
      <c r="Z114" s="97"/>
      <c r="AA114" s="97"/>
      <c r="AB114" s="97"/>
      <c r="AC114" s="97"/>
      <c r="AD114" s="97"/>
      <c r="AE114" s="97"/>
      <c r="AF114" s="97"/>
    </row>
    <row r="115" spans="1:32" ht="14">
      <c r="A115">
        <f t="shared" si="1"/>
        <v>-43</v>
      </c>
      <c r="B115" s="21">
        <v>37</v>
      </c>
      <c r="C115" s="26">
        <f t="shared" si="2"/>
        <v>24.021940106540239</v>
      </c>
      <c r="D115" s="80"/>
      <c r="E115" s="80"/>
      <c r="F115" s="80"/>
      <c r="G115" s="81"/>
      <c r="H115" s="81"/>
      <c r="I115" s="81"/>
      <c r="J115" s="81"/>
      <c r="K115" s="81"/>
      <c r="L115" s="3"/>
      <c r="M115" s="88"/>
      <c r="N115" s="88"/>
      <c r="O115" s="88"/>
      <c r="P115" s="88"/>
      <c r="Q115" s="88"/>
      <c r="R115" s="88"/>
      <c r="S115" s="88"/>
      <c r="T115" s="88"/>
      <c r="V115">
        <f t="shared" si="3"/>
        <v>-43</v>
      </c>
      <c r="X115" s="113">
        <f t="shared" si="4"/>
        <v>24.021940106540239</v>
      </c>
      <c r="Y115" s="97"/>
      <c r="Z115" s="97"/>
      <c r="AA115" s="97"/>
      <c r="AB115" s="97"/>
      <c r="AC115" s="97"/>
      <c r="AD115" s="97"/>
      <c r="AE115" s="97"/>
      <c r="AF115" s="97"/>
    </row>
    <row r="116" spans="1:32" ht="14">
      <c r="A116">
        <f t="shared" si="1"/>
        <v>-42</v>
      </c>
      <c r="B116" s="21">
        <v>38</v>
      </c>
      <c r="C116" s="26">
        <f t="shared" si="2"/>
        <v>25.347690647905036</v>
      </c>
      <c r="D116" s="80"/>
      <c r="E116" s="80"/>
      <c r="F116" s="80"/>
      <c r="G116" s="81"/>
      <c r="H116" s="81"/>
      <c r="I116" s="81"/>
      <c r="J116" s="81"/>
      <c r="K116" s="81"/>
      <c r="L116" s="3"/>
      <c r="M116" s="88"/>
      <c r="N116" s="88"/>
      <c r="O116" s="88"/>
      <c r="P116" s="88"/>
      <c r="Q116" s="88"/>
      <c r="R116" s="88"/>
      <c r="S116" s="88"/>
      <c r="T116" s="88"/>
      <c r="V116">
        <f t="shared" si="3"/>
        <v>-42</v>
      </c>
      <c r="X116" s="113">
        <f t="shared" si="4"/>
        <v>25.347690647905036</v>
      </c>
      <c r="Y116" s="97"/>
      <c r="Z116" s="97"/>
      <c r="AA116" s="97"/>
      <c r="AB116" s="97"/>
      <c r="AC116" s="97"/>
      <c r="AD116" s="97"/>
      <c r="AE116" s="97"/>
      <c r="AF116" s="97"/>
    </row>
    <row r="117" spans="1:32" ht="14">
      <c r="A117">
        <f t="shared" si="1"/>
        <v>-41</v>
      </c>
      <c r="B117" s="21">
        <v>39</v>
      </c>
      <c r="C117" s="26">
        <f t="shared" si="2"/>
        <v>26.693672840873621</v>
      </c>
      <c r="D117" s="80"/>
      <c r="E117" s="80"/>
      <c r="F117" s="80"/>
      <c r="G117" s="81"/>
      <c r="H117" s="81"/>
      <c r="I117" s="81"/>
      <c r="J117" s="81"/>
      <c r="K117" s="81"/>
      <c r="L117" s="3"/>
      <c r="M117" s="88"/>
      <c r="N117" s="88"/>
      <c r="O117" s="88"/>
      <c r="P117" s="88"/>
      <c r="Q117" s="88"/>
      <c r="R117" s="88"/>
      <c r="S117" s="88"/>
      <c r="T117" s="88"/>
      <c r="V117">
        <f t="shared" si="3"/>
        <v>-41</v>
      </c>
      <c r="X117" s="113">
        <f t="shared" si="4"/>
        <v>26.693672840873621</v>
      </c>
      <c r="Y117" s="97"/>
      <c r="Z117" s="97"/>
      <c r="AA117" s="97"/>
      <c r="AB117" s="97"/>
      <c r="AC117" s="97"/>
      <c r="AD117" s="97"/>
      <c r="AE117" s="97"/>
      <c r="AF117" s="97"/>
    </row>
    <row r="118" spans="1:32" ht="14">
      <c r="A118">
        <f t="shared" si="1"/>
        <v>-40</v>
      </c>
      <c r="B118" s="21">
        <v>40</v>
      </c>
      <c r="C118" s="26">
        <f t="shared" si="2"/>
        <v>28.058440542855632</v>
      </c>
      <c r="D118" s="80"/>
      <c r="E118" s="80"/>
      <c r="F118" s="80"/>
      <c r="G118" s="81"/>
      <c r="H118" s="81"/>
      <c r="I118" s="81"/>
      <c r="J118" s="81"/>
      <c r="K118" s="81"/>
      <c r="L118" s="3"/>
      <c r="M118" s="88"/>
      <c r="N118" s="88"/>
      <c r="O118" s="88"/>
      <c r="P118" s="88"/>
      <c r="Q118" s="88"/>
      <c r="R118" s="88"/>
      <c r="S118" s="88"/>
      <c r="T118" s="88"/>
      <c r="V118">
        <f t="shared" si="3"/>
        <v>-40</v>
      </c>
      <c r="X118" s="113">
        <f t="shared" si="4"/>
        <v>28.058440542855632</v>
      </c>
      <c r="Y118" s="97"/>
      <c r="Z118" s="97"/>
      <c r="AA118" s="97"/>
      <c r="AB118" s="97"/>
      <c r="AC118" s="97"/>
      <c r="AD118" s="97"/>
      <c r="AE118" s="97"/>
      <c r="AF118" s="97"/>
    </row>
    <row r="119" spans="1:32" ht="14">
      <c r="A119">
        <f t="shared" si="1"/>
        <v>-39</v>
      </c>
      <c r="B119" s="21">
        <v>41</v>
      </c>
      <c r="C119" s="26">
        <f t="shared" si="2"/>
        <v>29.440571987447552</v>
      </c>
      <c r="D119" s="80"/>
      <c r="E119" s="80"/>
      <c r="F119" s="80"/>
      <c r="G119" s="81"/>
      <c r="H119" s="81"/>
      <c r="I119" s="81"/>
      <c r="J119" s="81"/>
      <c r="K119" s="81"/>
      <c r="L119" s="3"/>
      <c r="M119" s="88"/>
      <c r="N119" s="88"/>
      <c r="O119" s="88"/>
      <c r="P119" s="88"/>
      <c r="Q119" s="88"/>
      <c r="R119" s="88"/>
      <c r="S119" s="88"/>
      <c r="T119" s="88"/>
      <c r="V119">
        <f t="shared" si="3"/>
        <v>-39</v>
      </c>
      <c r="X119" s="113">
        <f t="shared" si="4"/>
        <v>29.440571987447552</v>
      </c>
      <c r="Y119" s="97"/>
      <c r="Z119" s="97"/>
      <c r="AA119" s="97"/>
      <c r="AB119" s="97"/>
      <c r="AC119" s="97"/>
      <c r="AD119" s="97"/>
      <c r="AE119" s="97"/>
      <c r="AF119" s="97"/>
    </row>
    <row r="120" spans="1:32" ht="14">
      <c r="A120">
        <f t="shared" si="1"/>
        <v>-38</v>
      </c>
      <c r="B120" s="21">
        <v>42</v>
      </c>
      <c r="C120" s="26">
        <f t="shared" si="2"/>
        <v>30.838672104217459</v>
      </c>
      <c r="D120" s="80"/>
      <c r="E120" s="80"/>
      <c r="F120" s="80"/>
      <c r="G120" s="81"/>
      <c r="H120" s="81"/>
      <c r="I120" s="81"/>
      <c r="J120" s="81"/>
      <c r="K120" s="81"/>
      <c r="L120" s="3"/>
      <c r="M120" s="88"/>
      <c r="N120" s="88"/>
      <c r="O120" s="88"/>
      <c r="P120" s="88"/>
      <c r="Q120" s="88"/>
      <c r="R120" s="88"/>
      <c r="S120" s="88"/>
      <c r="T120" s="88"/>
      <c r="V120">
        <f t="shared" si="3"/>
        <v>-38</v>
      </c>
      <c r="X120" s="113">
        <f t="shared" si="4"/>
        <v>30.838672104217459</v>
      </c>
      <c r="Y120" s="97"/>
      <c r="Z120" s="97"/>
      <c r="AA120" s="97"/>
      <c r="AB120" s="97"/>
      <c r="AC120" s="97"/>
      <c r="AD120" s="97"/>
      <c r="AE120" s="97"/>
      <c r="AF120" s="97"/>
    </row>
    <row r="121" spans="1:32" ht="14">
      <c r="A121">
        <f t="shared" si="1"/>
        <v>-37</v>
      </c>
      <c r="B121" s="21">
        <v>43</v>
      </c>
      <c r="C121" s="26">
        <f t="shared" si="2"/>
        <v>32.251374529191885</v>
      </c>
      <c r="D121" s="80"/>
      <c r="E121" s="80"/>
      <c r="F121" s="80"/>
      <c r="G121" s="81"/>
      <c r="H121" s="81"/>
      <c r="I121" s="81"/>
      <c r="J121" s="81"/>
      <c r="K121" s="81"/>
      <c r="L121" s="3"/>
      <c r="M121" s="88"/>
      <c r="N121" s="88"/>
      <c r="O121" s="88"/>
      <c r="P121" s="88"/>
      <c r="Q121" s="88"/>
      <c r="R121" s="88"/>
      <c r="S121" s="88"/>
      <c r="T121" s="88"/>
      <c r="V121">
        <f t="shared" si="3"/>
        <v>-37</v>
      </c>
      <c r="X121" s="113">
        <f t="shared" si="4"/>
        <v>32.251374529191885</v>
      </c>
      <c r="Y121" s="97"/>
      <c r="Z121" s="97"/>
      <c r="AA121" s="97"/>
      <c r="AB121" s="97"/>
      <c r="AC121" s="97"/>
      <c r="AD121" s="97"/>
      <c r="AE121" s="97"/>
      <c r="AF121" s="97"/>
    </row>
    <row r="122" spans="1:32" ht="14">
      <c r="A122">
        <f t="shared" si="1"/>
        <v>-36</v>
      </c>
      <c r="B122" s="21">
        <v>44</v>
      </c>
      <c r="C122" s="26">
        <f t="shared" si="2"/>
        <v>33.677343331433647</v>
      </c>
      <c r="D122" s="80"/>
      <c r="E122" s="80"/>
      <c r="F122" s="80"/>
      <c r="G122" s="81"/>
      <c r="H122" s="81"/>
      <c r="I122" s="81"/>
      <c r="J122" s="81"/>
      <c r="K122" s="81"/>
      <c r="L122" s="3"/>
      <c r="M122" s="88"/>
      <c r="N122" s="88"/>
      <c r="O122" s="88"/>
      <c r="P122" s="88"/>
      <c r="Q122" s="88"/>
      <c r="R122" s="88"/>
      <c r="S122" s="88"/>
      <c r="T122" s="88"/>
      <c r="V122">
        <f t="shared" si="3"/>
        <v>-36</v>
      </c>
      <c r="X122" s="113">
        <f t="shared" si="4"/>
        <v>33.677343331433647</v>
      </c>
      <c r="Y122" s="97"/>
      <c r="Z122" s="97"/>
      <c r="AA122" s="97"/>
      <c r="AB122" s="97"/>
      <c r="AC122" s="97"/>
      <c r="AD122" s="97"/>
      <c r="AE122" s="97"/>
      <c r="AF122" s="97"/>
    </row>
    <row r="123" spans="1:32" ht="14">
      <c r="A123">
        <f t="shared" si="1"/>
        <v>-35</v>
      </c>
      <c r="B123" s="21">
        <v>45</v>
      </c>
      <c r="C123" s="26">
        <f t="shared" si="2"/>
        <v>35.115274479320803</v>
      </c>
      <c r="D123" s="80"/>
      <c r="E123" s="80"/>
      <c r="F123" s="80"/>
      <c r="G123" s="81"/>
      <c r="H123" s="81"/>
      <c r="I123" s="81"/>
      <c r="J123" s="81"/>
      <c r="K123" s="81"/>
      <c r="L123" s="3"/>
      <c r="M123" s="88"/>
      <c r="N123" s="88"/>
      <c r="O123" s="88"/>
      <c r="P123" s="88"/>
      <c r="Q123" s="88"/>
      <c r="R123" s="88"/>
      <c r="S123" s="88"/>
      <c r="T123" s="88"/>
      <c r="V123">
        <f t="shared" si="3"/>
        <v>-35</v>
      </c>
      <c r="X123" s="113">
        <f t="shared" si="4"/>
        <v>35.115274479320803</v>
      </c>
      <c r="Y123" s="97"/>
      <c r="Z123" s="97"/>
      <c r="AA123" s="97"/>
      <c r="AB123" s="97"/>
      <c r="AC123" s="97"/>
      <c r="AD123" s="97"/>
      <c r="AE123" s="97"/>
      <c r="AF123" s="97"/>
    </row>
    <row r="124" spans="1:32" ht="14">
      <c r="A124">
        <f t="shared" si="1"/>
        <v>-34</v>
      </c>
      <c r="B124" s="21">
        <v>46</v>
      </c>
      <c r="C124" s="26">
        <f t="shared" si="2"/>
        <v>36.563897068474489</v>
      </c>
      <c r="D124" s="80"/>
      <c r="E124" s="80"/>
      <c r="F124" s="80"/>
      <c r="G124" s="81"/>
      <c r="H124" s="81"/>
      <c r="I124" s="81"/>
      <c r="J124" s="81"/>
      <c r="K124" s="81"/>
      <c r="L124" s="3"/>
      <c r="M124" s="88"/>
      <c r="N124" s="88"/>
      <c r="O124" s="88"/>
      <c r="P124" s="88"/>
      <c r="Q124" s="88"/>
      <c r="R124" s="88"/>
      <c r="S124" s="88"/>
      <c r="T124" s="88"/>
      <c r="V124">
        <f t="shared" si="3"/>
        <v>-34</v>
      </c>
      <c r="X124" s="113">
        <f t="shared" si="4"/>
        <v>36.563897068474489</v>
      </c>
      <c r="Y124" s="97"/>
      <c r="Z124" s="97"/>
      <c r="AA124" s="97"/>
      <c r="AB124" s="97"/>
      <c r="AC124" s="97"/>
      <c r="AD124" s="97"/>
      <c r="AE124" s="97"/>
      <c r="AF124" s="97"/>
    </row>
    <row r="125" spans="1:32" ht="14">
      <c r="A125">
        <f t="shared" si="1"/>
        <v>-33</v>
      </c>
      <c r="B125" s="21">
        <v>47</v>
      </c>
      <c r="C125" s="26">
        <f t="shared" si="2"/>
        <v>38.021974331727613</v>
      </c>
      <c r="D125" s="80"/>
      <c r="E125" s="80"/>
      <c r="F125" s="80"/>
      <c r="G125" s="81"/>
      <c r="H125" s="81"/>
      <c r="I125" s="81"/>
      <c r="J125" s="81"/>
      <c r="K125" s="81"/>
      <c r="L125" s="3"/>
      <c r="M125" s="88"/>
      <c r="N125" s="88"/>
      <c r="O125" s="88"/>
      <c r="P125" s="88"/>
      <c r="Q125" s="88"/>
      <c r="R125" s="88"/>
      <c r="S125" s="88"/>
      <c r="T125" s="88"/>
      <c r="V125">
        <f t="shared" si="3"/>
        <v>-33</v>
      </c>
      <c r="X125" s="113">
        <f t="shared" si="4"/>
        <v>38.021974331727613</v>
      </c>
      <c r="Y125" s="97"/>
      <c r="Z125" s="97"/>
      <c r="AA125" s="97"/>
      <c r="AB125" s="97"/>
      <c r="AC125" s="97"/>
      <c r="AD125" s="97"/>
      <c r="AE125" s="97"/>
      <c r="AF125" s="97"/>
    </row>
    <row r="126" spans="1:32" ht="14">
      <c r="A126">
        <f t="shared" si="1"/>
        <v>-32</v>
      </c>
      <c r="B126" s="21">
        <v>48</v>
      </c>
      <c r="C126" s="26">
        <f t="shared" si="2"/>
        <v>39.488304450074487</v>
      </c>
      <c r="D126" s="80"/>
      <c r="E126" s="80"/>
      <c r="F126" s="80"/>
      <c r="G126" s="81"/>
      <c r="H126" s="81"/>
      <c r="I126" s="81"/>
      <c r="J126" s="81"/>
      <c r="K126" s="81"/>
      <c r="L126" s="3"/>
      <c r="M126" s="88"/>
      <c r="N126" s="88"/>
      <c r="O126" s="88"/>
      <c r="P126" s="88"/>
      <c r="Q126" s="88"/>
      <c r="R126" s="88"/>
      <c r="S126" s="88"/>
      <c r="T126" s="88"/>
      <c r="V126">
        <f t="shared" si="3"/>
        <v>-32</v>
      </c>
      <c r="X126" s="113">
        <f t="shared" si="4"/>
        <v>39.488304450074487</v>
      </c>
      <c r="Y126" s="97"/>
      <c r="Z126" s="97"/>
      <c r="AA126" s="97"/>
      <c r="AB126" s="97"/>
      <c r="AC126" s="97"/>
      <c r="AD126" s="97"/>
      <c r="AE126" s="97"/>
      <c r="AF126" s="97"/>
    </row>
    <row r="127" spans="1:32" ht="14">
      <c r="A127">
        <f t="shared" si="1"/>
        <v>-31</v>
      </c>
      <c r="B127" s="21">
        <v>49</v>
      </c>
      <c r="C127" s="26">
        <f t="shared" si="2"/>
        <v>40.961721182182558</v>
      </c>
      <c r="D127" s="80"/>
      <c r="E127" s="80"/>
      <c r="F127" s="82"/>
      <c r="G127" s="81"/>
      <c r="H127" s="81"/>
      <c r="I127" s="81"/>
      <c r="J127" s="81"/>
      <c r="K127" s="81"/>
      <c r="L127" s="3"/>
      <c r="M127" s="88"/>
      <c r="N127" s="88"/>
      <c r="O127" s="88"/>
      <c r="P127" s="88"/>
      <c r="Q127" s="88"/>
      <c r="R127" s="88"/>
      <c r="S127" s="88"/>
      <c r="T127" s="88"/>
      <c r="V127">
        <f t="shared" si="3"/>
        <v>-31</v>
      </c>
      <c r="X127" s="113">
        <f t="shared" si="4"/>
        <v>40.961721182182558</v>
      </c>
      <c r="Y127" s="97"/>
      <c r="Z127" s="97"/>
      <c r="AA127" s="97"/>
      <c r="AB127" s="97"/>
      <c r="AC127" s="97"/>
      <c r="AD127" s="97"/>
      <c r="AE127" s="97"/>
      <c r="AF127" s="97"/>
    </row>
    <row r="128" spans="1:32" ht="14">
      <c r="A128">
        <f t="shared" si="1"/>
        <v>-30</v>
      </c>
      <c r="B128" s="21">
        <v>50</v>
      </c>
      <c r="C128" s="26">
        <f t="shared" si="2"/>
        <v>42.441094328779549</v>
      </c>
      <c r="D128" s="80"/>
      <c r="E128" s="80"/>
      <c r="F128" s="82"/>
      <c r="G128" s="81"/>
      <c r="H128" s="81"/>
      <c r="I128" s="81"/>
      <c r="J128" s="81"/>
      <c r="K128" s="81"/>
      <c r="L128" s="3"/>
      <c r="M128" s="88"/>
      <c r="N128" s="88"/>
      <c r="O128" s="88"/>
      <c r="P128" s="88"/>
      <c r="Q128" s="88"/>
      <c r="R128" s="88"/>
      <c r="S128" s="88"/>
      <c r="T128" s="88"/>
      <c r="V128">
        <f t="shared" si="3"/>
        <v>-30</v>
      </c>
      <c r="X128" s="113">
        <f t="shared" si="4"/>
        <v>42.441094328779549</v>
      </c>
      <c r="Y128" s="97"/>
      <c r="Z128" s="97"/>
      <c r="AA128" s="97"/>
      <c r="AB128" s="97"/>
      <c r="AC128" s="97"/>
      <c r="AD128" s="97"/>
      <c r="AE128" s="97"/>
      <c r="AF128" s="97"/>
    </row>
    <row r="129" spans="1:32" ht="14">
      <c r="A129">
        <f t="shared" si="1"/>
        <v>-29</v>
      </c>
      <c r="B129" s="21">
        <v>51</v>
      </c>
      <c r="C129" s="26">
        <f t="shared" si="2"/>
        <v>43.925330047044007</v>
      </c>
      <c r="D129" s="80"/>
      <c r="E129" s="80"/>
      <c r="F129" s="82"/>
      <c r="G129" s="81"/>
      <c r="H129" s="81"/>
      <c r="I129" s="81"/>
      <c r="J129" s="81"/>
      <c r="K129" s="81"/>
      <c r="L129" s="3"/>
      <c r="M129" s="88"/>
      <c r="N129" s="88"/>
      <c r="O129" s="88"/>
      <c r="P129" s="88"/>
      <c r="Q129" s="88"/>
      <c r="R129" s="88"/>
      <c r="S129" s="88"/>
      <c r="T129" s="88"/>
      <c r="V129">
        <f t="shared" si="3"/>
        <v>-29</v>
      </c>
      <c r="X129" s="113">
        <f t="shared" si="4"/>
        <v>43.925330047044007</v>
      </c>
      <c r="Y129" s="97"/>
      <c r="Z129" s="97"/>
      <c r="AA129" s="97"/>
      <c r="AB129" s="97"/>
      <c r="AC129" s="97"/>
      <c r="AD129" s="97"/>
      <c r="AE129" s="97"/>
      <c r="AF129" s="97"/>
    </row>
    <row r="130" spans="1:32" ht="14">
      <c r="A130">
        <f t="shared" si="1"/>
        <v>-28</v>
      </c>
      <c r="B130" s="21">
        <v>52</v>
      </c>
      <c r="C130" s="26">
        <f t="shared" si="2"/>
        <v>45.413371029020936</v>
      </c>
      <c r="D130" s="80"/>
      <c r="E130" s="80"/>
      <c r="F130" s="82"/>
      <c r="G130" s="81"/>
      <c r="H130" s="81"/>
      <c r="I130" s="81"/>
      <c r="J130" s="81"/>
      <c r="K130" s="81"/>
      <c r="L130" s="3"/>
      <c r="M130" s="88"/>
      <c r="N130" s="88"/>
      <c r="O130" s="88"/>
      <c r="P130" s="88"/>
      <c r="Q130" s="88"/>
      <c r="R130" s="88"/>
      <c r="S130" s="88"/>
      <c r="T130" s="88"/>
      <c r="V130">
        <f t="shared" si="3"/>
        <v>-28</v>
      </c>
      <c r="X130" s="113">
        <f t="shared" si="4"/>
        <v>45.413371029020936</v>
      </c>
      <c r="Y130" s="97"/>
      <c r="Z130" s="97"/>
      <c r="AA130" s="97"/>
      <c r="AB130" s="97"/>
      <c r="AC130" s="97"/>
      <c r="AD130" s="97"/>
      <c r="AE130" s="97"/>
      <c r="AF130" s="97"/>
    </row>
    <row r="131" spans="1:32" ht="14">
      <c r="A131">
        <f t="shared" si="1"/>
        <v>-27</v>
      </c>
      <c r="B131" s="21">
        <v>53</v>
      </c>
      <c r="C131" s="26">
        <f t="shared" si="2"/>
        <v>46.904196557050838</v>
      </c>
      <c r="D131" s="80"/>
      <c r="E131" s="80"/>
      <c r="F131" s="82"/>
      <c r="G131" s="81"/>
      <c r="H131" s="81"/>
      <c r="I131" s="81"/>
      <c r="J131" s="81"/>
      <c r="K131" s="81"/>
      <c r="L131" s="3"/>
      <c r="M131" s="88"/>
      <c r="N131" s="88"/>
      <c r="O131" s="88"/>
      <c r="P131" s="88"/>
      <c r="Q131" s="88"/>
      <c r="R131" s="88"/>
      <c r="S131" s="88"/>
      <c r="T131" s="88"/>
      <c r="V131">
        <f t="shared" si="3"/>
        <v>-27</v>
      </c>
      <c r="X131" s="113">
        <f t="shared" si="4"/>
        <v>46.904196557050838</v>
      </c>
      <c r="Y131" s="97"/>
      <c r="Z131" s="97"/>
      <c r="AA131" s="97"/>
      <c r="AB131" s="97"/>
      <c r="AC131" s="97"/>
      <c r="AD131" s="97"/>
      <c r="AE131" s="97"/>
      <c r="AF131" s="97"/>
    </row>
    <row r="132" spans="1:32" ht="14">
      <c r="A132">
        <f t="shared" si="1"/>
        <v>-26</v>
      </c>
      <c r="B132" s="21">
        <v>54</v>
      </c>
      <c r="C132" s="26">
        <f t="shared" si="2"/>
        <v>48.396822448236769</v>
      </c>
      <c r="D132" s="80"/>
      <c r="E132" s="80"/>
      <c r="F132" s="82"/>
      <c r="G132" s="81"/>
      <c r="H132" s="81"/>
      <c r="I132" s="81"/>
      <c r="J132" s="81"/>
      <c r="K132" s="81"/>
      <c r="L132" s="3"/>
      <c r="M132" s="88"/>
      <c r="N132" s="88"/>
      <c r="O132" s="88"/>
      <c r="P132" s="88"/>
      <c r="Q132" s="88"/>
      <c r="R132" s="88"/>
      <c r="S132" s="88"/>
      <c r="T132" s="88"/>
      <c r="V132">
        <f t="shared" si="3"/>
        <v>-26</v>
      </c>
      <c r="X132" s="113">
        <f t="shared" si="4"/>
        <v>48.396822448236769</v>
      </c>
      <c r="Y132" s="97"/>
      <c r="Z132" s="97"/>
      <c r="AA132" s="97"/>
      <c r="AB132" s="97"/>
      <c r="AC132" s="97"/>
      <c r="AD132" s="97"/>
      <c r="AE132" s="97"/>
      <c r="AF132" s="97"/>
    </row>
    <row r="133" spans="1:32" ht="14">
      <c r="A133">
        <f t="shared" si="1"/>
        <v>-25</v>
      </c>
      <c r="B133" s="21">
        <v>55</v>
      </c>
      <c r="C133" s="26">
        <f t="shared" si="2"/>
        <v>49.890300899073623</v>
      </c>
      <c r="D133" s="80"/>
      <c r="E133" s="80"/>
      <c r="F133" s="82"/>
      <c r="G133" s="81"/>
      <c r="H133" s="81"/>
      <c r="I133" s="81"/>
      <c r="J133" s="81"/>
      <c r="K133" s="81"/>
      <c r="L133" s="3"/>
      <c r="M133" s="88"/>
      <c r="N133" s="88"/>
      <c r="O133" s="88"/>
      <c r="P133" s="88"/>
      <c r="Q133" s="88"/>
      <c r="R133" s="88"/>
      <c r="S133" s="88"/>
      <c r="T133" s="88"/>
      <c r="V133">
        <f t="shared" si="3"/>
        <v>-25</v>
      </c>
      <c r="X133" s="113">
        <f t="shared" si="4"/>
        <v>49.890300899073623</v>
      </c>
      <c r="Y133" s="97"/>
      <c r="Z133" s="97"/>
      <c r="AA133" s="97"/>
      <c r="AB133" s="97"/>
      <c r="AC133" s="97"/>
      <c r="AD133" s="97"/>
      <c r="AE133" s="97"/>
      <c r="AF133" s="97"/>
    </row>
    <row r="134" spans="1:32" ht="14">
      <c r="A134">
        <f t="shared" si="1"/>
        <v>-24</v>
      </c>
      <c r="B134" s="21">
        <v>56</v>
      </c>
      <c r="C134" s="26">
        <f t="shared" si="2"/>
        <v>51.383720240525165</v>
      </c>
      <c r="D134" s="80"/>
      <c r="E134" s="80"/>
      <c r="F134" s="82"/>
      <c r="G134" s="81"/>
      <c r="H134" s="81"/>
      <c r="I134" s="81"/>
      <c r="J134" s="81"/>
      <c r="K134" s="81"/>
      <c r="L134" s="3"/>
      <c r="M134" s="88"/>
      <c r="N134" s="88"/>
      <c r="O134" s="88"/>
      <c r="P134" s="88"/>
      <c r="Q134" s="88"/>
      <c r="R134" s="88"/>
      <c r="S134" s="88"/>
      <c r="T134" s="88"/>
      <c r="V134">
        <f t="shared" si="3"/>
        <v>-24</v>
      </c>
      <c r="X134" s="113">
        <f t="shared" si="4"/>
        <v>51.383720240525165</v>
      </c>
      <c r="Y134" s="97"/>
      <c r="Z134" s="97"/>
      <c r="AA134" s="97"/>
      <c r="AB134" s="97"/>
      <c r="AC134" s="97"/>
      <c r="AD134" s="97"/>
      <c r="AE134" s="97"/>
      <c r="AF134" s="97"/>
    </row>
    <row r="135" spans="1:32" ht="14">
      <c r="A135">
        <f t="shared" si="1"/>
        <v>-23</v>
      </c>
      <c r="B135" s="21">
        <v>57</v>
      </c>
      <c r="C135" s="26">
        <f t="shared" si="2"/>
        <v>52.876204613051172</v>
      </c>
      <c r="D135" s="80"/>
      <c r="E135" s="80"/>
      <c r="F135" s="82"/>
      <c r="G135" s="81"/>
      <c r="H135" s="81"/>
      <c r="I135" s="81"/>
      <c r="J135" s="81"/>
      <c r="K135" s="81"/>
      <c r="L135" s="3"/>
      <c r="M135" s="88"/>
      <c r="N135" s="88"/>
      <c r="O135" s="88"/>
      <c r="P135" s="88"/>
      <c r="Q135" s="88"/>
      <c r="R135" s="88"/>
      <c r="S135" s="88"/>
      <c r="T135" s="88"/>
      <c r="V135">
        <f t="shared" si="3"/>
        <v>-23</v>
      </c>
      <c r="X135" s="113">
        <f t="shared" si="4"/>
        <v>52.876204613051172</v>
      </c>
      <c r="Y135" s="97"/>
      <c r="Z135" s="97"/>
      <c r="AA135" s="97"/>
      <c r="AB135" s="97"/>
      <c r="AC135" s="97"/>
      <c r="AD135" s="97"/>
      <c r="AE135" s="97"/>
      <c r="AF135" s="97"/>
    </row>
    <row r="136" spans="1:32" ht="14">
      <c r="A136">
        <f t="shared" si="1"/>
        <v>-22</v>
      </c>
      <c r="B136" s="21">
        <v>58</v>
      </c>
      <c r="C136" s="26">
        <f t="shared" si="2"/>
        <v>54.366913570356942</v>
      </c>
      <c r="D136" s="80"/>
      <c r="E136" s="80"/>
      <c r="F136" s="82"/>
      <c r="G136" s="81"/>
      <c r="H136" s="81"/>
      <c r="I136" s="81"/>
      <c r="J136" s="81"/>
      <c r="K136" s="81"/>
      <c r="L136" s="3"/>
      <c r="M136" s="88"/>
      <c r="N136" s="88"/>
      <c r="O136" s="88"/>
      <c r="P136" s="88"/>
      <c r="Q136" s="88"/>
      <c r="R136" s="88"/>
      <c r="S136" s="88"/>
      <c r="T136" s="88"/>
      <c r="V136">
        <f t="shared" si="3"/>
        <v>-22</v>
      </c>
      <c r="X136" s="113">
        <f t="shared" si="4"/>
        <v>54.366913570356942</v>
      </c>
      <c r="Y136" s="97"/>
      <c r="Z136" s="97"/>
      <c r="AA136" s="97"/>
      <c r="AB136" s="97"/>
      <c r="AC136" s="97"/>
      <c r="AD136" s="97"/>
      <c r="AE136" s="97"/>
      <c r="AF136" s="97"/>
    </row>
    <row r="137" spans="1:32" ht="14">
      <c r="A137">
        <f t="shared" si="1"/>
        <v>-21</v>
      </c>
      <c r="B137" s="21">
        <v>59</v>
      </c>
      <c r="C137" s="26">
        <f t="shared" si="2"/>
        <v>55.855041619958222</v>
      </c>
      <c r="D137" s="80"/>
      <c r="E137" s="80"/>
      <c r="F137" s="82"/>
      <c r="G137" s="81"/>
      <c r="H137" s="81"/>
      <c r="I137" s="81"/>
      <c r="J137" s="81"/>
      <c r="K137" s="81"/>
      <c r="L137" s="3"/>
      <c r="M137" s="88"/>
      <c r="N137" s="88"/>
      <c r="O137" s="88"/>
      <c r="P137" s="88"/>
      <c r="Q137" s="88"/>
      <c r="R137" s="88"/>
      <c r="S137" s="88"/>
      <c r="T137" s="88"/>
      <c r="V137">
        <f t="shared" si="3"/>
        <v>-21</v>
      </c>
      <c r="X137" s="113">
        <f t="shared" si="4"/>
        <v>55.855041619958222</v>
      </c>
      <c r="Y137" s="97"/>
      <c r="Z137" s="97"/>
      <c r="AA137" s="97"/>
      <c r="AB137" s="97"/>
      <c r="AC137" s="97"/>
      <c r="AD137" s="97"/>
      <c r="AE137" s="97"/>
      <c r="AF137" s="97"/>
    </row>
    <row r="138" spans="1:32" ht="14">
      <c r="A138">
        <f t="shared" si="1"/>
        <v>-20</v>
      </c>
      <c r="B138" s="21">
        <v>60</v>
      </c>
      <c r="C138" s="26">
        <f t="shared" si="2"/>
        <v>57.339817708019403</v>
      </c>
      <c r="D138" s="80"/>
      <c r="E138" s="80"/>
      <c r="F138" s="82"/>
      <c r="G138" s="81"/>
      <c r="H138" s="81"/>
      <c r="I138" s="81"/>
      <c r="J138" s="81"/>
      <c r="K138" s="81"/>
      <c r="L138" s="3"/>
      <c r="M138" s="88"/>
      <c r="N138" s="88"/>
      <c r="O138" s="88"/>
      <c r="P138" s="88"/>
      <c r="Q138" s="88"/>
      <c r="R138" s="88"/>
      <c r="S138" s="88"/>
      <c r="T138" s="88"/>
      <c r="V138">
        <f t="shared" si="3"/>
        <v>-20</v>
      </c>
      <c r="X138" s="113">
        <f t="shared" si="4"/>
        <v>57.339817708019403</v>
      </c>
      <c r="Y138" s="97"/>
      <c r="Z138" s="97"/>
      <c r="AA138" s="97"/>
      <c r="AB138" s="97"/>
      <c r="AC138" s="97"/>
      <c r="AD138" s="97"/>
      <c r="AE138" s="97"/>
      <c r="AF138" s="97"/>
    </row>
    <row r="139" spans="1:32" ht="14">
      <c r="A139">
        <f t="shared" si="1"/>
        <v>-19</v>
      </c>
      <c r="B139" s="21">
        <v>61</v>
      </c>
      <c r="C139" s="26">
        <f t="shared" si="2"/>
        <v>58.820504655333551</v>
      </c>
      <c r="D139" s="80"/>
      <c r="E139" s="80"/>
      <c r="F139" s="82"/>
      <c r="G139" s="81"/>
      <c r="H139" s="81"/>
      <c r="I139" s="81"/>
      <c r="J139" s="81"/>
      <c r="K139" s="81"/>
      <c r="L139" s="3"/>
      <c r="M139" s="88"/>
      <c r="N139" s="88"/>
      <c r="O139" s="88"/>
      <c r="P139" s="88"/>
      <c r="Q139" s="88"/>
      <c r="R139" s="88"/>
      <c r="S139" s="88"/>
      <c r="T139" s="88"/>
      <c r="V139">
        <f t="shared" si="3"/>
        <v>-19</v>
      </c>
      <c r="X139" s="113">
        <f t="shared" si="4"/>
        <v>58.820504655333551</v>
      </c>
      <c r="Y139" s="97"/>
      <c r="Z139" s="97"/>
      <c r="AA139" s="97"/>
      <c r="AB139" s="97"/>
      <c r="AC139" s="97"/>
      <c r="AD139" s="97"/>
      <c r="AE139" s="97"/>
      <c r="AF139" s="97"/>
    </row>
    <row r="140" spans="1:32" ht="14">
      <c r="A140">
        <f t="shared" si="1"/>
        <v>-18</v>
      </c>
      <c r="B140" s="21">
        <v>62</v>
      </c>
      <c r="C140" s="26">
        <f t="shared" si="2"/>
        <v>60.296398550762532</v>
      </c>
      <c r="D140" s="80"/>
      <c r="E140" s="80"/>
      <c r="F140" s="82"/>
      <c r="G140" s="81"/>
      <c r="H140" s="81"/>
      <c r="I140" s="81"/>
      <c r="J140" s="81"/>
      <c r="K140" s="81"/>
      <c r="L140" s="3"/>
      <c r="M140" s="88"/>
      <c r="N140" s="88"/>
      <c r="O140" s="88"/>
      <c r="P140" s="88"/>
      <c r="Q140" s="88"/>
      <c r="R140" s="88"/>
      <c r="S140" s="88"/>
      <c r="T140" s="88"/>
      <c r="V140">
        <f t="shared" si="3"/>
        <v>-18</v>
      </c>
      <c r="X140" s="113">
        <f t="shared" si="4"/>
        <v>60.296398550762532</v>
      </c>
      <c r="Y140" s="97"/>
      <c r="Z140" s="97"/>
      <c r="AA140" s="97"/>
      <c r="AB140" s="97"/>
      <c r="AC140" s="97"/>
      <c r="AD140" s="97"/>
      <c r="AE140" s="97"/>
      <c r="AF140" s="97"/>
    </row>
    <row r="141" spans="1:32" ht="14">
      <c r="A141">
        <f t="shared" si="1"/>
        <v>-17</v>
      </c>
      <c r="B141" s="21">
        <v>63</v>
      </c>
      <c r="C141" s="26">
        <f t="shared" si="2"/>
        <v>61.766828107944157</v>
      </c>
      <c r="D141" s="80"/>
      <c r="E141" s="80"/>
      <c r="F141" s="82"/>
      <c r="G141" s="81"/>
      <c r="H141" s="81"/>
      <c r="I141" s="81"/>
      <c r="J141" s="81"/>
      <c r="K141" s="81"/>
      <c r="L141" s="3"/>
      <c r="M141" s="88"/>
      <c r="N141" s="88"/>
      <c r="O141" s="88"/>
      <c r="P141" s="88"/>
      <c r="Q141" s="88"/>
      <c r="R141" s="88"/>
      <c r="S141" s="88"/>
      <c r="T141" s="88"/>
      <c r="V141">
        <f t="shared" si="3"/>
        <v>-17</v>
      </c>
      <c r="X141" s="113">
        <f t="shared" si="4"/>
        <v>61.766828107944157</v>
      </c>
      <c r="Y141" s="97"/>
      <c r="Z141" s="97"/>
      <c r="AA141" s="97"/>
      <c r="AB141" s="97"/>
      <c r="AC141" s="97"/>
      <c r="AD141" s="97"/>
      <c r="AE141" s="97"/>
      <c r="AF141" s="97"/>
    </row>
    <row r="142" spans="1:32" ht="14">
      <c r="A142">
        <f t="shared" ref="A142:A156" si="5">A143-1</f>
        <v>-16</v>
      </c>
      <c r="B142" s="21">
        <v>64</v>
      </c>
      <c r="C142" s="26">
        <f t="shared" ref="C142:C205" si="6">B$8*(1-EXP(-B$9*$B142))^3</f>
        <v>63.231153990596866</v>
      </c>
      <c r="D142" s="80"/>
      <c r="E142" s="80"/>
      <c r="F142" s="82"/>
      <c r="G142" s="81"/>
      <c r="H142" s="81"/>
      <c r="I142" s="81"/>
      <c r="J142" s="81"/>
      <c r="K142" s="81"/>
      <c r="L142" s="3"/>
      <c r="M142" s="88"/>
      <c r="N142" s="88"/>
      <c r="O142" s="88"/>
      <c r="P142" s="88"/>
      <c r="Q142" s="88"/>
      <c r="R142" s="88"/>
      <c r="S142" s="88"/>
      <c r="T142" s="88"/>
      <c r="V142">
        <f t="shared" ref="V142:V205" si="7">A142</f>
        <v>-16</v>
      </c>
      <c r="X142" s="113">
        <f t="shared" ref="X142:X205" si="8">C142</f>
        <v>63.231153990596866</v>
      </c>
      <c r="Y142" s="97"/>
      <c r="Z142" s="97"/>
      <c r="AA142" s="97"/>
      <c r="AB142" s="97"/>
      <c r="AC142" s="97"/>
      <c r="AD142" s="97"/>
      <c r="AE142" s="97"/>
      <c r="AF142" s="97"/>
    </row>
    <row r="143" spans="1:32" ht="14">
      <c r="A143">
        <f t="shared" si="5"/>
        <v>-15</v>
      </c>
      <c r="B143" s="21">
        <v>65</v>
      </c>
      <c r="C143" s="26">
        <f t="shared" si="6"/>
        <v>64.688768111309656</v>
      </c>
      <c r="D143" s="80"/>
      <c r="E143" s="80"/>
      <c r="F143" s="82"/>
      <c r="G143" s="81"/>
      <c r="H143" s="81"/>
      <c r="I143" s="81"/>
      <c r="J143" s="81"/>
      <c r="K143" s="81"/>
      <c r="L143" s="3"/>
      <c r="M143" s="88"/>
      <c r="N143" s="88"/>
      <c r="O143" s="88"/>
      <c r="P143" s="88"/>
      <c r="Q143" s="88"/>
      <c r="R143" s="88"/>
      <c r="S143" s="88"/>
      <c r="T143" s="88"/>
      <c r="V143">
        <f t="shared" si="7"/>
        <v>-15</v>
      </c>
      <c r="X143" s="113">
        <f t="shared" si="8"/>
        <v>64.688768111309656</v>
      </c>
      <c r="Y143" s="97"/>
      <c r="Z143" s="97"/>
      <c r="AA143" s="97"/>
      <c r="AB143" s="97"/>
      <c r="AC143" s="97"/>
      <c r="AD143" s="97"/>
      <c r="AE143" s="97"/>
      <c r="AF143" s="97"/>
    </row>
    <row r="144" spans="1:32" ht="14">
      <c r="A144">
        <f t="shared" si="5"/>
        <v>-14</v>
      </c>
      <c r="B144" s="21">
        <v>66</v>
      </c>
      <c r="C144" s="26">
        <f t="shared" si="6"/>
        <v>66.139092908293648</v>
      </c>
      <c r="D144" s="80"/>
      <c r="E144" s="80"/>
      <c r="F144" s="82"/>
      <c r="G144" s="81"/>
      <c r="H144" s="81"/>
      <c r="I144" s="81"/>
      <c r="J144" s="81"/>
      <c r="K144" s="81"/>
      <c r="L144" s="3"/>
      <c r="M144" s="88"/>
      <c r="N144" s="88"/>
      <c r="O144" s="88"/>
      <c r="P144" s="88"/>
      <c r="Q144" s="88"/>
      <c r="R144" s="88"/>
      <c r="S144" s="88"/>
      <c r="T144" s="88"/>
      <c r="V144">
        <f t="shared" si="7"/>
        <v>-14</v>
      </c>
      <c r="X144" s="113">
        <f t="shared" si="8"/>
        <v>66.139092908293648</v>
      </c>
      <c r="Y144" s="97"/>
      <c r="Z144" s="97"/>
      <c r="AA144" s="97"/>
      <c r="AB144" s="97"/>
      <c r="AC144" s="97"/>
      <c r="AD144" s="97"/>
      <c r="AE144" s="97"/>
      <c r="AF144" s="97"/>
    </row>
    <row r="145" spans="1:33" ht="14">
      <c r="A145">
        <f t="shared" si="5"/>
        <v>-13</v>
      </c>
      <c r="B145" s="21">
        <v>67</v>
      </c>
      <c r="C145" s="26">
        <f t="shared" si="6"/>
        <v>67.581580604188758</v>
      </c>
      <c r="D145" s="80"/>
      <c r="E145" s="80"/>
      <c r="F145" s="82"/>
      <c r="G145" s="81"/>
      <c r="H145" s="81"/>
      <c r="I145" s="81"/>
      <c r="J145" s="81"/>
      <c r="K145" s="81"/>
      <c r="L145" s="3"/>
      <c r="M145" s="88"/>
      <c r="N145" s="88"/>
      <c r="O145" s="88"/>
      <c r="P145" s="88"/>
      <c r="Q145" s="88"/>
      <c r="R145" s="88"/>
      <c r="S145" s="88"/>
      <c r="T145" s="88"/>
      <c r="V145">
        <f t="shared" si="7"/>
        <v>-13</v>
      </c>
      <c r="X145" s="113">
        <f t="shared" si="8"/>
        <v>67.581580604188758</v>
      </c>
      <c r="Y145" s="97"/>
      <c r="Z145" s="97"/>
      <c r="AA145" s="97"/>
      <c r="AB145" s="97"/>
      <c r="AC145" s="97"/>
      <c r="AD145" s="97"/>
      <c r="AE145" s="97"/>
      <c r="AF145" s="97"/>
    </row>
    <row r="146" spans="1:33" ht="14">
      <c r="A146">
        <f t="shared" si="5"/>
        <v>-12</v>
      </c>
      <c r="B146" s="21">
        <v>68</v>
      </c>
      <c r="C146" s="26">
        <f t="shared" si="6"/>
        <v>69.015712450663429</v>
      </c>
      <c r="D146" s="80"/>
      <c r="E146" s="80"/>
      <c r="F146" s="82"/>
      <c r="G146" s="81"/>
      <c r="H146" s="81"/>
      <c r="I146" s="81"/>
      <c r="J146" s="81"/>
      <c r="K146" s="81"/>
      <c r="L146" s="3"/>
      <c r="M146" s="88"/>
      <c r="N146" s="88"/>
      <c r="O146" s="88"/>
      <c r="P146" s="88"/>
      <c r="Q146" s="88"/>
      <c r="R146" s="88"/>
      <c r="S146" s="88"/>
      <c r="T146" s="88"/>
      <c r="V146">
        <f t="shared" si="7"/>
        <v>-12</v>
      </c>
      <c r="X146" s="113">
        <f t="shared" si="8"/>
        <v>69.015712450663429</v>
      </c>
      <c r="Y146" s="97"/>
      <c r="Z146" s="97"/>
      <c r="AA146" s="97"/>
      <c r="AB146" s="97"/>
      <c r="AC146" s="97"/>
      <c r="AD146" s="97"/>
      <c r="AE146" s="97"/>
      <c r="AF146" s="97"/>
    </row>
    <row r="147" spans="1:33" ht="14">
      <c r="A147">
        <f t="shared" si="5"/>
        <v>-11</v>
      </c>
      <c r="B147" s="21">
        <v>69</v>
      </c>
      <c r="C147" s="26">
        <f t="shared" si="6"/>
        <v>70.440997962215533</v>
      </c>
      <c r="D147" s="80"/>
      <c r="E147" s="80"/>
      <c r="F147" s="82"/>
      <c r="G147" s="81"/>
      <c r="H147" s="81"/>
      <c r="I147" s="81"/>
      <c r="J147" s="81"/>
      <c r="K147" s="81"/>
      <c r="L147" s="3"/>
      <c r="M147" s="88"/>
      <c r="N147" s="88"/>
      <c r="O147" s="88"/>
      <c r="P147" s="88"/>
      <c r="Q147" s="88"/>
      <c r="R147" s="88"/>
      <c r="S147" s="88"/>
      <c r="T147" s="88"/>
      <c r="V147">
        <f t="shared" si="7"/>
        <v>-11</v>
      </c>
      <c r="X147" s="113">
        <f t="shared" si="8"/>
        <v>70.440997962215533</v>
      </c>
      <c r="Y147" s="97"/>
      <c r="Z147" s="97"/>
      <c r="AA147" s="97"/>
      <c r="AB147" s="97"/>
      <c r="AC147" s="97"/>
      <c r="AD147" s="97"/>
      <c r="AE147" s="97"/>
      <c r="AF147" s="97"/>
    </row>
    <row r="148" spans="1:33" ht="14">
      <c r="A148">
        <f t="shared" si="5"/>
        <v>-10</v>
      </c>
      <c r="B148" s="21">
        <v>70</v>
      </c>
      <c r="C148" s="26">
        <f t="shared" si="6"/>
        <v>71.856974142276854</v>
      </c>
      <c r="D148" s="80"/>
      <c r="E148" s="80"/>
      <c r="F148" s="82"/>
      <c r="G148" s="81"/>
      <c r="H148" s="81"/>
      <c r="I148" s="81"/>
      <c r="J148" s="81"/>
      <c r="K148" s="81"/>
      <c r="L148" s="3"/>
      <c r="M148" s="88"/>
      <c r="N148" s="88"/>
      <c r="O148" s="88"/>
      <c r="P148" s="88"/>
      <c r="Q148" s="88"/>
      <c r="R148" s="88"/>
      <c r="S148" s="88"/>
      <c r="T148" s="88"/>
      <c r="V148">
        <f t="shared" si="7"/>
        <v>-10</v>
      </c>
      <c r="X148" s="113">
        <f t="shared" si="8"/>
        <v>71.856974142276854</v>
      </c>
      <c r="Y148" s="97"/>
      <c r="Z148" s="97"/>
      <c r="AA148" s="97"/>
      <c r="AB148" s="97"/>
      <c r="AC148" s="97"/>
      <c r="AD148" s="97"/>
      <c r="AE148" s="97"/>
      <c r="AF148" s="97"/>
    </row>
    <row r="149" spans="1:33" ht="14">
      <c r="A149">
        <f t="shared" si="5"/>
        <v>-9</v>
      </c>
      <c r="B149" s="21">
        <v>71</v>
      </c>
      <c r="C149" s="26">
        <f t="shared" si="6"/>
        <v>73.26320470443828</v>
      </c>
      <c r="D149" s="80"/>
      <c r="E149" s="80"/>
      <c r="F149" s="82"/>
      <c r="G149" s="81"/>
      <c r="H149" s="81"/>
      <c r="I149" s="81"/>
      <c r="J149" s="81"/>
      <c r="K149" s="81"/>
      <c r="L149" s="3"/>
      <c r="M149" s="88"/>
      <c r="N149" s="88"/>
      <c r="O149" s="88"/>
      <c r="P149" s="88"/>
      <c r="Q149" s="88"/>
      <c r="R149" s="88"/>
      <c r="S149" s="88"/>
      <c r="T149" s="88"/>
      <c r="V149">
        <f t="shared" si="7"/>
        <v>-9</v>
      </c>
      <c r="X149" s="113">
        <f t="shared" si="8"/>
        <v>73.26320470443828</v>
      </c>
      <c r="Y149" s="97"/>
      <c r="Z149" s="97"/>
      <c r="AA149" s="97"/>
      <c r="AB149" s="97"/>
      <c r="AC149" s="97"/>
      <c r="AD149" s="97"/>
      <c r="AE149" s="97"/>
      <c r="AF149" s="97"/>
    </row>
    <row r="150" spans="1:33" ht="14">
      <c r="A150">
        <f t="shared" si="5"/>
        <v>-8</v>
      </c>
      <c r="B150" s="21">
        <v>72</v>
      </c>
      <c r="C150" s="26">
        <f t="shared" si="6"/>
        <v>74.659279291350884</v>
      </c>
      <c r="D150" s="80"/>
      <c r="E150" s="80"/>
      <c r="F150" s="82"/>
      <c r="G150" s="81"/>
      <c r="H150" s="81"/>
      <c r="I150" s="81"/>
      <c r="J150" s="81"/>
      <c r="K150" s="81"/>
      <c r="L150" s="3"/>
      <c r="M150" s="88"/>
      <c r="N150" s="88"/>
      <c r="O150" s="88"/>
      <c r="P150" s="88"/>
      <c r="Q150" s="88"/>
      <c r="R150" s="88"/>
      <c r="S150" s="88"/>
      <c r="T150" s="88"/>
      <c r="V150">
        <f t="shared" si="7"/>
        <v>-8</v>
      </c>
      <c r="X150" s="113">
        <f t="shared" si="8"/>
        <v>74.659279291350884</v>
      </c>
      <c r="Y150" s="97"/>
      <c r="Z150" s="97"/>
      <c r="AA150" s="97"/>
      <c r="AB150" s="97"/>
      <c r="AC150" s="97"/>
      <c r="AD150" s="97"/>
      <c r="AE150" s="97"/>
      <c r="AF150" s="97"/>
    </row>
    <row r="151" spans="1:33" ht="14">
      <c r="A151">
        <f t="shared" si="5"/>
        <v>-7</v>
      </c>
      <c r="B151" s="21">
        <v>73</v>
      </c>
      <c r="C151" s="26">
        <f t="shared" si="6"/>
        <v>76.044812693613196</v>
      </c>
      <c r="D151" s="80"/>
      <c r="E151" s="80"/>
      <c r="F151" s="82"/>
      <c r="G151" s="81"/>
      <c r="H151" s="81"/>
      <c r="I151" s="81"/>
      <c r="J151" s="81"/>
      <c r="K151" s="81"/>
      <c r="L151" s="3"/>
      <c r="M151" s="88"/>
      <c r="N151" s="88"/>
      <c r="O151" s="88"/>
      <c r="P151" s="88"/>
      <c r="Q151" s="88"/>
      <c r="R151" s="88"/>
      <c r="S151" s="88"/>
      <c r="T151" s="88"/>
      <c r="V151">
        <f t="shared" si="7"/>
        <v>-7</v>
      </c>
      <c r="X151" s="113">
        <f t="shared" si="8"/>
        <v>76.044812693613196</v>
      </c>
      <c r="Y151" s="97"/>
      <c r="Z151" s="97"/>
      <c r="AA151" s="97"/>
      <c r="AB151" s="97"/>
      <c r="AC151" s="97"/>
      <c r="AD151" s="97"/>
      <c r="AE151" s="97"/>
      <c r="AF151" s="97"/>
    </row>
    <row r="152" spans="1:33" ht="14">
      <c r="A152">
        <f t="shared" si="5"/>
        <v>-6</v>
      </c>
      <c r="B152" s="21">
        <v>74</v>
      </c>
      <c r="C152" s="26">
        <f t="shared" si="6"/>
        <v>77.419444070729355</v>
      </c>
      <c r="D152" s="80"/>
      <c r="E152" s="80"/>
      <c r="F152" s="82"/>
      <c r="G152" s="81"/>
      <c r="H152" s="81"/>
      <c r="I152" s="81"/>
      <c r="J152" s="81"/>
      <c r="K152" s="81"/>
      <c r="L152" s="3"/>
      <c r="M152" s="88"/>
      <c r="N152" s="88"/>
      <c r="O152" s="88"/>
      <c r="P152" s="88"/>
      <c r="Q152" s="88"/>
      <c r="R152" s="88"/>
      <c r="S152" s="88"/>
      <c r="T152" s="88"/>
      <c r="V152">
        <f t="shared" si="7"/>
        <v>-6</v>
      </c>
      <c r="X152" s="113">
        <f t="shared" si="8"/>
        <v>77.419444070729355</v>
      </c>
      <c r="Y152" s="97"/>
      <c r="Z152" s="97"/>
      <c r="AA152" s="97"/>
      <c r="AB152" s="97"/>
      <c r="AC152" s="97"/>
      <c r="AD152" s="97"/>
      <c r="AE152" s="97"/>
      <c r="AF152" s="97"/>
    </row>
    <row r="153" spans="1:33" ht="14">
      <c r="A153">
        <f t="shared" si="5"/>
        <v>-5</v>
      </c>
      <c r="B153" s="21">
        <v>75</v>
      </c>
      <c r="C153" s="26">
        <f t="shared" si="6"/>
        <v>78.782836176013703</v>
      </c>
      <c r="D153" s="80"/>
      <c r="E153" s="80"/>
      <c r="F153" s="82"/>
      <c r="G153" s="81"/>
      <c r="H153" s="81"/>
      <c r="I153" s="81"/>
      <c r="J153" s="81"/>
      <c r="K153" s="81"/>
      <c r="L153" s="3"/>
      <c r="M153" s="88"/>
      <c r="N153" s="88"/>
      <c r="O153" s="88"/>
      <c r="P153" s="88"/>
      <c r="Q153" s="88"/>
      <c r="R153" s="88"/>
      <c r="S153" s="88"/>
      <c r="T153" s="88"/>
      <c r="V153">
        <f t="shared" si="7"/>
        <v>-5</v>
      </c>
      <c r="X153" s="113">
        <f t="shared" si="8"/>
        <v>78.782836176013703</v>
      </c>
      <c r="Y153" s="97"/>
      <c r="Z153" s="97"/>
      <c r="AA153" s="97"/>
      <c r="AB153" s="97"/>
      <c r="AC153" s="97"/>
      <c r="AD153" s="97"/>
      <c r="AE153" s="97"/>
      <c r="AF153" s="97"/>
    </row>
    <row r="154" spans="1:33" ht="14">
      <c r="A154">
        <f t="shared" si="5"/>
        <v>-4</v>
      </c>
      <c r="B154" s="21">
        <v>76</v>
      </c>
      <c r="C154" s="26">
        <f t="shared" si="6"/>
        <v>80.134674587124508</v>
      </c>
      <c r="D154" s="80"/>
      <c r="E154" s="80"/>
      <c r="F154" s="82"/>
      <c r="G154" s="81"/>
      <c r="H154" s="81"/>
      <c r="I154" s="81"/>
      <c r="J154" s="81"/>
      <c r="K154" s="81"/>
      <c r="L154" s="3"/>
      <c r="M154" s="88"/>
      <c r="N154" s="88"/>
      <c r="O154" s="88"/>
      <c r="P154" s="88"/>
      <c r="Q154" s="88"/>
      <c r="R154" s="88"/>
      <c r="S154" s="88"/>
      <c r="T154" s="88"/>
      <c r="V154">
        <f t="shared" si="7"/>
        <v>-4</v>
      </c>
      <c r="X154" s="113">
        <f t="shared" si="8"/>
        <v>80.134674587124508</v>
      </c>
      <c r="Y154" s="97"/>
      <c r="Z154" s="97"/>
      <c r="AA154" s="97"/>
      <c r="AB154" s="97"/>
      <c r="AC154" s="97"/>
      <c r="AD154" s="97"/>
      <c r="AE154" s="97"/>
      <c r="AF154" s="97"/>
    </row>
    <row r="155" spans="1:33" ht="14">
      <c r="A155">
        <f t="shared" si="5"/>
        <v>-3</v>
      </c>
      <c r="B155" s="21">
        <v>77</v>
      </c>
      <c r="C155" s="26">
        <f t="shared" si="6"/>
        <v>81.474666943730071</v>
      </c>
      <c r="D155" s="80"/>
      <c r="E155" s="80"/>
      <c r="F155" s="82"/>
      <c r="G155" s="81"/>
      <c r="H155" s="81"/>
      <c r="I155" s="81"/>
      <c r="J155" s="81"/>
      <c r="K155" s="81"/>
      <c r="L155" s="3"/>
      <c r="M155" s="88"/>
      <c r="N155" s="88"/>
      <c r="O155" s="88"/>
      <c r="P155" s="88"/>
      <c r="Q155" s="88"/>
      <c r="R155" s="88"/>
      <c r="S155" s="88"/>
      <c r="T155" s="88"/>
      <c r="V155">
        <f t="shared" si="7"/>
        <v>-3</v>
      </c>
      <c r="X155" s="113">
        <f t="shared" si="8"/>
        <v>81.474666943730071</v>
      </c>
      <c r="Y155" s="97"/>
      <c r="Z155" s="97"/>
      <c r="AA155" s="97"/>
      <c r="AB155" s="97"/>
      <c r="AC155" s="97"/>
      <c r="AD155" s="97"/>
      <c r="AE155" s="97"/>
      <c r="AF155" s="97"/>
    </row>
    <row r="156" spans="1:33" ht="14">
      <c r="A156">
        <f t="shared" si="5"/>
        <v>-2</v>
      </c>
      <c r="B156" s="21">
        <v>78</v>
      </c>
      <c r="C156" s="26">
        <f t="shared" si="6"/>
        <v>82.802542193645991</v>
      </c>
      <c r="D156" s="80"/>
      <c r="E156" s="80"/>
      <c r="F156" s="82"/>
      <c r="G156" s="81"/>
      <c r="H156" s="81"/>
      <c r="I156" s="81"/>
      <c r="J156" s="81"/>
      <c r="K156" s="81"/>
      <c r="L156" s="3"/>
      <c r="M156" s="88"/>
      <c r="N156" s="88"/>
      <c r="O156" s="88"/>
      <c r="P156" s="88"/>
      <c r="Q156" s="88"/>
      <c r="R156" s="88"/>
      <c r="S156" s="88"/>
      <c r="T156" s="88"/>
      <c r="V156">
        <f t="shared" si="7"/>
        <v>-2</v>
      </c>
      <c r="X156" s="113">
        <f t="shared" si="8"/>
        <v>82.802542193645991</v>
      </c>
      <c r="Y156" s="97"/>
      <c r="Z156" s="97"/>
      <c r="AA156" s="97"/>
      <c r="AB156" s="97"/>
      <c r="AC156" s="97"/>
      <c r="AD156" s="97"/>
      <c r="AE156" s="97"/>
      <c r="AF156" s="97"/>
    </row>
    <row r="157" spans="1:33" ht="14">
      <c r="A157">
        <f>A158-1</f>
        <v>-1</v>
      </c>
      <c r="B157" s="21">
        <v>79</v>
      </c>
      <c r="C157" s="26">
        <f t="shared" si="6"/>
        <v>84.118049848630193</v>
      </c>
      <c r="D157" s="80"/>
      <c r="E157" s="80"/>
      <c r="F157" s="82"/>
      <c r="G157" s="81"/>
      <c r="H157" s="81"/>
      <c r="I157" s="81"/>
      <c r="J157" s="81"/>
      <c r="K157" s="81"/>
      <c r="L157" s="3"/>
      <c r="M157" s="88"/>
      <c r="N157" s="88"/>
      <c r="O157" s="88"/>
      <c r="P157" s="88"/>
      <c r="Q157" s="88"/>
      <c r="R157" s="88"/>
      <c r="S157" s="88"/>
      <c r="T157" s="88"/>
      <c r="V157">
        <f t="shared" si="7"/>
        <v>-1</v>
      </c>
      <c r="X157" s="113">
        <f t="shared" si="8"/>
        <v>84.118049848630193</v>
      </c>
      <c r="Y157" s="97"/>
      <c r="Z157" s="97"/>
      <c r="AA157" s="97"/>
      <c r="AB157" s="97"/>
      <c r="AC157" s="97"/>
      <c r="AD157" s="97"/>
      <c r="AE157" s="97"/>
      <c r="AF157" s="97"/>
    </row>
    <row r="158" spans="1:33" ht="14">
      <c r="A158">
        <v>0</v>
      </c>
      <c r="B158" s="21">
        <v>80</v>
      </c>
      <c r="C158" s="26">
        <f t="shared" si="6"/>
        <v>85.420959250881964</v>
      </c>
      <c r="D158" s="83">
        <f>C$158*(0.4*D$14)*('Product half-life and C flows'!B19/100)</f>
        <v>8.542095925088196</v>
      </c>
      <c r="E158" s="83">
        <f t="shared" ref="E158:E189" si="9">C$8*(1-EXP(-C$9*$B78))^3</f>
        <v>0</v>
      </c>
      <c r="F158" s="84">
        <f>(C$158*((0.4*B$14))-(C$158*0.03))</f>
        <v>23.063658997738134</v>
      </c>
      <c r="G158" s="83">
        <f>(C$158*((0.6*B$15)))</f>
        <v>12.300618132127003</v>
      </c>
      <c r="H158" s="83">
        <f>C$158*(0.6*C$15)*('Product half-life and C flows'!L19/100)</f>
        <v>38.43943166289688</v>
      </c>
      <c r="I158" s="83">
        <f>C$158*0.6*('Product half-life and C flows'!N19/100)</f>
        <v>0</v>
      </c>
      <c r="J158" s="83">
        <f>C$158*0.6*('Product half-life and C flows'!P19/100)</f>
        <v>0</v>
      </c>
      <c r="K158" s="83">
        <f>(H158*K$43)</f>
        <v>21.910476047851219</v>
      </c>
      <c r="L158" s="3"/>
      <c r="M158" s="88"/>
      <c r="N158" s="88"/>
      <c r="O158" s="88"/>
      <c r="P158" s="88"/>
      <c r="Q158" s="88"/>
      <c r="R158" s="88"/>
      <c r="S158" s="88"/>
      <c r="T158" s="88"/>
      <c r="V158">
        <f t="shared" si="7"/>
        <v>0</v>
      </c>
      <c r="W158" s="3">
        <f>D$8*(1-EXP(-D$9*$B78))^3</f>
        <v>0</v>
      </c>
      <c r="X158" s="113">
        <f t="shared" si="8"/>
        <v>85.420959250881964</v>
      </c>
      <c r="Y158" s="98">
        <f t="shared" ref="Y158:Y189" si="10">D158+M158</f>
        <v>8.542095925088196</v>
      </c>
      <c r="Z158" s="98">
        <f t="shared" ref="Z158:Z189" si="11">E158+N158</f>
        <v>0</v>
      </c>
      <c r="AA158" s="98">
        <f t="shared" ref="AA158:AA189" si="12">F158+O158</f>
        <v>23.063658997738134</v>
      </c>
      <c r="AB158" s="98">
        <f t="shared" ref="AB158:AB189" si="13">G158+P158</f>
        <v>12.300618132127003</v>
      </c>
      <c r="AC158" s="98">
        <f t="shared" ref="AC158:AC189" si="14">H158+Q158</f>
        <v>38.43943166289688</v>
      </c>
      <c r="AD158" s="98">
        <f t="shared" ref="AD158:AD189" si="15">I158+R158</f>
        <v>0</v>
      </c>
      <c r="AE158" s="98">
        <f t="shared" ref="AE158:AE189" si="16">J158+S158</f>
        <v>0</v>
      </c>
      <c r="AF158" s="98">
        <f t="shared" ref="AF158:AF189" si="17">K158+T158</f>
        <v>21.910476047851219</v>
      </c>
      <c r="AG158" s="3">
        <f t="shared" ref="AG158:AG189" si="18">SUM(Z158:AE158)</f>
        <v>73.803708792762023</v>
      </c>
    </row>
    <row r="159" spans="1:33" ht="14">
      <c r="A159">
        <f>A158+1</f>
        <v>1</v>
      </c>
      <c r="B159" s="21">
        <v>81</v>
      </c>
      <c r="C159" s="26">
        <f t="shared" si="6"/>
        <v>86.711058851161368</v>
      </c>
      <c r="D159" s="83">
        <f>C$158*(0.4*D$14)*('Product half-life and C flows'!B20/100)</f>
        <v>8.2511207792035748</v>
      </c>
      <c r="E159" s="83">
        <f t="shared" si="9"/>
        <v>6.6880163224559471E-3</v>
      </c>
      <c r="F159" s="83">
        <f>F158</f>
        <v>23.063658997738134</v>
      </c>
      <c r="G159" s="83">
        <f>G158</f>
        <v>12.300618132127003</v>
      </c>
      <c r="H159" s="83">
        <f>C$158*(0.6*C$15)*('Product half-life and C flows'!L20/100)</f>
        <v>37.85187545286945</v>
      </c>
      <c r="I159" s="83">
        <f>C$158*0.6*('Product half-life and C flows'!N20/100)</f>
        <v>0.3920958441583029</v>
      </c>
      <c r="J159" s="83">
        <f>C$158*0.6*('Product half-life and C flows'!P20/100)</f>
        <v>0.19585207000914232</v>
      </c>
      <c r="K159" s="83">
        <f>K158</f>
        <v>21.910476047851219</v>
      </c>
      <c r="L159" s="3"/>
      <c r="M159" s="88"/>
      <c r="N159" s="88"/>
      <c r="O159" s="88"/>
      <c r="P159" s="88"/>
      <c r="Q159" s="88"/>
      <c r="R159" s="88"/>
      <c r="S159" s="88"/>
      <c r="T159" s="88"/>
      <c r="V159">
        <f t="shared" si="7"/>
        <v>1</v>
      </c>
      <c r="W159" s="3">
        <f t="shared" ref="W159:W222" si="19">D$8*(1-EXP(-D$9*$B79))^3</f>
        <v>2.3896968363273279E-3</v>
      </c>
      <c r="X159" s="113">
        <f t="shared" si="8"/>
        <v>86.711058851161368</v>
      </c>
      <c r="Y159" s="98">
        <f t="shared" si="10"/>
        <v>8.2511207792035748</v>
      </c>
      <c r="Z159" s="98">
        <f t="shared" si="11"/>
        <v>6.6880163224559471E-3</v>
      </c>
      <c r="AA159" s="98">
        <f t="shared" si="12"/>
        <v>23.063658997738134</v>
      </c>
      <c r="AB159" s="98">
        <f t="shared" si="13"/>
        <v>12.300618132127003</v>
      </c>
      <c r="AC159" s="98">
        <f t="shared" si="14"/>
        <v>37.85187545286945</v>
      </c>
      <c r="AD159" s="98">
        <f t="shared" si="15"/>
        <v>0.3920958441583029</v>
      </c>
      <c r="AE159" s="98">
        <f t="shared" si="16"/>
        <v>0.19585207000914232</v>
      </c>
      <c r="AF159" s="98">
        <f t="shared" si="17"/>
        <v>21.910476047851219</v>
      </c>
      <c r="AG159" s="3">
        <f t="shared" si="18"/>
        <v>73.81078851322448</v>
      </c>
    </row>
    <row r="160" spans="1:33" ht="14">
      <c r="A160">
        <f t="shared" ref="A160:A175" si="20">A159+1</f>
        <v>2</v>
      </c>
      <c r="B160" s="21">
        <v>82</v>
      </c>
      <c r="C160" s="26">
        <f t="shared" si="6"/>
        <v>87.98815549932786</v>
      </c>
      <c r="D160" s="83">
        <f>C$158*(0.4*D$14)*('Product half-life and C flows'!B21/100)</f>
        <v>7.9700573149794121</v>
      </c>
      <c r="E160" s="83">
        <f t="shared" si="9"/>
        <v>5.0418532610901234E-2</v>
      </c>
      <c r="F160" s="83">
        <f t="shared" ref="F160:G223" si="21">F159</f>
        <v>23.063658997738134</v>
      </c>
      <c r="G160" s="83">
        <f t="shared" si="21"/>
        <v>12.300618132127003</v>
      </c>
      <c r="H160" s="83">
        <f>C$158*(0.6*C$15)*('Product half-life and C flows'!L21/100)</f>
        <v>37.273300184677211</v>
      </c>
      <c r="I160" s="83">
        <f>C$158*0.6*('Product half-life and C flows'!N21/100)</f>
        <v>0.77819840646526128</v>
      </c>
      <c r="J160" s="83">
        <f>C$158*0.6*('Product half-life and C flows'!P21/100)</f>
        <v>0.38871049273989072</v>
      </c>
      <c r="K160" s="83">
        <f t="shared" ref="K160:K223" si="22">K159</f>
        <v>21.910476047851219</v>
      </c>
      <c r="L160" s="3"/>
      <c r="M160" s="88"/>
      <c r="N160" s="88"/>
      <c r="O160" s="88"/>
      <c r="P160" s="88"/>
      <c r="Q160" s="88"/>
      <c r="R160" s="88"/>
      <c r="S160" s="88"/>
      <c r="T160" s="88"/>
      <c r="V160">
        <f t="shared" si="7"/>
        <v>2</v>
      </c>
      <c r="W160" s="3">
        <f t="shared" si="19"/>
        <v>1.8015058884947945E-2</v>
      </c>
      <c r="X160" s="113">
        <f t="shared" si="8"/>
        <v>87.98815549932786</v>
      </c>
      <c r="Y160" s="98">
        <f t="shared" si="10"/>
        <v>7.9700573149794121</v>
      </c>
      <c r="Z160" s="98">
        <f t="shared" si="11"/>
        <v>5.0418532610901234E-2</v>
      </c>
      <c r="AA160" s="98">
        <f t="shared" si="12"/>
        <v>23.063658997738134</v>
      </c>
      <c r="AB160" s="98">
        <f t="shared" si="13"/>
        <v>12.300618132127003</v>
      </c>
      <c r="AC160" s="98">
        <f t="shared" si="14"/>
        <v>37.273300184677211</v>
      </c>
      <c r="AD160" s="98">
        <f t="shared" si="15"/>
        <v>0.77819840646526128</v>
      </c>
      <c r="AE160" s="98">
        <f t="shared" si="16"/>
        <v>0.38871049273989072</v>
      </c>
      <c r="AF160" s="98">
        <f t="shared" si="17"/>
        <v>21.910476047851219</v>
      </c>
      <c r="AG160" s="3">
        <f t="shared" si="18"/>
        <v>73.8549047463584</v>
      </c>
    </row>
    <row r="161" spans="1:33" ht="14">
      <c r="A161">
        <f t="shared" si="20"/>
        <v>3</v>
      </c>
      <c r="B161" s="21">
        <v>83</v>
      </c>
      <c r="C161" s="26">
        <f t="shared" si="6"/>
        <v>89.25207374798569</v>
      </c>
      <c r="D161" s="83">
        <f>C$158*(0.4*D$14)*('Product half-life and C flows'!B22/100)</f>
        <v>7.6985679041518242</v>
      </c>
      <c r="E161" s="83">
        <f t="shared" si="9"/>
        <v>0.16041335764575598</v>
      </c>
      <c r="F161" s="83">
        <f t="shared" si="21"/>
        <v>23.063658997738134</v>
      </c>
      <c r="G161" s="83">
        <f t="shared" si="21"/>
        <v>12.300618132127003</v>
      </c>
      <c r="H161" s="83">
        <f>C$158*(0.6*C$15)*('Product half-life and C flows'!L22/100)</f>
        <v>36.703568582405303</v>
      </c>
      <c r="I161" s="83">
        <f>C$158*0.6*('Product half-life and C flows'!N22/100)</f>
        <v>1.1583992957147098</v>
      </c>
      <c r="J161" s="83">
        <f>C$158*0.6*('Product half-life and C flows'!P22/100)</f>
        <v>0.5786210268305243</v>
      </c>
      <c r="K161" s="83">
        <f t="shared" si="22"/>
        <v>21.910476047851219</v>
      </c>
      <c r="L161" s="3"/>
      <c r="M161" s="88"/>
      <c r="N161" s="88"/>
      <c r="O161" s="88"/>
      <c r="P161" s="88"/>
      <c r="Q161" s="88"/>
      <c r="R161" s="88"/>
      <c r="S161" s="88"/>
      <c r="T161" s="88"/>
      <c r="V161">
        <f t="shared" si="7"/>
        <v>3</v>
      </c>
      <c r="W161" s="3">
        <f t="shared" si="19"/>
        <v>5.731733817448862E-2</v>
      </c>
      <c r="X161" s="113">
        <f t="shared" si="8"/>
        <v>89.25207374798569</v>
      </c>
      <c r="Y161" s="98">
        <f t="shared" si="10"/>
        <v>7.6985679041518242</v>
      </c>
      <c r="Z161" s="98">
        <f t="shared" si="11"/>
        <v>0.16041335764575598</v>
      </c>
      <c r="AA161" s="98">
        <f t="shared" si="12"/>
        <v>23.063658997738134</v>
      </c>
      <c r="AB161" s="98">
        <f t="shared" si="13"/>
        <v>12.300618132127003</v>
      </c>
      <c r="AC161" s="98">
        <f t="shared" si="14"/>
        <v>36.703568582405303</v>
      </c>
      <c r="AD161" s="98">
        <f t="shared" si="15"/>
        <v>1.1583992957147098</v>
      </c>
      <c r="AE161" s="98">
        <f t="shared" si="16"/>
        <v>0.5786210268305243</v>
      </c>
      <c r="AF161" s="98">
        <f t="shared" si="17"/>
        <v>21.910476047851219</v>
      </c>
      <c r="AG161" s="3">
        <f t="shared" si="18"/>
        <v>73.965279392461426</v>
      </c>
    </row>
    <row r="162" spans="1:33" ht="14">
      <c r="A162">
        <f t="shared" si="20"/>
        <v>4</v>
      </c>
      <c r="B162" s="21">
        <v>84</v>
      </c>
      <c r="C162" s="26">
        <f t="shared" si="6"/>
        <v>90.502655169824934</v>
      </c>
      <c r="D162" s="83">
        <f>C$158*(0.4*D$14)*('Product half-life and C flows'!B23/100)</f>
        <v>7.4363264193150558</v>
      </c>
      <c r="E162" s="83">
        <f t="shared" si="9"/>
        <v>0.35859718815808966</v>
      </c>
      <c r="F162" s="83">
        <f t="shared" si="21"/>
        <v>23.063658997738134</v>
      </c>
      <c r="G162" s="83">
        <f t="shared" si="21"/>
        <v>12.300618132127003</v>
      </c>
      <c r="H162" s="83">
        <f>C$158*(0.6*C$15)*('Product half-life and C flows'!L23/100)</f>
        <v>36.142545468435195</v>
      </c>
      <c r="I162" s="83">
        <f>C$158*0.6*('Product half-life and C flows'!N23/100)</f>
        <v>1.5327887204374295</v>
      </c>
      <c r="J162" s="83">
        <f>C$158*0.6*('Product half-life and C flows'!P23/100)</f>
        <v>0.76562873148722743</v>
      </c>
      <c r="K162" s="83">
        <f t="shared" si="22"/>
        <v>21.910476047851219</v>
      </c>
      <c r="L162" s="3"/>
      <c r="M162" s="88"/>
      <c r="N162" s="88"/>
      <c r="O162" s="88"/>
      <c r="P162" s="88"/>
      <c r="Q162" s="88"/>
      <c r="R162" s="88"/>
      <c r="S162" s="88"/>
      <c r="T162" s="88"/>
      <c r="V162">
        <f t="shared" si="7"/>
        <v>4</v>
      </c>
      <c r="W162" s="3">
        <f t="shared" si="19"/>
        <v>0.12813045374604898</v>
      </c>
      <c r="X162" s="113">
        <f t="shared" si="8"/>
        <v>90.502655169824934</v>
      </c>
      <c r="Y162" s="98">
        <f t="shared" si="10"/>
        <v>7.4363264193150558</v>
      </c>
      <c r="Z162" s="98">
        <f t="shared" si="11"/>
        <v>0.35859718815808966</v>
      </c>
      <c r="AA162" s="98">
        <f t="shared" si="12"/>
        <v>23.063658997738134</v>
      </c>
      <c r="AB162" s="98">
        <f t="shared" si="13"/>
        <v>12.300618132127003</v>
      </c>
      <c r="AC162" s="98">
        <f t="shared" si="14"/>
        <v>36.142545468435195</v>
      </c>
      <c r="AD162" s="98">
        <f t="shared" si="15"/>
        <v>1.5327887204374295</v>
      </c>
      <c r="AE162" s="98">
        <f t="shared" si="16"/>
        <v>0.76562873148722743</v>
      </c>
      <c r="AF162" s="98">
        <f t="shared" si="17"/>
        <v>21.910476047851219</v>
      </c>
      <c r="AG162" s="3">
        <f t="shared" si="18"/>
        <v>74.163837238383081</v>
      </c>
    </row>
    <row r="163" spans="1:33" ht="14">
      <c r="A163">
        <f t="shared" si="20"/>
        <v>5</v>
      </c>
      <c r="B163" s="21">
        <v>85</v>
      </c>
      <c r="C163" s="26">
        <f t="shared" si="6"/>
        <v>91.73975768915416</v>
      </c>
      <c r="D163" s="83">
        <f>C$158*(0.4*D$14)*('Product half-life and C flows'!B24/100)</f>
        <v>7.1830178421600266</v>
      </c>
      <c r="E163" s="83">
        <f t="shared" si="9"/>
        <v>0.66078557389625781</v>
      </c>
      <c r="F163" s="83">
        <f t="shared" si="21"/>
        <v>23.063658997738134</v>
      </c>
      <c r="G163" s="83">
        <f t="shared" si="21"/>
        <v>12.300618132127003</v>
      </c>
      <c r="H163" s="83">
        <f>C$158*(0.6*C$15)*('Product half-life and C flows'!L24/100)</f>
        <v>35.590097731371614</v>
      </c>
      <c r="I163" s="83">
        <f>C$158*0.6*('Product half-life and C flows'!N24/100)</f>
        <v>1.9014555103045299</v>
      </c>
      <c r="J163" s="83">
        <f>C$158*0.6*('Product half-life and C flows'!P24/100)</f>
        <v>0.94977797717508994</v>
      </c>
      <c r="K163" s="83">
        <f t="shared" si="22"/>
        <v>21.910476047851219</v>
      </c>
      <c r="L163" s="3"/>
      <c r="M163" s="88"/>
      <c r="N163" s="88"/>
      <c r="O163" s="88"/>
      <c r="P163" s="88"/>
      <c r="Q163" s="88"/>
      <c r="R163" s="88"/>
      <c r="S163" s="88"/>
      <c r="T163" s="88"/>
      <c r="V163">
        <f t="shared" si="7"/>
        <v>5</v>
      </c>
      <c r="W163" s="3">
        <f t="shared" si="19"/>
        <v>0.23610546375741537</v>
      </c>
      <c r="X163" s="113">
        <f t="shared" si="8"/>
        <v>91.73975768915416</v>
      </c>
      <c r="Y163" s="98">
        <f t="shared" si="10"/>
        <v>7.1830178421600266</v>
      </c>
      <c r="Z163" s="98">
        <f t="shared" si="11"/>
        <v>0.66078557389625781</v>
      </c>
      <c r="AA163" s="98">
        <f t="shared" si="12"/>
        <v>23.063658997738134</v>
      </c>
      <c r="AB163" s="98">
        <f t="shared" si="13"/>
        <v>12.300618132127003</v>
      </c>
      <c r="AC163" s="98">
        <f t="shared" si="14"/>
        <v>35.590097731371614</v>
      </c>
      <c r="AD163" s="98">
        <f t="shared" si="15"/>
        <v>1.9014555103045299</v>
      </c>
      <c r="AE163" s="98">
        <f t="shared" si="16"/>
        <v>0.94977797717508994</v>
      </c>
      <c r="AF163" s="98">
        <f t="shared" si="17"/>
        <v>21.910476047851219</v>
      </c>
      <c r="AG163" s="3">
        <f t="shared" si="18"/>
        <v>74.466393922612625</v>
      </c>
    </row>
    <row r="164" spans="1:33" ht="14">
      <c r="A164">
        <f t="shared" si="20"/>
        <v>6</v>
      </c>
      <c r="B164" s="21">
        <v>86</v>
      </c>
      <c r="C164" s="26">
        <f t="shared" si="6"/>
        <v>92.96325492803625</v>
      </c>
      <c r="D164" s="83">
        <f>C$158*(0.4*D$14)*('Product half-life and C flows'!B25/100)</f>
        <v>6.9383378850577211</v>
      </c>
      <c r="E164" s="83">
        <f t="shared" si="9"/>
        <v>1.0777084645502373</v>
      </c>
      <c r="F164" s="83">
        <f t="shared" si="21"/>
        <v>23.063658997738134</v>
      </c>
      <c r="G164" s="83">
        <f t="shared" si="21"/>
        <v>12.300618132127003</v>
      </c>
      <c r="H164" s="83">
        <f>C$158*(0.6*C$15)*('Product half-life and C flows'!L25/100)</f>
        <v>35.046094294459856</v>
      </c>
      <c r="I164" s="83">
        <f>C$158*0.6*('Product half-life and C flows'!N25/100)</f>
        <v>2.2644871372036404</v>
      </c>
      <c r="J164" s="83">
        <f>C$158*0.6*('Product half-life and C flows'!P25/100)</f>
        <v>1.1311124561456747</v>
      </c>
      <c r="K164" s="83">
        <f t="shared" si="22"/>
        <v>21.910476047851219</v>
      </c>
      <c r="L164" s="3"/>
      <c r="M164" s="88"/>
      <c r="N164" s="88"/>
      <c r="O164" s="88"/>
      <c r="P164" s="88"/>
      <c r="Q164" s="88"/>
      <c r="R164" s="88"/>
      <c r="S164" s="88"/>
      <c r="T164" s="88"/>
      <c r="V164">
        <f t="shared" si="7"/>
        <v>6</v>
      </c>
      <c r="W164" s="3">
        <f t="shared" si="19"/>
        <v>0.38507628929846233</v>
      </c>
      <c r="X164" s="113">
        <f t="shared" si="8"/>
        <v>92.96325492803625</v>
      </c>
      <c r="Y164" s="98">
        <f t="shared" si="10"/>
        <v>6.9383378850577211</v>
      </c>
      <c r="Z164" s="98">
        <f t="shared" si="11"/>
        <v>1.0777084645502373</v>
      </c>
      <c r="AA164" s="98">
        <f t="shared" si="12"/>
        <v>23.063658997738134</v>
      </c>
      <c r="AB164" s="98">
        <f t="shared" si="13"/>
        <v>12.300618132127003</v>
      </c>
      <c r="AC164" s="98">
        <f t="shared" si="14"/>
        <v>35.046094294459856</v>
      </c>
      <c r="AD164" s="98">
        <f t="shared" si="15"/>
        <v>2.2644871372036404</v>
      </c>
      <c r="AE164" s="98">
        <f t="shared" si="16"/>
        <v>1.1311124561456747</v>
      </c>
      <c r="AF164" s="98">
        <f t="shared" si="17"/>
        <v>21.910476047851219</v>
      </c>
      <c r="AG164" s="3">
        <f t="shared" si="18"/>
        <v>74.883679482224551</v>
      </c>
    </row>
    <row r="165" spans="1:33" ht="14">
      <c r="A165">
        <f t="shared" si="20"/>
        <v>7</v>
      </c>
      <c r="B165" s="21">
        <v>87</v>
      </c>
      <c r="C165" s="26">
        <f t="shared" si="6"/>
        <v>94.17303556736168</v>
      </c>
      <c r="D165" s="83">
        <f>C$158*(0.4*D$14)*('Product half-life and C flows'!B26/100)</f>
        <v>6.7019926255328333</v>
      </c>
      <c r="E165" s="83">
        <f t="shared" si="9"/>
        <v>1.6158903296459175</v>
      </c>
      <c r="F165" s="83">
        <f t="shared" si="21"/>
        <v>23.063658997738134</v>
      </c>
      <c r="G165" s="83">
        <f t="shared" si="21"/>
        <v>12.300618132127003</v>
      </c>
      <c r="H165" s="83">
        <f>C$158*(0.6*C$15)*('Product half-life and C flows'!L26/100)</f>
        <v>34.510406084485815</v>
      </c>
      <c r="I165" s="83">
        <f>C$158*0.6*('Product half-life and C flows'!N26/100)</f>
        <v>2.6219697359929812</v>
      </c>
      <c r="J165" s="83">
        <f>C$158*0.6*('Product half-life and C flows'!P26/100)</f>
        <v>1.3096751928036872</v>
      </c>
      <c r="K165" s="83">
        <f t="shared" si="22"/>
        <v>21.910476047851219</v>
      </c>
      <c r="L165" s="3"/>
      <c r="M165" s="88"/>
      <c r="N165" s="88"/>
      <c r="O165" s="88"/>
      <c r="P165" s="88"/>
      <c r="Q165" s="88"/>
      <c r="R165" s="88"/>
      <c r="S165" s="88"/>
      <c r="T165" s="88"/>
      <c r="V165">
        <f t="shared" si="7"/>
        <v>7</v>
      </c>
      <c r="W165" s="3">
        <f t="shared" si="19"/>
        <v>0.57737419025747405</v>
      </c>
      <c r="X165" s="113">
        <f t="shared" si="8"/>
        <v>94.17303556736168</v>
      </c>
      <c r="Y165" s="98">
        <f t="shared" si="10"/>
        <v>6.7019926255328333</v>
      </c>
      <c r="Z165" s="98">
        <f t="shared" si="11"/>
        <v>1.6158903296459175</v>
      </c>
      <c r="AA165" s="98">
        <f t="shared" si="12"/>
        <v>23.063658997738134</v>
      </c>
      <c r="AB165" s="98">
        <f t="shared" si="13"/>
        <v>12.300618132127003</v>
      </c>
      <c r="AC165" s="98">
        <f t="shared" si="14"/>
        <v>34.510406084485815</v>
      </c>
      <c r="AD165" s="98">
        <f t="shared" si="15"/>
        <v>2.6219697359929812</v>
      </c>
      <c r="AE165" s="98">
        <f t="shared" si="16"/>
        <v>1.3096751928036872</v>
      </c>
      <c r="AF165" s="98">
        <f t="shared" si="17"/>
        <v>21.910476047851219</v>
      </c>
      <c r="AG165" s="3">
        <f t="shared" si="18"/>
        <v>75.422218472793531</v>
      </c>
    </row>
    <row r="166" spans="1:33" ht="14">
      <c r="A166">
        <f t="shared" si="20"/>
        <v>8</v>
      </c>
      <c r="B166" s="21">
        <v>88</v>
      </c>
      <c r="C166" s="26">
        <f t="shared" si="6"/>
        <v>95.369002723123899</v>
      </c>
      <c r="D166" s="83">
        <f>C$158*(0.4*D$14)*('Product half-life and C flows'!B27/100)</f>
        <v>6.4736981531885718</v>
      </c>
      <c r="E166" s="83">
        <f t="shared" si="9"/>
        <v>2.2784052810626787</v>
      </c>
      <c r="F166" s="83">
        <f t="shared" si="21"/>
        <v>23.063658997738134</v>
      </c>
      <c r="G166" s="83">
        <f t="shared" si="21"/>
        <v>12.300618132127003</v>
      </c>
      <c r="H166" s="83">
        <f>C$158*(0.6*C$15)*('Product half-life and C flows'!L27/100)</f>
        <v>33.982906001151349</v>
      </c>
      <c r="I166" s="83">
        <f>C$158*0.6*('Product half-life and C flows'!N27/100)</f>
        <v>2.973988124938185</v>
      </c>
      <c r="J166" s="83">
        <f>C$158*0.6*('Product half-life and C flows'!P27/100)</f>
        <v>1.4855085539151776</v>
      </c>
      <c r="K166" s="83">
        <f t="shared" si="22"/>
        <v>21.910476047851219</v>
      </c>
      <c r="L166" s="3"/>
      <c r="M166" s="88"/>
      <c r="N166" s="88"/>
      <c r="O166" s="88"/>
      <c r="P166" s="88"/>
      <c r="Q166" s="88"/>
      <c r="R166" s="88"/>
      <c r="S166" s="88"/>
      <c r="T166" s="88"/>
      <c r="V166">
        <f t="shared" si="7"/>
        <v>8</v>
      </c>
      <c r="W166" s="3">
        <f t="shared" si="19"/>
        <v>0.81409757834256891</v>
      </c>
      <c r="X166" s="113">
        <f t="shared" si="8"/>
        <v>95.369002723123899</v>
      </c>
      <c r="Y166" s="98">
        <f t="shared" si="10"/>
        <v>6.4736981531885718</v>
      </c>
      <c r="Z166" s="98">
        <f t="shared" si="11"/>
        <v>2.2784052810626787</v>
      </c>
      <c r="AA166" s="98">
        <f t="shared" si="12"/>
        <v>23.063658997738134</v>
      </c>
      <c r="AB166" s="98">
        <f t="shared" si="13"/>
        <v>12.300618132127003</v>
      </c>
      <c r="AC166" s="98">
        <f t="shared" si="14"/>
        <v>33.982906001151349</v>
      </c>
      <c r="AD166" s="98">
        <f t="shared" si="15"/>
        <v>2.973988124938185</v>
      </c>
      <c r="AE166" s="98">
        <f t="shared" si="16"/>
        <v>1.4855085539151776</v>
      </c>
      <c r="AF166" s="98">
        <f t="shared" si="17"/>
        <v>21.910476047851219</v>
      </c>
      <c r="AG166" s="3">
        <f t="shared" si="18"/>
        <v>76.085085090932537</v>
      </c>
    </row>
    <row r="167" spans="1:33" ht="14">
      <c r="A167">
        <f t="shared" si="20"/>
        <v>9</v>
      </c>
      <c r="B167" s="21">
        <v>89</v>
      </c>
      <c r="C167" s="26">
        <f t="shared" si="6"/>
        <v>96.551073338095861</v>
      </c>
      <c r="D167" s="83">
        <f>C$158*(0.4*D$14)*('Product half-life and C flows'!B28/100)</f>
        <v>6.253180228658521</v>
      </c>
      <c r="E167" s="83">
        <f t="shared" si="9"/>
        <v>3.0655233705876594</v>
      </c>
      <c r="F167" s="83">
        <f t="shared" si="21"/>
        <v>23.063658997738134</v>
      </c>
      <c r="G167" s="83">
        <f t="shared" si="21"/>
        <v>12.300618132127003</v>
      </c>
      <c r="H167" s="83">
        <f>C$158*(0.6*C$15)*('Product half-life and C flows'!L28/100)</f>
        <v>33.463468886917745</v>
      </c>
      <c r="I167" s="83">
        <f>C$158*0.6*('Product half-life and C flows'!N28/100)</f>
        <v>3.3206258258367409</v>
      </c>
      <c r="J167" s="83">
        <f>C$158*0.6*('Product half-life and C flows'!P28/100)</f>
        <v>1.6586542586597108</v>
      </c>
      <c r="K167" s="83">
        <f t="shared" si="22"/>
        <v>21.910476047851219</v>
      </c>
      <c r="L167" s="3"/>
      <c r="M167" s="88"/>
      <c r="N167" s="88"/>
      <c r="O167" s="88"/>
      <c r="P167" s="88"/>
      <c r="Q167" s="88"/>
      <c r="R167" s="88"/>
      <c r="S167" s="88"/>
      <c r="T167" s="88"/>
      <c r="V167">
        <f t="shared" si="7"/>
        <v>9</v>
      </c>
      <c r="W167" s="3">
        <f t="shared" si="19"/>
        <v>1.0953429458274277</v>
      </c>
      <c r="X167" s="113">
        <f t="shared" si="8"/>
        <v>96.551073338095861</v>
      </c>
      <c r="Y167" s="98">
        <f t="shared" si="10"/>
        <v>6.253180228658521</v>
      </c>
      <c r="Z167" s="98">
        <f t="shared" si="11"/>
        <v>3.0655233705876594</v>
      </c>
      <c r="AA167" s="98">
        <f t="shared" si="12"/>
        <v>23.063658997738134</v>
      </c>
      <c r="AB167" s="98">
        <f t="shared" si="13"/>
        <v>12.300618132127003</v>
      </c>
      <c r="AC167" s="98">
        <f t="shared" si="14"/>
        <v>33.463468886917745</v>
      </c>
      <c r="AD167" s="98">
        <f t="shared" si="15"/>
        <v>3.3206258258367409</v>
      </c>
      <c r="AE167" s="98">
        <f t="shared" si="16"/>
        <v>1.6586542586597108</v>
      </c>
      <c r="AF167" s="98">
        <f t="shared" si="17"/>
        <v>21.910476047851219</v>
      </c>
      <c r="AG167" s="3">
        <f t="shared" si="18"/>
        <v>76.872549471866989</v>
      </c>
    </row>
    <row r="168" spans="1:33" ht="14">
      <c r="A168">
        <f t="shared" si="20"/>
        <v>10</v>
      </c>
      <c r="B168" s="21">
        <v>90</v>
      </c>
      <c r="C168" s="26">
        <f t="shared" si="6"/>
        <v>97.71917758904894</v>
      </c>
      <c r="D168" s="83">
        <f>C$158*(0.4*D$14)*('Product half-life and C flows'!B29/100)</f>
        <v>6.040173954175839</v>
      </c>
      <c r="E168" s="83">
        <f t="shared" si="9"/>
        <v>3.9752622463725169</v>
      </c>
      <c r="F168" s="83">
        <f t="shared" si="21"/>
        <v>23.063658997738134</v>
      </c>
      <c r="G168" s="83">
        <f t="shared" si="21"/>
        <v>12.300618132127003</v>
      </c>
      <c r="H168" s="83">
        <f>C$158*(0.6*C$15)*('Product half-life and C flows'!L29/100)</f>
        <v>32.951971497310232</v>
      </c>
      <c r="I168" s="83">
        <f>C$158*0.6*('Product half-life and C flows'!N29/100)</f>
        <v>3.6619650838348217</v>
      </c>
      <c r="J168" s="83">
        <f>C$158*0.6*('Product half-life and C flows'!P29/100)</f>
        <v>1.8291533885288822</v>
      </c>
      <c r="K168" s="83">
        <f t="shared" si="22"/>
        <v>21.910476047851219</v>
      </c>
      <c r="L168" s="3"/>
      <c r="M168" s="88"/>
      <c r="N168" s="88"/>
      <c r="O168" s="88"/>
      <c r="P168" s="88"/>
      <c r="Q168" s="88"/>
      <c r="R168" s="88"/>
      <c r="S168" s="88"/>
      <c r="T168" s="88"/>
      <c r="V168">
        <f t="shared" si="7"/>
        <v>10</v>
      </c>
      <c r="W168" s="3">
        <f t="shared" si="19"/>
        <v>1.4204019780620747</v>
      </c>
      <c r="X168" s="113">
        <f t="shared" si="8"/>
        <v>97.71917758904894</v>
      </c>
      <c r="Y168" s="98">
        <f t="shared" si="10"/>
        <v>6.040173954175839</v>
      </c>
      <c r="Z168" s="98">
        <f t="shared" si="11"/>
        <v>3.9752622463725169</v>
      </c>
      <c r="AA168" s="98">
        <f t="shared" si="12"/>
        <v>23.063658997738134</v>
      </c>
      <c r="AB168" s="98">
        <f t="shared" si="13"/>
        <v>12.300618132127003</v>
      </c>
      <c r="AC168" s="98">
        <f t="shared" si="14"/>
        <v>32.951971497310232</v>
      </c>
      <c r="AD168" s="98">
        <f t="shared" si="15"/>
        <v>3.6619650838348217</v>
      </c>
      <c r="AE168" s="98">
        <f t="shared" si="16"/>
        <v>1.8291533885288822</v>
      </c>
      <c r="AF168" s="98">
        <f t="shared" si="17"/>
        <v>21.910476047851219</v>
      </c>
      <c r="AG168" s="3">
        <f t="shared" si="18"/>
        <v>77.782629345911573</v>
      </c>
    </row>
    <row r="169" spans="1:33" ht="14">
      <c r="A169">
        <f t="shared" si="20"/>
        <v>11</v>
      </c>
      <c r="B169" s="21">
        <v>91</v>
      </c>
      <c r="C169" s="26">
        <f t="shared" si="6"/>
        <v>98.87325830960242</v>
      </c>
      <c r="D169" s="83">
        <f>C$158*(0.4*D$14)*('Product half-life and C flows'!B30/100)</f>
        <v>5.8344234553640772</v>
      </c>
      <c r="E169" s="83">
        <f t="shared" si="9"/>
        <v>5.0038566008813614</v>
      </c>
      <c r="F169" s="83">
        <f t="shared" si="21"/>
        <v>23.063658997738134</v>
      </c>
      <c r="G169" s="83">
        <f t="shared" si="21"/>
        <v>12.300618132127003</v>
      </c>
      <c r="H169" s="83">
        <f>C$158*(0.6*C$15)*('Product half-life and C flows'!L30/100)</f>
        <v>32.448292471676268</v>
      </c>
      <c r="I169" s="83">
        <f>C$158*0.6*('Product half-life and C flows'!N30/100)</f>
        <v>3.9980868869412203</v>
      </c>
      <c r="J169" s="83">
        <f>C$158*0.6*('Product half-life and C flows'!P30/100)</f>
        <v>1.9970463970735366</v>
      </c>
      <c r="K169" s="83">
        <f t="shared" si="22"/>
        <v>21.910476047851219</v>
      </c>
      <c r="L169" s="3"/>
      <c r="M169" s="88"/>
      <c r="N169" s="88"/>
      <c r="O169" s="88"/>
      <c r="P169" s="88"/>
      <c r="Q169" s="88"/>
      <c r="R169" s="88"/>
      <c r="S169" s="88"/>
      <c r="T169" s="88"/>
      <c r="V169">
        <f t="shared" si="7"/>
        <v>11</v>
      </c>
      <c r="W169" s="3">
        <f t="shared" si="19"/>
        <v>1.7879292920401766</v>
      </c>
      <c r="X169" s="113">
        <f t="shared" si="8"/>
        <v>98.87325830960242</v>
      </c>
      <c r="Y169" s="98">
        <f t="shared" si="10"/>
        <v>5.8344234553640772</v>
      </c>
      <c r="Z169" s="98">
        <f t="shared" si="11"/>
        <v>5.0038566008813614</v>
      </c>
      <c r="AA169" s="98">
        <f t="shared" si="12"/>
        <v>23.063658997738134</v>
      </c>
      <c r="AB169" s="98">
        <f t="shared" si="13"/>
        <v>12.300618132127003</v>
      </c>
      <c r="AC169" s="98">
        <f t="shared" si="14"/>
        <v>32.448292471676268</v>
      </c>
      <c r="AD169" s="98">
        <f t="shared" si="15"/>
        <v>3.9980868869412203</v>
      </c>
      <c r="AE169" s="98">
        <f t="shared" si="16"/>
        <v>1.9970463970735366</v>
      </c>
      <c r="AF169" s="98">
        <f t="shared" si="17"/>
        <v>21.910476047851219</v>
      </c>
      <c r="AG169" s="3">
        <f t="shared" si="18"/>
        <v>78.811559486437517</v>
      </c>
    </row>
    <row r="170" spans="1:33" ht="14">
      <c r="A170">
        <f t="shared" si="20"/>
        <v>12</v>
      </c>
      <c r="B170" s="21">
        <v>92</v>
      </c>
      <c r="C170" s="26">
        <f t="shared" si="6"/>
        <v>100.0132704287426</v>
      </c>
      <c r="D170" s="83">
        <f>C$158*(0.4*D$14)*('Product half-life and C flows'!B31/100)</f>
        <v>5.6356815738673891</v>
      </c>
      <c r="E170" s="83">
        <f t="shared" si="9"/>
        <v>6.1461563011223976</v>
      </c>
      <c r="F170" s="83">
        <f t="shared" si="21"/>
        <v>23.063658997738134</v>
      </c>
      <c r="G170" s="83">
        <f t="shared" si="21"/>
        <v>12.300618132127003</v>
      </c>
      <c r="H170" s="83">
        <f>C$158*(0.6*C$15)*('Product half-life and C flows'!L31/100)</f>
        <v>31.952312304390862</v>
      </c>
      <c r="I170" s="83">
        <f>C$158*0.6*('Product half-life and C flows'!N31/100)</f>
        <v>4.3290709852430149</v>
      </c>
      <c r="J170" s="83">
        <f>C$158*0.6*('Product half-life and C flows'!P31/100)</f>
        <v>2.1623731195020053</v>
      </c>
      <c r="K170" s="83">
        <f t="shared" si="22"/>
        <v>21.910476047851219</v>
      </c>
      <c r="L170" s="3"/>
      <c r="M170" s="88"/>
      <c r="N170" s="88"/>
      <c r="O170" s="88"/>
      <c r="P170" s="88"/>
      <c r="Q170" s="88"/>
      <c r="R170" s="88"/>
      <c r="S170" s="88"/>
      <c r="T170" s="88"/>
      <c r="V170">
        <f t="shared" si="7"/>
        <v>12</v>
      </c>
      <c r="W170" s="3">
        <f t="shared" si="19"/>
        <v>2.1960846924147455</v>
      </c>
      <c r="X170" s="113">
        <f t="shared" si="8"/>
        <v>100.0132704287426</v>
      </c>
      <c r="Y170" s="98">
        <f t="shared" si="10"/>
        <v>5.6356815738673891</v>
      </c>
      <c r="Z170" s="98">
        <f t="shared" si="11"/>
        <v>6.1461563011223976</v>
      </c>
      <c r="AA170" s="98">
        <f t="shared" si="12"/>
        <v>23.063658997738134</v>
      </c>
      <c r="AB170" s="98">
        <f t="shared" si="13"/>
        <v>12.300618132127003</v>
      </c>
      <c r="AC170" s="98">
        <f t="shared" si="14"/>
        <v>31.952312304390862</v>
      </c>
      <c r="AD170" s="98">
        <f t="shared" si="15"/>
        <v>4.3290709852430149</v>
      </c>
      <c r="AE170" s="98">
        <f t="shared" si="16"/>
        <v>2.1623731195020053</v>
      </c>
      <c r="AF170" s="98">
        <f t="shared" si="17"/>
        <v>21.910476047851219</v>
      </c>
      <c r="AG170" s="3">
        <f t="shared" si="18"/>
        <v>79.954189840123419</v>
      </c>
    </row>
    <row r="171" spans="1:33" ht="14">
      <c r="A171">
        <f t="shared" si="20"/>
        <v>13</v>
      </c>
      <c r="B171" s="21">
        <v>93</v>
      </c>
      <c r="C171" s="26">
        <f t="shared" si="6"/>
        <v>101.13918042500804</v>
      </c>
      <c r="D171" s="83">
        <f>C$158*(0.4*D$14)*('Product half-life and C flows'!B32/100)</f>
        <v>5.4437095704508627</v>
      </c>
      <c r="E171" s="83">
        <f t="shared" si="9"/>
        <v>7.3959627350682862</v>
      </c>
      <c r="F171" s="83">
        <f t="shared" si="21"/>
        <v>23.063658997738134</v>
      </c>
      <c r="G171" s="83">
        <f t="shared" si="21"/>
        <v>12.300618132127003</v>
      </c>
      <c r="H171" s="83">
        <f>C$158*(0.6*C$15)*('Product half-life and C flows'!L32/100)</f>
        <v>31.463913316502037</v>
      </c>
      <c r="I171" s="83">
        <f>C$158*0.6*('Product half-life and C flows'!N32/100)</f>
        <v>4.6549959098274911</v>
      </c>
      <c r="J171" s="83">
        <f>C$158*0.6*('Product half-life and C flows'!P32/100)</f>
        <v>2.3251727821316144</v>
      </c>
      <c r="K171" s="83">
        <f t="shared" si="22"/>
        <v>21.910476047851219</v>
      </c>
      <c r="L171" s="3"/>
      <c r="M171" s="88"/>
      <c r="N171" s="88"/>
      <c r="O171" s="88"/>
      <c r="P171" s="88"/>
      <c r="Q171" s="88"/>
      <c r="R171" s="88"/>
      <c r="S171" s="88"/>
      <c r="T171" s="88"/>
      <c r="V171">
        <f t="shared" si="7"/>
        <v>13</v>
      </c>
      <c r="W171" s="3">
        <f t="shared" si="19"/>
        <v>2.6426533515243094</v>
      </c>
      <c r="X171" s="113">
        <f t="shared" si="8"/>
        <v>101.13918042500804</v>
      </c>
      <c r="Y171" s="98">
        <f t="shared" si="10"/>
        <v>5.4437095704508627</v>
      </c>
      <c r="Z171" s="98">
        <f t="shared" si="11"/>
        <v>7.3959627350682862</v>
      </c>
      <c r="AA171" s="98">
        <f t="shared" si="12"/>
        <v>23.063658997738134</v>
      </c>
      <c r="AB171" s="98">
        <f t="shared" si="13"/>
        <v>12.300618132127003</v>
      </c>
      <c r="AC171" s="98">
        <f t="shared" si="14"/>
        <v>31.463913316502037</v>
      </c>
      <c r="AD171" s="98">
        <f t="shared" si="15"/>
        <v>4.6549959098274911</v>
      </c>
      <c r="AE171" s="98">
        <f t="shared" si="16"/>
        <v>2.3251727821316144</v>
      </c>
      <c r="AF171" s="98">
        <f t="shared" si="17"/>
        <v>21.910476047851219</v>
      </c>
      <c r="AG171" s="3">
        <f t="shared" si="18"/>
        <v>81.204321873394576</v>
      </c>
    </row>
    <row r="172" spans="1:33" ht="14">
      <c r="A172">
        <f t="shared" si="20"/>
        <v>14</v>
      </c>
      <c r="B172" s="21">
        <v>94</v>
      </c>
      <c r="C172" s="26">
        <f t="shared" si="6"/>
        <v>102.25096579629684</v>
      </c>
      <c r="D172" s="83">
        <f>C$158*(0.4*D$14)*('Product half-life and C flows'!B33/100)</f>
        <v>5.2582768382143534</v>
      </c>
      <c r="E172" s="83">
        <f t="shared" si="9"/>
        <v>8.7463117144652891</v>
      </c>
      <c r="F172" s="83">
        <f t="shared" si="21"/>
        <v>23.063658997738134</v>
      </c>
      <c r="G172" s="83">
        <f t="shared" si="21"/>
        <v>12.300618132127003</v>
      </c>
      <c r="H172" s="83">
        <f>C$158*(0.6*C$15)*('Product half-life and C flows'!L33/100)</f>
        <v>30.982979627809666</v>
      </c>
      <c r="I172" s="83">
        <f>C$158*0.6*('Product half-life and C flows'!N33/100)</f>
        <v>4.9759389914148668</v>
      </c>
      <c r="J172" s="83">
        <f>C$158*0.6*('Product half-life and C flows'!P33/100)</f>
        <v>2.4854840116957377</v>
      </c>
      <c r="K172" s="83">
        <f t="shared" si="22"/>
        <v>21.910476047851219</v>
      </c>
      <c r="L172" s="3"/>
      <c r="M172" s="88"/>
      <c r="N172" s="88"/>
      <c r="O172" s="88"/>
      <c r="P172" s="88"/>
      <c r="Q172" s="88"/>
      <c r="R172" s="88"/>
      <c r="S172" s="88"/>
      <c r="T172" s="88"/>
      <c r="V172">
        <f t="shared" si="7"/>
        <v>14</v>
      </c>
      <c r="W172" s="3">
        <f t="shared" si="19"/>
        <v>3.1251468934685782</v>
      </c>
      <c r="X172" s="113">
        <f t="shared" si="8"/>
        <v>102.25096579629684</v>
      </c>
      <c r="Y172" s="98">
        <f t="shared" si="10"/>
        <v>5.2582768382143534</v>
      </c>
      <c r="Z172" s="98">
        <f t="shared" si="11"/>
        <v>8.7463117144652891</v>
      </c>
      <c r="AA172" s="98">
        <f t="shared" si="12"/>
        <v>23.063658997738134</v>
      </c>
      <c r="AB172" s="98">
        <f t="shared" si="13"/>
        <v>12.300618132127003</v>
      </c>
      <c r="AC172" s="98">
        <f t="shared" si="14"/>
        <v>30.982979627809666</v>
      </c>
      <c r="AD172" s="98">
        <f t="shared" si="15"/>
        <v>4.9759389914148668</v>
      </c>
      <c r="AE172" s="98">
        <f t="shared" si="16"/>
        <v>2.4854840116957377</v>
      </c>
      <c r="AF172" s="98">
        <f t="shared" si="17"/>
        <v>21.910476047851219</v>
      </c>
      <c r="AG172" s="3">
        <f t="shared" si="18"/>
        <v>82.554991475250688</v>
      </c>
    </row>
    <row r="173" spans="1:33" ht="14">
      <c r="A173">
        <f t="shared" si="20"/>
        <v>15</v>
      </c>
      <c r="B173" s="21">
        <v>95</v>
      </c>
      <c r="C173" s="26">
        <f t="shared" si="6"/>
        <v>103.34861454521752</v>
      </c>
      <c r="D173" s="83">
        <f>C$158*(0.4*D$14)*('Product half-life and C flows'!B34/100)</f>
        <v>5.0791606255753168</v>
      </c>
      <c r="E173" s="83">
        <f t="shared" si="9"/>
        <v>10.189710224502418</v>
      </c>
      <c r="F173" s="83">
        <f t="shared" si="21"/>
        <v>23.063658997738134</v>
      </c>
      <c r="G173" s="83">
        <f t="shared" si="21"/>
        <v>12.300618132127003</v>
      </c>
      <c r="H173" s="83">
        <f>C$158*(0.6*C$15)*('Product half-life and C flows'!L34/100)</f>
        <v>30.509397129371113</v>
      </c>
      <c r="I173" s="83">
        <f>C$158*0.6*('Product half-life and C flows'!N34/100)</f>
        <v>5.2919763787061953</v>
      </c>
      <c r="J173" s="83">
        <f>C$158*0.6*('Product half-life and C flows'!P34/100)</f>
        <v>2.6433448445085883</v>
      </c>
      <c r="K173" s="83">
        <f t="shared" si="22"/>
        <v>21.910476047851219</v>
      </c>
      <c r="L173" s="3"/>
      <c r="M173" s="88"/>
      <c r="N173" s="88"/>
      <c r="O173" s="88"/>
      <c r="P173" s="88"/>
      <c r="Q173" s="88"/>
      <c r="R173" s="88"/>
      <c r="S173" s="88"/>
      <c r="T173" s="88"/>
      <c r="V173">
        <f t="shared" si="7"/>
        <v>15</v>
      </c>
      <c r="W173" s="3">
        <f t="shared" si="19"/>
        <v>3.6408879871937612</v>
      </c>
      <c r="X173" s="113">
        <f t="shared" si="8"/>
        <v>103.34861454521752</v>
      </c>
      <c r="Y173" s="98">
        <f t="shared" si="10"/>
        <v>5.0791606255753168</v>
      </c>
      <c r="Z173" s="98">
        <f t="shared" si="11"/>
        <v>10.189710224502418</v>
      </c>
      <c r="AA173" s="98">
        <f t="shared" si="12"/>
        <v>23.063658997738134</v>
      </c>
      <c r="AB173" s="98">
        <f t="shared" si="13"/>
        <v>12.300618132127003</v>
      </c>
      <c r="AC173" s="98">
        <f t="shared" si="14"/>
        <v>30.509397129371113</v>
      </c>
      <c r="AD173" s="98">
        <f t="shared" si="15"/>
        <v>5.2919763787061953</v>
      </c>
      <c r="AE173" s="98">
        <f t="shared" si="16"/>
        <v>2.6433448445085883</v>
      </c>
      <c r="AF173" s="98">
        <f t="shared" si="17"/>
        <v>21.910476047851219</v>
      </c>
      <c r="AG173" s="3">
        <f t="shared" si="18"/>
        <v>83.998705706953444</v>
      </c>
    </row>
    <row r="174" spans="1:33" ht="14">
      <c r="A174">
        <f t="shared" si="20"/>
        <v>16</v>
      </c>
      <c r="B174" s="21">
        <v>96</v>
      </c>
      <c r="C174" s="26">
        <f t="shared" si="6"/>
        <v>104.43212467987155</v>
      </c>
      <c r="D174" s="83">
        <f>C$158*(0.4*D$14)*('Product half-life and C flows'!B35/100)</f>
        <v>4.9061457686878436</v>
      </c>
      <c r="E174" s="83">
        <f t="shared" si="9"/>
        <v>11.718333388083606</v>
      </c>
      <c r="F174" s="83">
        <f t="shared" si="21"/>
        <v>23.063658997738134</v>
      </c>
      <c r="G174" s="83">
        <f t="shared" si="21"/>
        <v>12.300618132127003</v>
      </c>
      <c r="H174" s="83">
        <f>C$158*(0.6*C$15)*('Product half-life and C flows'!L35/100)</f>
        <v>30.043053456427124</v>
      </c>
      <c r="I174" s="83">
        <f>C$158*0.6*('Product half-life and C flows'!N35/100)</f>
        <v>5.6031830564508187</v>
      </c>
      <c r="J174" s="83">
        <f>C$158*0.6*('Product half-life and C flows'!P35/100)</f>
        <v>2.7987927354899194</v>
      </c>
      <c r="K174" s="83">
        <f t="shared" si="22"/>
        <v>21.910476047851219</v>
      </c>
      <c r="L174" s="3"/>
      <c r="M174" s="88"/>
      <c r="N174" s="88"/>
      <c r="O174" s="88"/>
      <c r="P174" s="88"/>
      <c r="Q174" s="88"/>
      <c r="R174" s="88"/>
      <c r="S174" s="88"/>
      <c r="T174" s="88"/>
      <c r="V174">
        <f t="shared" si="7"/>
        <v>16</v>
      </c>
      <c r="W174" s="3">
        <f t="shared" si="19"/>
        <v>4.1870807238474326</v>
      </c>
      <c r="X174" s="113">
        <f t="shared" si="8"/>
        <v>104.43212467987155</v>
      </c>
      <c r="Y174" s="98">
        <f t="shared" si="10"/>
        <v>4.9061457686878436</v>
      </c>
      <c r="Z174" s="98">
        <f t="shared" si="11"/>
        <v>11.718333388083606</v>
      </c>
      <c r="AA174" s="98">
        <f t="shared" si="12"/>
        <v>23.063658997738134</v>
      </c>
      <c r="AB174" s="98">
        <f t="shared" si="13"/>
        <v>12.300618132127003</v>
      </c>
      <c r="AC174" s="98">
        <f t="shared" si="14"/>
        <v>30.043053456427124</v>
      </c>
      <c r="AD174" s="98">
        <f t="shared" si="15"/>
        <v>5.6031830564508187</v>
      </c>
      <c r="AE174" s="98">
        <f t="shared" si="16"/>
        <v>2.7987927354899194</v>
      </c>
      <c r="AF174" s="98">
        <f t="shared" si="17"/>
        <v>21.910476047851219</v>
      </c>
      <c r="AG174" s="3">
        <f t="shared" si="18"/>
        <v>85.527639766316611</v>
      </c>
    </row>
    <row r="175" spans="1:33" ht="14">
      <c r="A175">
        <f t="shared" si="20"/>
        <v>17</v>
      </c>
      <c r="B175" s="21">
        <v>97</v>
      </c>
      <c r="C175" s="26">
        <f t="shared" si="6"/>
        <v>105.50150372992968</v>
      </c>
      <c r="D175" s="83">
        <f>C$158*(0.4*D$14)*('Product half-life and C flows'!B36/100)</f>
        <v>4.7390244329765006</v>
      </c>
      <c r="E175" s="83">
        <f t="shared" si="9"/>
        <v>13.324187201714368</v>
      </c>
      <c r="F175" s="83">
        <f t="shared" si="21"/>
        <v>23.063658997738134</v>
      </c>
      <c r="G175" s="83">
        <f t="shared" si="21"/>
        <v>12.300618132127003</v>
      </c>
      <c r="H175" s="83">
        <f>C$158*(0.6*C$15)*('Product half-life and C flows'!L36/100)</f>
        <v>29.583837961741541</v>
      </c>
      <c r="I175" s="83">
        <f>C$158*0.6*('Product half-life and C flows'!N36/100)</f>
        <v>5.9096328632376611</v>
      </c>
      <c r="J175" s="83">
        <f>C$158*0.6*('Product half-life and C flows'!P36/100)</f>
        <v>2.9518645670517789</v>
      </c>
      <c r="K175" s="83">
        <f t="shared" si="22"/>
        <v>21.910476047851219</v>
      </c>
      <c r="L175" s="3"/>
      <c r="M175" s="88"/>
      <c r="N175" s="88"/>
      <c r="O175" s="88"/>
      <c r="P175" s="88"/>
      <c r="Q175" s="88"/>
      <c r="R175" s="88"/>
      <c r="S175" s="88"/>
      <c r="T175" s="88"/>
      <c r="V175">
        <f t="shared" si="7"/>
        <v>17</v>
      </c>
      <c r="W175" s="3">
        <f t="shared" si="19"/>
        <v>4.760868763980147</v>
      </c>
      <c r="X175" s="113">
        <f t="shared" si="8"/>
        <v>105.50150372992968</v>
      </c>
      <c r="Y175" s="98">
        <f t="shared" si="10"/>
        <v>4.7390244329765006</v>
      </c>
      <c r="Z175" s="98">
        <f t="shared" si="11"/>
        <v>13.324187201714368</v>
      </c>
      <c r="AA175" s="98">
        <f t="shared" si="12"/>
        <v>23.063658997738134</v>
      </c>
      <c r="AB175" s="98">
        <f t="shared" si="13"/>
        <v>12.300618132127003</v>
      </c>
      <c r="AC175" s="98">
        <f t="shared" si="14"/>
        <v>29.583837961741541</v>
      </c>
      <c r="AD175" s="98">
        <f t="shared" si="15"/>
        <v>5.9096328632376611</v>
      </c>
      <c r="AE175" s="98">
        <f t="shared" si="16"/>
        <v>2.9518645670517789</v>
      </c>
      <c r="AF175" s="98">
        <f t="shared" si="17"/>
        <v>21.910476047851219</v>
      </c>
      <c r="AG175" s="3">
        <f t="shared" si="18"/>
        <v>87.133799723610494</v>
      </c>
    </row>
    <row r="176" spans="1:33" ht="14">
      <c r="A176">
        <f t="shared" ref="A176:B191" si="23">A175+1</f>
        <v>18</v>
      </c>
      <c r="B176" s="21">
        <v>98</v>
      </c>
      <c r="C176" s="26">
        <f t="shared" si="6"/>
        <v>106.55676827783559</v>
      </c>
      <c r="D176" s="83">
        <f>C$158*(0.4*D$14)*('Product half-life and C flows'!B37/100)</f>
        <v>4.5775958634744676</v>
      </c>
      <c r="E176" s="83">
        <f t="shared" si="9"/>
        <v>14.999241888023334</v>
      </c>
      <c r="F176" s="83">
        <f t="shared" si="21"/>
        <v>23.063658997738134</v>
      </c>
      <c r="G176" s="83">
        <f t="shared" si="21"/>
        <v>12.300618132127003</v>
      </c>
      <c r="H176" s="83">
        <f>C$158*(0.6*C$15)*('Product half-life and C flows'!L37/100)</f>
        <v>29.131641689348573</v>
      </c>
      <c r="I176" s="83">
        <f>C$158*0.6*('Product half-life and C flows'!N37/100)</f>
        <v>6.21139850901457</v>
      </c>
      <c r="J176" s="83">
        <f>C$158*0.6*('Product half-life and C flows'!P37/100)</f>
        <v>3.1025966578494355</v>
      </c>
      <c r="K176" s="83">
        <f t="shared" si="22"/>
        <v>21.910476047851219</v>
      </c>
      <c r="L176" s="3"/>
      <c r="M176" s="88"/>
      <c r="N176" s="88"/>
      <c r="O176" s="88"/>
      <c r="P176" s="88"/>
      <c r="Q176" s="88"/>
      <c r="R176" s="88"/>
      <c r="S176" s="88"/>
      <c r="T176" s="88"/>
      <c r="V176">
        <f t="shared" si="7"/>
        <v>18</v>
      </c>
      <c r="W176" s="3">
        <f t="shared" si="19"/>
        <v>5.3593829857692894</v>
      </c>
      <c r="X176" s="113">
        <f t="shared" si="8"/>
        <v>106.55676827783559</v>
      </c>
      <c r="Y176" s="98">
        <f t="shared" si="10"/>
        <v>4.5775958634744676</v>
      </c>
      <c r="Z176" s="98">
        <f t="shared" si="11"/>
        <v>14.999241888023334</v>
      </c>
      <c r="AA176" s="98">
        <f t="shared" si="12"/>
        <v>23.063658997738134</v>
      </c>
      <c r="AB176" s="98">
        <f t="shared" si="13"/>
        <v>12.300618132127003</v>
      </c>
      <c r="AC176" s="98">
        <f t="shared" si="14"/>
        <v>29.131641689348573</v>
      </c>
      <c r="AD176" s="98">
        <f t="shared" si="15"/>
        <v>6.21139850901457</v>
      </c>
      <c r="AE176" s="98">
        <f t="shared" si="16"/>
        <v>3.1025966578494355</v>
      </c>
      <c r="AF176" s="98">
        <f t="shared" si="17"/>
        <v>21.910476047851219</v>
      </c>
      <c r="AG176" s="3">
        <f t="shared" si="18"/>
        <v>88.809155874101037</v>
      </c>
    </row>
    <row r="177" spans="1:33" ht="14">
      <c r="A177">
        <f t="shared" si="23"/>
        <v>19</v>
      </c>
      <c r="B177" s="21">
        <v>99</v>
      </c>
      <c r="C177" s="26">
        <f t="shared" si="6"/>
        <v>107.59794350495081</v>
      </c>
      <c r="D177" s="83">
        <f>C$158*(0.4*D$14)*('Product half-life and C flows'!B38/100)</f>
        <v>4.4216661436660862</v>
      </c>
      <c r="E177" s="83">
        <f t="shared" si="9"/>
        <v>16.7355400849764</v>
      </c>
      <c r="F177" s="83">
        <f t="shared" si="21"/>
        <v>23.063658997738134</v>
      </c>
      <c r="G177" s="83">
        <f t="shared" si="21"/>
        <v>12.300618132127003</v>
      </c>
      <c r="H177" s="83">
        <f>C$158*(0.6*C$15)*('Product half-life and C flows'!L38/100)</f>
        <v>28.686357348701257</v>
      </c>
      <c r="I177" s="83">
        <f>C$158*0.6*('Product half-life and C flows'!N38/100)</f>
        <v>6.5085515923398818</v>
      </c>
      <c r="J177" s="83">
        <f>C$158*0.6*('Product half-life and C flows'!P38/100)</f>
        <v>3.2510247713985421</v>
      </c>
      <c r="K177" s="83">
        <f t="shared" si="22"/>
        <v>21.910476047851219</v>
      </c>
      <c r="L177" s="3"/>
      <c r="M177" s="88"/>
      <c r="N177" s="88"/>
      <c r="O177" s="88"/>
      <c r="P177" s="88"/>
      <c r="Q177" s="88"/>
      <c r="R177" s="88"/>
      <c r="S177" s="88"/>
      <c r="T177" s="88"/>
      <c r="V177">
        <f t="shared" si="7"/>
        <v>19</v>
      </c>
      <c r="W177" s="3">
        <f t="shared" si="19"/>
        <v>5.9797801421350689</v>
      </c>
      <c r="X177" s="113">
        <f t="shared" si="8"/>
        <v>107.59794350495081</v>
      </c>
      <c r="Y177" s="98">
        <f t="shared" si="10"/>
        <v>4.4216661436660862</v>
      </c>
      <c r="Z177" s="98">
        <f t="shared" si="11"/>
        <v>16.7355400849764</v>
      </c>
      <c r="AA177" s="98">
        <f t="shared" si="12"/>
        <v>23.063658997738134</v>
      </c>
      <c r="AB177" s="98">
        <f t="shared" si="13"/>
        <v>12.300618132127003</v>
      </c>
      <c r="AC177" s="98">
        <f t="shared" si="14"/>
        <v>28.686357348701257</v>
      </c>
      <c r="AD177" s="98">
        <f t="shared" si="15"/>
        <v>6.5085515923398818</v>
      </c>
      <c r="AE177" s="98">
        <f t="shared" si="16"/>
        <v>3.2510247713985421</v>
      </c>
      <c r="AF177" s="98">
        <f t="shared" si="17"/>
        <v>21.910476047851219</v>
      </c>
      <c r="AG177" s="3">
        <f t="shared" si="18"/>
        <v>90.545750927281233</v>
      </c>
    </row>
    <row r="178" spans="1:33" ht="14">
      <c r="A178">
        <f t="shared" si="23"/>
        <v>20</v>
      </c>
      <c r="B178" s="21">
        <v>100</v>
      </c>
      <c r="C178" s="26">
        <f t="shared" si="6"/>
        <v>108.62506275243267</v>
      </c>
      <c r="D178" s="83">
        <f>C$158*(0.4*D$14)*('Product half-life and C flows'!B39/100)</f>
        <v>4.271047962544098</v>
      </c>
      <c r="E178" s="83">
        <f t="shared" si="9"/>
        <v>18.5252835435601</v>
      </c>
      <c r="F178" s="83">
        <f t="shared" si="21"/>
        <v>23.063658997738134</v>
      </c>
      <c r="G178" s="83">
        <f t="shared" si="21"/>
        <v>12.300618132127003</v>
      </c>
      <c r="H178" s="83">
        <f>C$158*(0.6*C$15)*('Product half-life and C flows'!L39/100)</f>
        <v>28.24787928921516</v>
      </c>
      <c r="I178" s="83">
        <f>C$158*0.6*('Product half-life and C flows'!N39/100)</f>
        <v>6.8011626173702675</v>
      </c>
      <c r="J178" s="83">
        <f>C$158*0.6*('Product half-life and C flows'!P39/100)</f>
        <v>3.3971841245605732</v>
      </c>
      <c r="K178" s="83">
        <f t="shared" si="22"/>
        <v>21.910476047851219</v>
      </c>
      <c r="L178" s="3"/>
      <c r="M178" s="88"/>
      <c r="N178" s="88"/>
      <c r="O178" s="88"/>
      <c r="P178" s="88"/>
      <c r="Q178" s="88"/>
      <c r="R178" s="88"/>
      <c r="S178" s="88"/>
      <c r="T178" s="88"/>
      <c r="V178">
        <f t="shared" si="7"/>
        <v>20</v>
      </c>
      <c r="W178" s="3">
        <f t="shared" si="19"/>
        <v>6.6192738387121182</v>
      </c>
      <c r="X178" s="113">
        <f t="shared" si="8"/>
        <v>108.62506275243267</v>
      </c>
      <c r="Y178" s="98">
        <f t="shared" si="10"/>
        <v>4.271047962544098</v>
      </c>
      <c r="Z178" s="98">
        <f t="shared" si="11"/>
        <v>18.5252835435601</v>
      </c>
      <c r="AA178" s="98">
        <f t="shared" si="12"/>
        <v>23.063658997738134</v>
      </c>
      <c r="AB178" s="98">
        <f t="shared" si="13"/>
        <v>12.300618132127003</v>
      </c>
      <c r="AC178" s="98">
        <f t="shared" si="14"/>
        <v>28.24787928921516</v>
      </c>
      <c r="AD178" s="98">
        <f t="shared" si="15"/>
        <v>6.8011626173702675</v>
      </c>
      <c r="AE178" s="98">
        <f t="shared" si="16"/>
        <v>3.3971841245605732</v>
      </c>
      <c r="AF178" s="98">
        <f t="shared" si="17"/>
        <v>21.910476047851219</v>
      </c>
      <c r="AG178" s="3">
        <f t="shared" si="18"/>
        <v>92.335786704571234</v>
      </c>
    </row>
    <row r="179" spans="1:33" ht="14">
      <c r="A179">
        <f t="shared" si="23"/>
        <v>21</v>
      </c>
      <c r="B179" s="19">
        <f>B178+1</f>
        <v>101</v>
      </c>
      <c r="C179" s="26">
        <f t="shared" si="6"/>
        <v>109.63816709662152</v>
      </c>
      <c r="D179" s="83">
        <f>C$158*(0.4*D$14)*('Product half-life and C flows'!B40/100)</f>
        <v>4.1255603896017874</v>
      </c>
      <c r="E179" s="83">
        <f t="shared" si="9"/>
        <v>20.360901524976995</v>
      </c>
      <c r="F179" s="83">
        <f t="shared" si="21"/>
        <v>23.063658997738134</v>
      </c>
      <c r="G179" s="83">
        <f t="shared" si="21"/>
        <v>12.300618132127003</v>
      </c>
      <c r="H179" s="83">
        <f>C$158*(0.6*C$15)*('Product half-life and C flows'!L40/100)</f>
        <v>27.816103475201142</v>
      </c>
      <c r="I179" s="83">
        <f>C$158*0.6*('Product half-life and C flows'!N40/100)</f>
        <v>7.0893010105889553</v>
      </c>
      <c r="J179" s="83">
        <f>C$158*0.6*('Product half-life and C flows'!P40/100)</f>
        <v>3.5411093958985784</v>
      </c>
      <c r="K179" s="83">
        <f t="shared" si="22"/>
        <v>21.910476047851219</v>
      </c>
      <c r="L179" s="3"/>
      <c r="M179" s="88"/>
      <c r="N179" s="88"/>
      <c r="O179" s="88"/>
      <c r="P179" s="88"/>
      <c r="Q179" s="88"/>
      <c r="R179" s="88"/>
      <c r="S179" s="88"/>
      <c r="T179" s="88"/>
      <c r="V179">
        <f t="shared" si="7"/>
        <v>21</v>
      </c>
      <c r="W179" s="3">
        <f t="shared" si="19"/>
        <v>7.2751589728690114</v>
      </c>
      <c r="X179" s="113">
        <f t="shared" si="8"/>
        <v>109.63816709662152</v>
      </c>
      <c r="Y179" s="98">
        <f t="shared" si="10"/>
        <v>4.1255603896017874</v>
      </c>
      <c r="Z179" s="98">
        <f t="shared" si="11"/>
        <v>20.360901524976995</v>
      </c>
      <c r="AA179" s="98">
        <f t="shared" si="12"/>
        <v>23.063658997738134</v>
      </c>
      <c r="AB179" s="98">
        <f t="shared" si="13"/>
        <v>12.300618132127003</v>
      </c>
      <c r="AC179" s="98">
        <f t="shared" si="14"/>
        <v>27.816103475201142</v>
      </c>
      <c r="AD179" s="98">
        <f t="shared" si="15"/>
        <v>7.0893010105889553</v>
      </c>
      <c r="AE179" s="98">
        <f t="shared" si="16"/>
        <v>3.5411093958985784</v>
      </c>
      <c r="AF179" s="98">
        <f t="shared" si="17"/>
        <v>21.910476047851219</v>
      </c>
      <c r="AG179" s="3">
        <f t="shared" si="18"/>
        <v>94.171692536530799</v>
      </c>
    </row>
    <row r="180" spans="1:33" ht="14">
      <c r="A180">
        <f t="shared" si="23"/>
        <v>22</v>
      </c>
      <c r="B180" s="19">
        <f t="shared" si="23"/>
        <v>102</v>
      </c>
      <c r="C180" s="26">
        <f t="shared" si="6"/>
        <v>110.63730493869643</v>
      </c>
      <c r="D180" s="83">
        <f>C$158*(0.4*D$14)*('Product half-life and C flows'!B41/100)</f>
        <v>3.985028657489706</v>
      </c>
      <c r="E180" s="83">
        <f t="shared" si="9"/>
        <v>22.235103667138301</v>
      </c>
      <c r="F180" s="83">
        <f t="shared" si="21"/>
        <v>23.063658997738134</v>
      </c>
      <c r="G180" s="83">
        <f t="shared" si="21"/>
        <v>12.300618132127003</v>
      </c>
      <c r="H180" s="83">
        <f>C$158*(0.6*C$15)*('Product half-life and C flows'!L41/100)</f>
        <v>27.390927461181274</v>
      </c>
      <c r="I180" s="83">
        <f>C$158*0.6*('Product half-life and C flows'!N41/100)</f>
        <v>7.3730351372782161</v>
      </c>
      <c r="J180" s="83">
        <f>C$158*0.6*('Product half-life and C flows'!P41/100)</f>
        <v>3.6828347339052026</v>
      </c>
      <c r="K180" s="83">
        <f t="shared" si="22"/>
        <v>21.910476047851219</v>
      </c>
      <c r="L180" s="3"/>
      <c r="M180" s="88"/>
      <c r="N180" s="88"/>
      <c r="O180" s="88"/>
      <c r="P180" s="88"/>
      <c r="Q180" s="88"/>
      <c r="R180" s="88"/>
      <c r="S180" s="88"/>
      <c r="T180" s="88"/>
      <c r="V180">
        <f t="shared" si="7"/>
        <v>22</v>
      </c>
      <c r="W180" s="3">
        <f t="shared" si="19"/>
        <v>7.9448306234483717</v>
      </c>
      <c r="X180" s="113">
        <f t="shared" si="8"/>
        <v>110.63730493869643</v>
      </c>
      <c r="Y180" s="98">
        <f t="shared" si="10"/>
        <v>3.985028657489706</v>
      </c>
      <c r="Z180" s="98">
        <f t="shared" si="11"/>
        <v>22.235103667138301</v>
      </c>
      <c r="AA180" s="98">
        <f t="shared" si="12"/>
        <v>23.063658997738134</v>
      </c>
      <c r="AB180" s="98">
        <f t="shared" si="13"/>
        <v>12.300618132127003</v>
      </c>
      <c r="AC180" s="98">
        <f t="shared" si="14"/>
        <v>27.390927461181274</v>
      </c>
      <c r="AD180" s="98">
        <f t="shared" si="15"/>
        <v>7.3730351372782161</v>
      </c>
      <c r="AE180" s="98">
        <f t="shared" si="16"/>
        <v>3.6828347339052026</v>
      </c>
      <c r="AF180" s="98">
        <f t="shared" si="17"/>
        <v>21.910476047851219</v>
      </c>
      <c r="AG180" s="3">
        <f t="shared" si="18"/>
        <v>96.04617812936813</v>
      </c>
    </row>
    <row r="181" spans="1:33" ht="14">
      <c r="A181">
        <f t="shared" si="23"/>
        <v>23</v>
      </c>
      <c r="B181" s="19">
        <f t="shared" si="23"/>
        <v>103</v>
      </c>
      <c r="C181" s="26">
        <f t="shared" si="6"/>
        <v>111.62253160834713</v>
      </c>
      <c r="D181" s="83">
        <f>C$158*(0.4*D$14)*('Product half-life and C flows'!B42/100)</f>
        <v>3.8492839520759126</v>
      </c>
      <c r="E181" s="83">
        <f t="shared" si="9"/>
        <v>24.140919721338808</v>
      </c>
      <c r="F181" s="83">
        <f t="shared" si="21"/>
        <v>23.063658997738134</v>
      </c>
      <c r="G181" s="83">
        <f t="shared" si="21"/>
        <v>12.300618132127003</v>
      </c>
      <c r="H181" s="83">
        <f>C$158*(0.6*C$15)*('Product half-life and C flows'!L42/100)</f>
        <v>26.972250367582042</v>
      </c>
      <c r="I181" s="83">
        <f>C$158*0.6*('Product half-life and C flows'!N42/100)</f>
        <v>7.6524323177401028</v>
      </c>
      <c r="J181" s="83">
        <f>C$158*0.6*('Product half-life and C flows'!P42/100)</f>
        <v>3.8223937651049456</v>
      </c>
      <c r="K181" s="83">
        <f t="shared" si="22"/>
        <v>21.910476047851219</v>
      </c>
      <c r="L181" s="3"/>
      <c r="M181" s="88"/>
      <c r="N181" s="88"/>
      <c r="O181" s="88"/>
      <c r="P181" s="88"/>
      <c r="Q181" s="88"/>
      <c r="R181" s="88"/>
      <c r="S181" s="88"/>
      <c r="T181" s="88"/>
      <c r="V181">
        <f t="shared" si="7"/>
        <v>23</v>
      </c>
      <c r="W181" s="3">
        <f t="shared" si="19"/>
        <v>8.6257982490884295</v>
      </c>
      <c r="X181" s="113">
        <f t="shared" si="8"/>
        <v>111.62253160834713</v>
      </c>
      <c r="Y181" s="98">
        <f t="shared" si="10"/>
        <v>3.8492839520759126</v>
      </c>
      <c r="Z181" s="98">
        <f t="shared" si="11"/>
        <v>24.140919721338808</v>
      </c>
      <c r="AA181" s="98">
        <f t="shared" si="12"/>
        <v>23.063658997738134</v>
      </c>
      <c r="AB181" s="98">
        <f t="shared" si="13"/>
        <v>12.300618132127003</v>
      </c>
      <c r="AC181" s="98">
        <f t="shared" si="14"/>
        <v>26.972250367582042</v>
      </c>
      <c r="AD181" s="98">
        <f t="shared" si="15"/>
        <v>7.6524323177401028</v>
      </c>
      <c r="AE181" s="98">
        <f t="shared" si="16"/>
        <v>3.8223937651049456</v>
      </c>
      <c r="AF181" s="98">
        <f t="shared" si="17"/>
        <v>21.910476047851219</v>
      </c>
      <c r="AG181" s="3">
        <f t="shared" si="18"/>
        <v>97.952273301631038</v>
      </c>
    </row>
    <row r="182" spans="1:33" ht="14">
      <c r="A182">
        <f t="shared" si="23"/>
        <v>24</v>
      </c>
      <c r="B182" s="19">
        <f t="shared" si="23"/>
        <v>104</v>
      </c>
      <c r="C182" s="26">
        <f t="shared" si="6"/>
        <v>112.59390898119706</v>
      </c>
      <c r="D182" s="83">
        <f>C$158*(0.4*D$14)*('Product half-life and C flows'!B43/100)</f>
        <v>3.7181632096575279</v>
      </c>
      <c r="E182" s="83">
        <f t="shared" si="9"/>
        <v>26.071728237167552</v>
      </c>
      <c r="F182" s="83">
        <f t="shared" si="21"/>
        <v>23.063658997738134</v>
      </c>
      <c r="G182" s="83">
        <f t="shared" si="21"/>
        <v>12.300618132127003</v>
      </c>
      <c r="H182" s="83">
        <f>C$158*(0.6*C$15)*('Product half-life and C flows'!L43/100)</f>
        <v>26.559972856799167</v>
      </c>
      <c r="I182" s="83">
        <f>C$158*0.6*('Product half-life and C flows'!N43/100)</f>
        <v>7.9275588432692068</v>
      </c>
      <c r="J182" s="83">
        <f>C$158*0.6*('Product half-life and C flows'!P43/100)</f>
        <v>3.9598196020325704</v>
      </c>
      <c r="K182" s="83">
        <f t="shared" si="22"/>
        <v>21.910476047851219</v>
      </c>
      <c r="L182" s="3"/>
      <c r="M182" s="88"/>
      <c r="N182" s="88"/>
      <c r="O182" s="88"/>
      <c r="P182" s="88"/>
      <c r="Q182" s="88"/>
      <c r="R182" s="88"/>
      <c r="S182" s="88"/>
      <c r="T182" s="88"/>
      <c r="V182">
        <f t="shared" si="7"/>
        <v>24</v>
      </c>
      <c r="W182" s="3">
        <f t="shared" si="19"/>
        <v>9.315695937635855</v>
      </c>
      <c r="X182" s="113">
        <f t="shared" si="8"/>
        <v>112.59390898119706</v>
      </c>
      <c r="Y182" s="98">
        <f t="shared" si="10"/>
        <v>3.7181632096575279</v>
      </c>
      <c r="Z182" s="98">
        <f t="shared" si="11"/>
        <v>26.071728237167552</v>
      </c>
      <c r="AA182" s="98">
        <f t="shared" si="12"/>
        <v>23.063658997738134</v>
      </c>
      <c r="AB182" s="98">
        <f t="shared" si="13"/>
        <v>12.300618132127003</v>
      </c>
      <c r="AC182" s="98">
        <f t="shared" si="14"/>
        <v>26.559972856799167</v>
      </c>
      <c r="AD182" s="98">
        <f t="shared" si="15"/>
        <v>7.9275588432692068</v>
      </c>
      <c r="AE182" s="98">
        <f t="shared" si="16"/>
        <v>3.9598196020325704</v>
      </c>
      <c r="AF182" s="98">
        <f t="shared" si="17"/>
        <v>21.910476047851219</v>
      </c>
      <c r="AG182" s="3">
        <f t="shared" si="18"/>
        <v>99.883356669133633</v>
      </c>
    </row>
    <row r="183" spans="1:33" ht="14">
      <c r="A183">
        <f t="shared" si="23"/>
        <v>25</v>
      </c>
      <c r="B183" s="19">
        <f t="shared" si="23"/>
        <v>105</v>
      </c>
      <c r="C183" s="26">
        <f t="shared" si="6"/>
        <v>113.55150510970481</v>
      </c>
      <c r="D183" s="83">
        <f>C$158*(0.4*D$14)*('Product half-life and C flows'!B44/100)</f>
        <v>3.5915089210800133</v>
      </c>
      <c r="E183" s="83">
        <f t="shared" si="9"/>
        <v>28.021275991399175</v>
      </c>
      <c r="F183" s="83">
        <f t="shared" si="21"/>
        <v>23.063658997738134</v>
      </c>
      <c r="G183" s="83">
        <f t="shared" si="21"/>
        <v>12.300618132127003</v>
      </c>
      <c r="H183" s="83">
        <f>C$158*(0.6*C$15)*('Product half-life and C flows'!L44/100)</f>
        <v>26.153997109628197</v>
      </c>
      <c r="I183" s="83">
        <f>C$158*0.6*('Product half-life and C flows'!N44/100)</f>
        <v>8.1984799918813032</v>
      </c>
      <c r="J183" s="83">
        <f>C$158*0.6*('Product half-life and C flows'!P44/100)</f>
        <v>4.0951448510895618</v>
      </c>
      <c r="K183" s="83">
        <f t="shared" si="22"/>
        <v>21.910476047851219</v>
      </c>
      <c r="L183" s="3"/>
      <c r="M183" s="88"/>
      <c r="N183" s="88"/>
      <c r="O183" s="88"/>
      <c r="P183" s="88"/>
      <c r="Q183" s="88"/>
      <c r="R183" s="88"/>
      <c r="S183" s="88"/>
      <c r="T183" s="88"/>
      <c r="V183">
        <f t="shared" si="7"/>
        <v>25</v>
      </c>
      <c r="W183" s="3">
        <f t="shared" si="19"/>
        <v>10.012289348287933</v>
      </c>
      <c r="X183" s="113">
        <f t="shared" si="8"/>
        <v>113.55150510970481</v>
      </c>
      <c r="Y183" s="98">
        <f t="shared" si="10"/>
        <v>3.5915089210800133</v>
      </c>
      <c r="Z183" s="98">
        <f t="shared" si="11"/>
        <v>28.021275991399175</v>
      </c>
      <c r="AA183" s="98">
        <f t="shared" si="12"/>
        <v>23.063658997738134</v>
      </c>
      <c r="AB183" s="98">
        <f t="shared" si="13"/>
        <v>12.300618132127003</v>
      </c>
      <c r="AC183" s="98">
        <f t="shared" si="14"/>
        <v>26.153997109628197</v>
      </c>
      <c r="AD183" s="98">
        <f t="shared" si="15"/>
        <v>8.1984799918813032</v>
      </c>
      <c r="AE183" s="98">
        <f t="shared" si="16"/>
        <v>4.0951448510895618</v>
      </c>
      <c r="AF183" s="98">
        <f t="shared" si="17"/>
        <v>21.910476047851219</v>
      </c>
      <c r="AG183" s="3">
        <f t="shared" si="18"/>
        <v>101.83317507386336</v>
      </c>
    </row>
    <row r="184" spans="1:33" ht="14">
      <c r="A184">
        <f t="shared" si="23"/>
        <v>26</v>
      </c>
      <c r="B184" s="19">
        <f t="shared" si="23"/>
        <v>106</v>
      </c>
      <c r="C184" s="26">
        <f t="shared" si="6"/>
        <v>114.4953938672609</v>
      </c>
      <c r="D184" s="83">
        <f>C$158*(0.4*D$14)*('Product half-life and C flows'!B45/100)</f>
        <v>3.4691689425288605</v>
      </c>
      <c r="E184" s="83">
        <f t="shared" si="9"/>
        <v>29.983689709930267</v>
      </c>
      <c r="F184" s="83">
        <f t="shared" si="21"/>
        <v>23.063658997738134</v>
      </c>
      <c r="G184" s="83">
        <f t="shared" si="21"/>
        <v>12.300618132127003</v>
      </c>
      <c r="H184" s="83">
        <f>C$158*(0.6*C$15)*('Product half-life and C flows'!L45/100)</f>
        <v>25.754226802055364</v>
      </c>
      <c r="I184" s="83">
        <f>C$158*0.6*('Product half-life and C flows'!N45/100)</f>
        <v>8.4652600438015728</v>
      </c>
      <c r="J184" s="83">
        <f>C$158*0.6*('Product half-life and C flows'!P45/100)</f>
        <v>4.2284016202805059</v>
      </c>
      <c r="K184" s="83">
        <f t="shared" si="22"/>
        <v>21.910476047851219</v>
      </c>
      <c r="L184" s="3"/>
      <c r="M184" s="88"/>
      <c r="N184" s="88"/>
      <c r="O184" s="88"/>
      <c r="P184" s="88"/>
      <c r="Q184" s="88"/>
      <c r="R184" s="88"/>
      <c r="S184" s="88"/>
      <c r="T184" s="88"/>
      <c r="V184">
        <f t="shared" si="7"/>
        <v>26</v>
      </c>
      <c r="W184" s="3">
        <f t="shared" si="19"/>
        <v>10.713479899960662</v>
      </c>
      <c r="X184" s="113">
        <f t="shared" si="8"/>
        <v>114.4953938672609</v>
      </c>
      <c r="Y184" s="98">
        <f t="shared" si="10"/>
        <v>3.4691689425288605</v>
      </c>
      <c r="Z184" s="98">
        <f t="shared" si="11"/>
        <v>29.983689709930267</v>
      </c>
      <c r="AA184" s="98">
        <f t="shared" si="12"/>
        <v>23.063658997738134</v>
      </c>
      <c r="AB184" s="98">
        <f t="shared" si="13"/>
        <v>12.300618132127003</v>
      </c>
      <c r="AC184" s="98">
        <f t="shared" si="14"/>
        <v>25.754226802055364</v>
      </c>
      <c r="AD184" s="98">
        <f t="shared" si="15"/>
        <v>8.4652600438015728</v>
      </c>
      <c r="AE184" s="98">
        <f t="shared" si="16"/>
        <v>4.2284016202805059</v>
      </c>
      <c r="AF184" s="98">
        <f t="shared" si="17"/>
        <v>21.910476047851219</v>
      </c>
      <c r="AG184" s="3">
        <f t="shared" si="18"/>
        <v>103.79585530593285</v>
      </c>
    </row>
    <row r="185" spans="1:33" ht="14">
      <c r="A185">
        <f t="shared" si="23"/>
        <v>27</v>
      </c>
      <c r="B185" s="19">
        <f t="shared" si="23"/>
        <v>107</v>
      </c>
      <c r="C185" s="26">
        <f t="shared" si="6"/>
        <v>115.42565460519332</v>
      </c>
      <c r="D185" s="83">
        <f>C$158*(0.4*D$14)*('Product half-life and C flows'!B46/100)</f>
        <v>3.3509963127664166</v>
      </c>
      <c r="E185" s="83">
        <f t="shared" si="9"/>
        <v>31.953481416457699</v>
      </c>
      <c r="F185" s="83">
        <f t="shared" si="21"/>
        <v>23.063658997738134</v>
      </c>
      <c r="G185" s="83">
        <f t="shared" si="21"/>
        <v>12.300618132127003</v>
      </c>
      <c r="H185" s="83">
        <f>C$158*(0.6*C$15)*('Product half-life and C flows'!L46/100)</f>
        <v>25.36056708240325</v>
      </c>
      <c r="I185" s="83">
        <f>C$158*0.6*('Product half-life and C flows'!N46/100)</f>
        <v>8.7279622967160861</v>
      </c>
      <c r="J185" s="83">
        <f>C$158*0.6*('Product half-life and C flows'!P46/100)</f>
        <v>4.3596215268312113</v>
      </c>
      <c r="K185" s="83">
        <f t="shared" si="22"/>
        <v>21.910476047851219</v>
      </c>
      <c r="L185" s="3"/>
      <c r="M185" s="88"/>
      <c r="N185" s="88"/>
      <c r="O185" s="88"/>
      <c r="P185" s="88"/>
      <c r="Q185" s="88"/>
      <c r="R185" s="88"/>
      <c r="S185" s="88"/>
      <c r="T185" s="88"/>
      <c r="V185">
        <f t="shared" si="7"/>
        <v>27</v>
      </c>
      <c r="W185" s="3">
        <f t="shared" si="19"/>
        <v>11.417306682426386</v>
      </c>
      <c r="X185" s="113">
        <f t="shared" si="8"/>
        <v>115.42565460519332</v>
      </c>
      <c r="Y185" s="98">
        <f t="shared" si="10"/>
        <v>3.3509963127664166</v>
      </c>
      <c r="Z185" s="98">
        <f t="shared" si="11"/>
        <v>31.953481416457699</v>
      </c>
      <c r="AA185" s="98">
        <f t="shared" si="12"/>
        <v>23.063658997738134</v>
      </c>
      <c r="AB185" s="98">
        <f t="shared" si="13"/>
        <v>12.300618132127003</v>
      </c>
      <c r="AC185" s="98">
        <f t="shared" si="14"/>
        <v>25.36056708240325</v>
      </c>
      <c r="AD185" s="98">
        <f t="shared" si="15"/>
        <v>8.7279622967160861</v>
      </c>
      <c r="AE185" s="98">
        <f t="shared" si="16"/>
        <v>4.3596215268312113</v>
      </c>
      <c r="AF185" s="98">
        <f t="shared" si="17"/>
        <v>21.910476047851219</v>
      </c>
      <c r="AG185" s="3">
        <f t="shared" si="18"/>
        <v>105.76590945227338</v>
      </c>
    </row>
    <row r="186" spans="1:33" ht="14">
      <c r="A186">
        <f t="shared" si="23"/>
        <v>28</v>
      </c>
      <c r="B186" s="19">
        <f t="shared" si="23"/>
        <v>108</v>
      </c>
      <c r="C186" s="26">
        <f t="shared" si="6"/>
        <v>116.34237182238667</v>
      </c>
      <c r="D186" s="83">
        <f>C$158*(0.4*D$14)*('Product half-life and C flows'!B47/100)</f>
        <v>3.2368490765942859</v>
      </c>
      <c r="E186" s="83">
        <f t="shared" si="9"/>
        <v>33.925548553733627</v>
      </c>
      <c r="F186" s="83">
        <f t="shared" si="21"/>
        <v>23.063658997738134</v>
      </c>
      <c r="G186" s="83">
        <f t="shared" si="21"/>
        <v>12.300618132127003</v>
      </c>
      <c r="H186" s="83">
        <f>C$158*(0.6*C$15)*('Product half-life and C flows'!L47/100)</f>
        <v>24.972924548825787</v>
      </c>
      <c r="I186" s="83">
        <f>C$158*0.6*('Product half-life and C flows'!N47/100)</f>
        <v>8.9866490807901087</v>
      </c>
      <c r="J186" s="83">
        <f>C$158*0.6*('Product half-life and C flows'!P47/100)</f>
        <v>4.4888357046903637</v>
      </c>
      <c r="K186" s="83">
        <f t="shared" si="22"/>
        <v>21.910476047851219</v>
      </c>
      <c r="L186" s="3"/>
      <c r="M186" s="88"/>
      <c r="N186" s="88"/>
      <c r="O186" s="88"/>
      <c r="P186" s="88"/>
      <c r="Q186" s="88"/>
      <c r="R186" s="88"/>
      <c r="S186" s="88"/>
      <c r="T186" s="88"/>
      <c r="V186">
        <f t="shared" si="7"/>
        <v>28</v>
      </c>
      <c r="W186" s="3">
        <f t="shared" si="19"/>
        <v>12.121946499639455</v>
      </c>
      <c r="X186" s="113">
        <f t="shared" si="8"/>
        <v>116.34237182238667</v>
      </c>
      <c r="Y186" s="98">
        <f t="shared" si="10"/>
        <v>3.2368490765942859</v>
      </c>
      <c r="Z186" s="98">
        <f t="shared" si="11"/>
        <v>33.925548553733627</v>
      </c>
      <c r="AA186" s="98">
        <f t="shared" si="12"/>
        <v>23.063658997738134</v>
      </c>
      <c r="AB186" s="98">
        <f t="shared" si="13"/>
        <v>12.300618132127003</v>
      </c>
      <c r="AC186" s="98">
        <f t="shared" si="14"/>
        <v>24.972924548825787</v>
      </c>
      <c r="AD186" s="98">
        <f t="shared" si="15"/>
        <v>8.9866490807901087</v>
      </c>
      <c r="AE186" s="98">
        <f t="shared" si="16"/>
        <v>4.4888357046903637</v>
      </c>
      <c r="AF186" s="98">
        <f t="shared" si="17"/>
        <v>21.910476047851219</v>
      </c>
      <c r="AG186" s="3">
        <f t="shared" si="18"/>
        <v>107.73823501790503</v>
      </c>
    </row>
    <row r="187" spans="1:33" ht="14">
      <c r="A187">
        <f t="shared" si="23"/>
        <v>29</v>
      </c>
      <c r="B187" s="19">
        <f t="shared" si="23"/>
        <v>109</v>
      </c>
      <c r="C187" s="26">
        <f t="shared" si="6"/>
        <v>117.24563484721969</v>
      </c>
      <c r="D187" s="83">
        <f>C$158*(0.4*D$14)*('Product half-life and C flows'!B48/100)</f>
        <v>3.1265901143292618</v>
      </c>
      <c r="E187" s="83">
        <f t="shared" si="9"/>
        <v>35.895169859521509</v>
      </c>
      <c r="F187" s="83">
        <f t="shared" si="21"/>
        <v>23.063658997738134</v>
      </c>
      <c r="G187" s="83">
        <f t="shared" si="21"/>
        <v>12.300618132127003</v>
      </c>
      <c r="H187" s="83">
        <f>C$158*(0.6*C$15)*('Product half-life and C flows'!L48/100)</f>
        <v>24.591207227147176</v>
      </c>
      <c r="I187" s="83">
        <f>C$158*0.6*('Product half-life and C flows'!N48/100)</f>
        <v>9.2413817734569701</v>
      </c>
      <c r="J187" s="83">
        <f>C$158*0.6*('Product half-life and C flows'!P48/100)</f>
        <v>4.616074811916568</v>
      </c>
      <c r="K187" s="83">
        <f t="shared" si="22"/>
        <v>21.910476047851219</v>
      </c>
      <c r="L187" s="3"/>
      <c r="M187" s="88"/>
      <c r="N187" s="88"/>
      <c r="O187" s="88"/>
      <c r="P187" s="88"/>
      <c r="Q187" s="88"/>
      <c r="R187" s="88"/>
      <c r="S187" s="88"/>
      <c r="T187" s="88"/>
      <c r="V187">
        <f t="shared" si="7"/>
        <v>29</v>
      </c>
      <c r="W187" s="3">
        <f t="shared" si="19"/>
        <v>12.825712396173001</v>
      </c>
      <c r="X187" s="113">
        <f t="shared" si="8"/>
        <v>117.24563484721969</v>
      </c>
      <c r="Y187" s="98">
        <f t="shared" si="10"/>
        <v>3.1265901143292618</v>
      </c>
      <c r="Z187" s="98">
        <f t="shared" si="11"/>
        <v>35.895169859521509</v>
      </c>
      <c r="AA187" s="98">
        <f t="shared" si="12"/>
        <v>23.063658997738134</v>
      </c>
      <c r="AB187" s="98">
        <f t="shared" si="13"/>
        <v>12.300618132127003</v>
      </c>
      <c r="AC187" s="98">
        <f t="shared" si="14"/>
        <v>24.591207227147176</v>
      </c>
      <c r="AD187" s="98">
        <f t="shared" si="15"/>
        <v>9.2413817734569701</v>
      </c>
      <c r="AE187" s="98">
        <f t="shared" si="16"/>
        <v>4.616074811916568</v>
      </c>
      <c r="AF187" s="98">
        <f t="shared" si="17"/>
        <v>21.910476047851219</v>
      </c>
      <c r="AG187" s="3">
        <f t="shared" si="18"/>
        <v>109.70811080190735</v>
      </c>
    </row>
    <row r="188" spans="1:33" ht="14">
      <c r="A188">
        <f t="shared" si="23"/>
        <v>30</v>
      </c>
      <c r="B188" s="19">
        <f t="shared" si="23"/>
        <v>110</v>
      </c>
      <c r="C188" s="26">
        <f t="shared" si="6"/>
        <v>118.1355375315197</v>
      </c>
      <c r="D188" s="83">
        <f>C$158*(0.4*D$14)*('Product half-life and C flows'!B49/100)</f>
        <v>3.0200869770879195</v>
      </c>
      <c r="E188" s="83">
        <f t="shared" si="9"/>
        <v>37.85799783686052</v>
      </c>
      <c r="F188" s="83">
        <f t="shared" si="21"/>
        <v>23.063658997738134</v>
      </c>
      <c r="G188" s="83">
        <f t="shared" si="21"/>
        <v>12.300618132127003</v>
      </c>
      <c r="H188" s="83">
        <f>C$158*(0.6*C$15)*('Product half-life and C flows'!L49/100)</f>
        <v>24.215324549039632</v>
      </c>
      <c r="I188" s="83">
        <f>C$158*0.6*('Product half-life and C flows'!N49/100)</f>
        <v>9.4922208139807385</v>
      </c>
      <c r="J188" s="83">
        <f>C$158*0.6*('Product half-life and C flows'!P49/100)</f>
        <v>4.741369037952416</v>
      </c>
      <c r="K188" s="83">
        <f t="shared" si="22"/>
        <v>21.910476047851219</v>
      </c>
      <c r="L188" s="3"/>
      <c r="M188" s="88"/>
      <c r="N188" s="88"/>
      <c r="O188" s="88"/>
      <c r="P188" s="88"/>
      <c r="Q188" s="88"/>
      <c r="R188" s="88"/>
      <c r="S188" s="88"/>
      <c r="T188" s="88"/>
      <c r="V188">
        <f t="shared" si="7"/>
        <v>30</v>
      </c>
      <c r="W188" s="3">
        <f t="shared" si="19"/>
        <v>13.527050966767179</v>
      </c>
      <c r="X188" s="113">
        <f t="shared" si="8"/>
        <v>118.1355375315197</v>
      </c>
      <c r="Y188" s="98">
        <f t="shared" si="10"/>
        <v>3.0200869770879195</v>
      </c>
      <c r="Z188" s="98">
        <f t="shared" si="11"/>
        <v>37.85799783686052</v>
      </c>
      <c r="AA188" s="98">
        <f t="shared" si="12"/>
        <v>23.063658997738134</v>
      </c>
      <c r="AB188" s="98">
        <f t="shared" si="13"/>
        <v>12.300618132127003</v>
      </c>
      <c r="AC188" s="98">
        <f t="shared" si="14"/>
        <v>24.215324549039632</v>
      </c>
      <c r="AD188" s="98">
        <f t="shared" si="15"/>
        <v>9.4922208139807385</v>
      </c>
      <c r="AE188" s="98">
        <f t="shared" si="16"/>
        <v>4.741369037952416</v>
      </c>
      <c r="AF188" s="98">
        <f t="shared" si="17"/>
        <v>21.910476047851219</v>
      </c>
      <c r="AG188" s="3">
        <f t="shared" si="18"/>
        <v>111.67118936769843</v>
      </c>
    </row>
    <row r="189" spans="1:33" ht="14">
      <c r="A189">
        <f t="shared" si="23"/>
        <v>31</v>
      </c>
      <c r="B189" s="19">
        <f t="shared" si="23"/>
        <v>111</v>
      </c>
      <c r="C189" s="26">
        <f t="shared" si="6"/>
        <v>119.01217795623283</v>
      </c>
      <c r="D189" s="83">
        <f>C$158*(0.4*D$14)*('Product half-life and C flows'!B50/100)</f>
        <v>2.9172117276820391</v>
      </c>
      <c r="E189" s="83">
        <f t="shared" si="9"/>
        <v>39.810048534318845</v>
      </c>
      <c r="F189" s="83">
        <f t="shared" si="21"/>
        <v>23.063658997738134</v>
      </c>
      <c r="G189" s="83">
        <f t="shared" si="21"/>
        <v>12.300618132127003</v>
      </c>
      <c r="H189" s="83">
        <f>C$158*(0.6*C$15)*('Product half-life and C flows'!L50/100)</f>
        <v>23.845187330534632</v>
      </c>
      <c r="I189" s="83">
        <f>C$158*0.6*('Product half-life and C flows'!N50/100)</f>
        <v>9.7392257177964101</v>
      </c>
      <c r="J189" s="83">
        <f>C$158*0.6*('Product half-life and C flows'!P50/100)</f>
        <v>4.8647481107874171</v>
      </c>
      <c r="K189" s="83">
        <f t="shared" si="22"/>
        <v>21.910476047851219</v>
      </c>
      <c r="L189" s="3"/>
      <c r="M189" s="88"/>
      <c r="N189" s="88"/>
      <c r="O189" s="88"/>
      <c r="P189" s="88"/>
      <c r="Q189" s="88"/>
      <c r="R189" s="88"/>
      <c r="S189" s="88"/>
      <c r="T189" s="88"/>
      <c r="V189">
        <f t="shared" si="7"/>
        <v>31</v>
      </c>
      <c r="W189" s="3">
        <f t="shared" si="19"/>
        <v>14.224538704708843</v>
      </c>
      <c r="X189" s="113">
        <f t="shared" si="8"/>
        <v>119.01217795623283</v>
      </c>
      <c r="Y189" s="98">
        <f t="shared" si="10"/>
        <v>2.9172117276820391</v>
      </c>
      <c r="Z189" s="98">
        <f t="shared" si="11"/>
        <v>39.810048534318845</v>
      </c>
      <c r="AA189" s="98">
        <f t="shared" si="12"/>
        <v>23.063658997738134</v>
      </c>
      <c r="AB189" s="98">
        <f t="shared" si="13"/>
        <v>12.300618132127003</v>
      </c>
      <c r="AC189" s="98">
        <f t="shared" si="14"/>
        <v>23.845187330534632</v>
      </c>
      <c r="AD189" s="98">
        <f t="shared" si="15"/>
        <v>9.7392257177964101</v>
      </c>
      <c r="AE189" s="98">
        <f t="shared" si="16"/>
        <v>4.8647481107874171</v>
      </c>
      <c r="AF189" s="98">
        <f t="shared" si="17"/>
        <v>21.910476047851219</v>
      </c>
      <c r="AG189" s="3">
        <f t="shared" si="18"/>
        <v>113.62348682330244</v>
      </c>
    </row>
    <row r="190" spans="1:33" ht="14">
      <c r="A190">
        <f t="shared" si="23"/>
        <v>32</v>
      </c>
      <c r="B190" s="19">
        <f t="shared" si="23"/>
        <v>112</v>
      </c>
      <c r="C190" s="26">
        <f t="shared" si="6"/>
        <v>119.8756581485074</v>
      </c>
      <c r="D190" s="83">
        <f>C$158*(0.4*D$14)*('Product half-life and C flows'!B51/100)</f>
        <v>2.817840786933695</v>
      </c>
      <c r="E190" s="83">
        <f t="shared" ref="E190:E221" si="24">C$8*(1-EXP(-C$9*$B110))^3</f>
        <v>41.747689244282668</v>
      </c>
      <c r="F190" s="83">
        <f t="shared" si="21"/>
        <v>23.063658997738134</v>
      </c>
      <c r="G190" s="83">
        <f t="shared" si="21"/>
        <v>12.300618132127003</v>
      </c>
      <c r="H190" s="83">
        <f>C$158*(0.6*C$15)*('Product half-life and C flows'!L51/100)</f>
        <v>23.480707750862639</v>
      </c>
      <c r="I190" s="83">
        <f>C$158*0.6*('Product half-life and C flows'!N51/100)</f>
        <v>9.982455090630852</v>
      </c>
      <c r="J190" s="83">
        <f>C$158*0.6*('Product half-life and C flows'!P51/100)</f>
        <v>4.986241304011414</v>
      </c>
      <c r="K190" s="83">
        <f t="shared" si="22"/>
        <v>21.910476047851219</v>
      </c>
      <c r="L190" s="3"/>
      <c r="M190" s="88"/>
      <c r="N190" s="88"/>
      <c r="O190" s="88"/>
      <c r="P190" s="88"/>
      <c r="Q190" s="88"/>
      <c r="R190" s="88"/>
      <c r="S190" s="88"/>
      <c r="T190" s="88"/>
      <c r="V190">
        <f t="shared" si="7"/>
        <v>32</v>
      </c>
      <c r="W190" s="3">
        <f t="shared" si="19"/>
        <v>14.916877606303993</v>
      </c>
      <c r="X190" s="113">
        <f t="shared" si="8"/>
        <v>119.8756581485074</v>
      </c>
      <c r="Y190" s="98">
        <f t="shared" ref="Y190:Y221" si="25">D190+M190</f>
        <v>2.817840786933695</v>
      </c>
      <c r="Z190" s="98">
        <f t="shared" ref="Z190:Z221" si="26">E190+N190</f>
        <v>41.747689244282668</v>
      </c>
      <c r="AA190" s="98">
        <f t="shared" ref="AA190:AA221" si="27">F190+O190</f>
        <v>23.063658997738134</v>
      </c>
      <c r="AB190" s="98">
        <f t="shared" ref="AB190:AB221" si="28">G190+P190</f>
        <v>12.300618132127003</v>
      </c>
      <c r="AC190" s="98">
        <f t="shared" ref="AC190:AC221" si="29">H190+Q190</f>
        <v>23.480707750862639</v>
      </c>
      <c r="AD190" s="98">
        <f t="shared" ref="AD190:AD221" si="30">I190+R190</f>
        <v>9.982455090630852</v>
      </c>
      <c r="AE190" s="98">
        <f t="shared" ref="AE190:AE221" si="31">J190+S190</f>
        <v>4.986241304011414</v>
      </c>
      <c r="AF190" s="98">
        <f t="shared" ref="AF190:AF221" si="32">K190+T190</f>
        <v>21.910476047851219</v>
      </c>
      <c r="AG190" s="3">
        <f t="shared" ref="AG190:AG221" si="33">SUM(Z190:AE190)</f>
        <v>115.5613705196527</v>
      </c>
    </row>
    <row r="191" spans="1:33" ht="14">
      <c r="A191">
        <f t="shared" si="23"/>
        <v>33</v>
      </c>
      <c r="B191" s="19">
        <f t="shared" si="23"/>
        <v>113</v>
      </c>
      <c r="C191" s="26">
        <f t="shared" si="6"/>
        <v>120.72608380988746</v>
      </c>
      <c r="D191" s="83">
        <f>C$158*(0.4*D$14)*('Product half-life and C flows'!B52/100)</f>
        <v>2.7218547852254313</v>
      </c>
      <c r="E191" s="83">
        <f t="shared" si="24"/>
        <v>43.667624633970696</v>
      </c>
      <c r="F191" s="83">
        <f t="shared" si="21"/>
        <v>23.063658997738134</v>
      </c>
      <c r="G191" s="83">
        <f t="shared" si="21"/>
        <v>12.300618132127003</v>
      </c>
      <c r="H191" s="83">
        <f>C$158*(0.6*C$15)*('Product half-life and C flows'!L52/100)</f>
        <v>23.121799331616288</v>
      </c>
      <c r="I191" s="83">
        <f>C$158*0.6*('Product half-life and C flows'!N52/100)</f>
        <v>10.221966642407917</v>
      </c>
      <c r="J191" s="83">
        <f>C$158*0.6*('Product half-life and C flows'!P52/100)</f>
        <v>5.1058774437601979</v>
      </c>
      <c r="K191" s="83">
        <f t="shared" si="22"/>
        <v>21.910476047851219</v>
      </c>
      <c r="L191" s="3"/>
      <c r="M191" s="88"/>
      <c r="N191" s="88"/>
      <c r="O191" s="88"/>
      <c r="P191" s="88"/>
      <c r="Q191" s="88"/>
      <c r="R191" s="88"/>
      <c r="S191" s="88"/>
      <c r="T191" s="88"/>
      <c r="V191">
        <f t="shared" si="7"/>
        <v>33</v>
      </c>
      <c r="W191" s="3">
        <f t="shared" si="19"/>
        <v>15.602890215347021</v>
      </c>
      <c r="X191" s="113">
        <f t="shared" si="8"/>
        <v>120.72608380988746</v>
      </c>
      <c r="Y191" s="98">
        <f t="shared" si="25"/>
        <v>2.7218547852254313</v>
      </c>
      <c r="Z191" s="98">
        <f t="shared" si="26"/>
        <v>43.667624633970696</v>
      </c>
      <c r="AA191" s="98">
        <f t="shared" si="27"/>
        <v>23.063658997738134</v>
      </c>
      <c r="AB191" s="98">
        <f t="shared" si="28"/>
        <v>12.300618132127003</v>
      </c>
      <c r="AC191" s="98">
        <f t="shared" si="29"/>
        <v>23.121799331616288</v>
      </c>
      <c r="AD191" s="98">
        <f t="shared" si="30"/>
        <v>10.221966642407917</v>
      </c>
      <c r="AE191" s="98">
        <f t="shared" si="31"/>
        <v>5.1058774437601979</v>
      </c>
      <c r="AF191" s="98">
        <f t="shared" si="32"/>
        <v>21.910476047851219</v>
      </c>
      <c r="AG191" s="3">
        <f t="shared" si="33"/>
        <v>117.48154518162023</v>
      </c>
    </row>
    <row r="192" spans="1:33" ht="14">
      <c r="A192">
        <f t="shared" ref="A192:B207" si="34">A191+1</f>
        <v>34</v>
      </c>
      <c r="B192" s="19">
        <f t="shared" si="34"/>
        <v>114</v>
      </c>
      <c r="C192" s="26">
        <f t="shared" si="6"/>
        <v>121.56356405531533</v>
      </c>
      <c r="D192" s="83">
        <f>C$158*(0.4*D$14)*('Product half-life and C flows'!B53/100)</f>
        <v>2.6291384191071767</v>
      </c>
      <c r="E192" s="83">
        <f t="shared" si="24"/>
        <v>45.566881743001851</v>
      </c>
      <c r="F192" s="83">
        <f t="shared" si="21"/>
        <v>23.063658997738134</v>
      </c>
      <c r="G192" s="83">
        <f t="shared" si="21"/>
        <v>12.300618132127003</v>
      </c>
      <c r="H192" s="83">
        <f>C$158*(0.6*C$15)*('Product half-life and C flows'!L53/100)</f>
        <v>22.768376916232032</v>
      </c>
      <c r="I192" s="83">
        <f>C$158*0.6*('Product half-life and C flows'!N53/100)</f>
        <v>10.457817200941012</v>
      </c>
      <c r="J192" s="83">
        <f>C$158*0.6*('Product half-life and C flows'!P53/100)</f>
        <v>5.2236849155549505</v>
      </c>
      <c r="K192" s="83">
        <f t="shared" si="22"/>
        <v>21.910476047851219</v>
      </c>
      <c r="L192" s="3"/>
      <c r="M192" s="88"/>
      <c r="N192" s="88"/>
      <c r="O192" s="88"/>
      <c r="P192" s="88"/>
      <c r="Q192" s="88"/>
      <c r="R192" s="88"/>
      <c r="S192" s="88"/>
      <c r="T192" s="88"/>
      <c r="V192">
        <f t="shared" si="7"/>
        <v>34</v>
      </c>
      <c r="W192" s="3">
        <f t="shared" si="19"/>
        <v>16.281514262597739</v>
      </c>
      <c r="X192" s="113">
        <f t="shared" si="8"/>
        <v>121.56356405531533</v>
      </c>
      <c r="Y192" s="98">
        <f t="shared" si="25"/>
        <v>2.6291384191071767</v>
      </c>
      <c r="Z192" s="98">
        <f t="shared" si="26"/>
        <v>45.566881743001851</v>
      </c>
      <c r="AA192" s="98">
        <f t="shared" si="27"/>
        <v>23.063658997738134</v>
      </c>
      <c r="AB192" s="98">
        <f t="shared" si="28"/>
        <v>12.300618132127003</v>
      </c>
      <c r="AC192" s="98">
        <f t="shared" si="29"/>
        <v>22.768376916232032</v>
      </c>
      <c r="AD192" s="98">
        <f t="shared" si="30"/>
        <v>10.457817200941012</v>
      </c>
      <c r="AE192" s="98">
        <f t="shared" si="31"/>
        <v>5.2236849155549505</v>
      </c>
      <c r="AF192" s="98">
        <f t="shared" si="32"/>
        <v>21.910476047851219</v>
      </c>
      <c r="AG192" s="3">
        <f t="shared" si="33"/>
        <v>119.38103790559498</v>
      </c>
    </row>
    <row r="193" spans="1:33" ht="14">
      <c r="A193">
        <f t="shared" si="34"/>
        <v>35</v>
      </c>
      <c r="B193" s="19">
        <f t="shared" si="34"/>
        <v>115</v>
      </c>
      <c r="C193" s="26">
        <f t="shared" si="6"/>
        <v>122.3882111626412</v>
      </c>
      <c r="D193" s="83">
        <f>C$158*(0.4*D$14)*('Product half-life and C flows'!B54/100)</f>
        <v>2.5395803127876588</v>
      </c>
      <c r="E193" s="83">
        <f t="shared" si="24"/>
        <v>47.44279421141578</v>
      </c>
      <c r="F193" s="83">
        <f t="shared" si="21"/>
        <v>23.063658997738134</v>
      </c>
      <c r="G193" s="83">
        <f t="shared" si="21"/>
        <v>12.300618132127003</v>
      </c>
      <c r="H193" s="83">
        <f>C$158*(0.6*C$15)*('Product half-life and C flows'!L54/100)</f>
        <v>22.420356649785429</v>
      </c>
      <c r="I193" s="83">
        <f>C$158*0.6*('Product half-life and C flows'!N54/100)</f>
        <v>10.690062725416377</v>
      </c>
      <c r="J193" s="83">
        <f>C$158*0.6*('Product half-life and C flows'!P54/100)</f>
        <v>5.3396916710371505</v>
      </c>
      <c r="K193" s="83">
        <f t="shared" si="22"/>
        <v>21.910476047851219</v>
      </c>
      <c r="L193" s="3"/>
      <c r="M193" s="88"/>
      <c r="N193" s="88"/>
      <c r="O193" s="88"/>
      <c r="P193" s="88"/>
      <c r="Q193" s="88"/>
      <c r="R193" s="88"/>
      <c r="S193" s="88"/>
      <c r="T193" s="88"/>
      <c r="V193">
        <f t="shared" si="7"/>
        <v>35</v>
      </c>
      <c r="W193" s="3">
        <f t="shared" si="19"/>
        <v>16.951797030291342</v>
      </c>
      <c r="X193" s="113">
        <f t="shared" si="8"/>
        <v>122.3882111626412</v>
      </c>
      <c r="Y193" s="98">
        <f t="shared" si="25"/>
        <v>2.5395803127876588</v>
      </c>
      <c r="Z193" s="98">
        <f t="shared" si="26"/>
        <v>47.44279421141578</v>
      </c>
      <c r="AA193" s="98">
        <f t="shared" si="27"/>
        <v>23.063658997738134</v>
      </c>
      <c r="AB193" s="98">
        <f t="shared" si="28"/>
        <v>12.300618132127003</v>
      </c>
      <c r="AC193" s="98">
        <f t="shared" si="29"/>
        <v>22.420356649785429</v>
      </c>
      <c r="AD193" s="98">
        <f t="shared" si="30"/>
        <v>10.690062725416377</v>
      </c>
      <c r="AE193" s="98">
        <f t="shared" si="31"/>
        <v>5.3396916710371505</v>
      </c>
      <c r="AF193" s="98">
        <f t="shared" si="32"/>
        <v>21.910476047851219</v>
      </c>
      <c r="AG193" s="3">
        <f t="shared" si="33"/>
        <v>121.25718238751988</v>
      </c>
    </row>
    <row r="194" spans="1:33" ht="14">
      <c r="A194">
        <f t="shared" si="34"/>
        <v>36</v>
      </c>
      <c r="B194" s="19">
        <f t="shared" si="34"/>
        <v>116</v>
      </c>
      <c r="C194" s="26">
        <f t="shared" si="6"/>
        <v>123.20014033234281</v>
      </c>
      <c r="D194" s="83">
        <f>C$158*(0.4*D$14)*('Product half-life and C flows'!B55/100)</f>
        <v>2.4530728843439218</v>
      </c>
      <c r="E194" s="83">
        <f t="shared" si="24"/>
        <v>49.292986041673906</v>
      </c>
      <c r="F194" s="83">
        <f t="shared" si="21"/>
        <v>23.063658997738134</v>
      </c>
      <c r="G194" s="83">
        <f t="shared" si="21"/>
        <v>12.300618132127003</v>
      </c>
      <c r="H194" s="83">
        <f>C$158*(0.6*C$15)*('Product half-life and C flows'!L55/100)</f>
        <v>22.077655959095296</v>
      </c>
      <c r="I194" s="83">
        <f>C$158*0.6*('Product half-life and C flows'!N55/100)</f>
        <v>10.91875831967026</v>
      </c>
      <c r="J194" s="83">
        <f>C$158*0.6*('Product half-life and C flows'!P55/100)</f>
        <v>5.4539252346005291</v>
      </c>
      <c r="K194" s="83">
        <f t="shared" si="22"/>
        <v>21.910476047851219</v>
      </c>
      <c r="L194" s="3"/>
      <c r="M194" s="88"/>
      <c r="N194" s="88"/>
      <c r="O194" s="88"/>
      <c r="P194" s="88"/>
      <c r="Q194" s="88"/>
      <c r="R194" s="88"/>
      <c r="S194" s="88"/>
      <c r="T194" s="88"/>
      <c r="V194">
        <f t="shared" si="7"/>
        <v>36</v>
      </c>
      <c r="W194" s="3">
        <f t="shared" si="19"/>
        <v>17.612889550134792</v>
      </c>
      <c r="X194" s="113">
        <f t="shared" si="8"/>
        <v>123.20014033234281</v>
      </c>
      <c r="Y194" s="98">
        <f t="shared" si="25"/>
        <v>2.4530728843439218</v>
      </c>
      <c r="Z194" s="98">
        <f t="shared" si="26"/>
        <v>49.292986041673906</v>
      </c>
      <c r="AA194" s="98">
        <f t="shared" si="27"/>
        <v>23.063658997738134</v>
      </c>
      <c r="AB194" s="98">
        <f t="shared" si="28"/>
        <v>12.300618132127003</v>
      </c>
      <c r="AC194" s="98">
        <f t="shared" si="29"/>
        <v>22.077655959095296</v>
      </c>
      <c r="AD194" s="98">
        <f t="shared" si="30"/>
        <v>10.91875831967026</v>
      </c>
      <c r="AE194" s="98">
        <f t="shared" si="31"/>
        <v>5.4539252346005291</v>
      </c>
      <c r="AF194" s="98">
        <f t="shared" si="32"/>
        <v>21.910476047851219</v>
      </c>
      <c r="AG194" s="3">
        <f t="shared" si="33"/>
        <v>123.10760268490513</v>
      </c>
    </row>
    <row r="195" spans="1:33" ht="14">
      <c r="A195">
        <f t="shared" si="34"/>
        <v>37</v>
      </c>
      <c r="B195" s="19">
        <f t="shared" si="34"/>
        <v>117</v>
      </c>
      <c r="C195" s="26">
        <f t="shared" si="6"/>
        <v>123.99946945715783</v>
      </c>
      <c r="D195" s="83">
        <f>C$158*(0.4*D$14)*('Product half-life and C flows'!B56/100)</f>
        <v>2.3695122164882503</v>
      </c>
      <c r="E195" s="83">
        <f t="shared" si="24"/>
        <v>51.115355146144822</v>
      </c>
      <c r="F195" s="83">
        <f t="shared" si="21"/>
        <v>23.063658997738134</v>
      </c>
      <c r="G195" s="83">
        <f t="shared" si="21"/>
        <v>12.300618132127003</v>
      </c>
      <c r="H195" s="83">
        <f>C$158*(0.6*C$15)*('Product half-life and C flows'!L56/100)</f>
        <v>21.740193533131897</v>
      </c>
      <c r="I195" s="83">
        <f>C$158*0.6*('Product half-life and C flows'!N56/100)</f>
        <v>11.143958245263169</v>
      </c>
      <c r="J195" s="83">
        <f>C$158*0.6*('Product half-life and C flows'!P56/100)</f>
        <v>5.5664127099216616</v>
      </c>
      <c r="K195" s="83">
        <f t="shared" si="22"/>
        <v>21.910476047851219</v>
      </c>
      <c r="L195" s="3"/>
      <c r="M195" s="88"/>
      <c r="N195" s="88"/>
      <c r="O195" s="88"/>
      <c r="P195" s="88"/>
      <c r="Q195" s="88"/>
      <c r="R195" s="88"/>
      <c r="S195" s="88"/>
      <c r="T195" s="88"/>
      <c r="V195">
        <f t="shared" si="7"/>
        <v>37</v>
      </c>
      <c r="W195" s="3">
        <f t="shared" si="19"/>
        <v>18.264040724654595</v>
      </c>
      <c r="X195" s="113">
        <f t="shared" si="8"/>
        <v>123.99946945715783</v>
      </c>
      <c r="Y195" s="98">
        <f t="shared" si="25"/>
        <v>2.3695122164882503</v>
      </c>
      <c r="Z195" s="98">
        <f t="shared" si="26"/>
        <v>51.115355146144822</v>
      </c>
      <c r="AA195" s="98">
        <f t="shared" si="27"/>
        <v>23.063658997738134</v>
      </c>
      <c r="AB195" s="98">
        <f t="shared" si="28"/>
        <v>12.300618132127003</v>
      </c>
      <c r="AC195" s="98">
        <f t="shared" si="29"/>
        <v>21.740193533131897</v>
      </c>
      <c r="AD195" s="98">
        <f t="shared" si="30"/>
        <v>11.143958245263169</v>
      </c>
      <c r="AE195" s="98">
        <f t="shared" si="31"/>
        <v>5.5664127099216616</v>
      </c>
      <c r="AF195" s="98">
        <f t="shared" si="32"/>
        <v>21.910476047851219</v>
      </c>
      <c r="AG195" s="3">
        <f t="shared" si="33"/>
        <v>124.93019676432668</v>
      </c>
    </row>
    <row r="196" spans="1:33" ht="14">
      <c r="A196">
        <f t="shared" si="34"/>
        <v>38</v>
      </c>
      <c r="B196" s="19">
        <f t="shared" si="34"/>
        <v>118</v>
      </c>
      <c r="C196" s="26">
        <f t="shared" si="6"/>
        <v>124.78631890133678</v>
      </c>
      <c r="D196" s="83">
        <f>C$158*(0.4*D$14)*('Product half-life and C flows'!B57/100)</f>
        <v>2.2887979317372338</v>
      </c>
      <c r="E196" s="83">
        <f t="shared" si="24"/>
        <v>52.908056886839212</v>
      </c>
      <c r="F196" s="83">
        <f t="shared" si="21"/>
        <v>23.063658997738134</v>
      </c>
      <c r="G196" s="83">
        <f t="shared" si="21"/>
        <v>12.300618132127003</v>
      </c>
      <c r="H196" s="83">
        <f>C$158*(0.6*C$15)*('Product half-life and C flows'!L57/100)</f>
        <v>21.407889303724694</v>
      </c>
      <c r="I196" s="83">
        <f>C$158*0.6*('Product half-life and C flows'!N57/100)</f>
        <v>11.365715934354242</v>
      </c>
      <c r="J196" s="83">
        <f>C$158*0.6*('Product half-life and C flows'!P57/100)</f>
        <v>5.6771807863907293</v>
      </c>
      <c r="K196" s="83">
        <f t="shared" si="22"/>
        <v>21.910476047851219</v>
      </c>
      <c r="L196" s="3"/>
      <c r="M196" s="88"/>
      <c r="N196" s="88"/>
      <c r="O196" s="88"/>
      <c r="P196" s="88"/>
      <c r="Q196" s="88"/>
      <c r="R196" s="88"/>
      <c r="S196" s="88"/>
      <c r="T196" s="88"/>
      <c r="V196">
        <f t="shared" si="7"/>
        <v>38</v>
      </c>
      <c r="W196" s="3">
        <f t="shared" si="19"/>
        <v>18.90459144577525</v>
      </c>
      <c r="X196" s="113">
        <f t="shared" si="8"/>
        <v>124.78631890133678</v>
      </c>
      <c r="Y196" s="98">
        <f t="shared" si="25"/>
        <v>2.2887979317372338</v>
      </c>
      <c r="Z196" s="98">
        <f t="shared" si="26"/>
        <v>52.908056886839212</v>
      </c>
      <c r="AA196" s="98">
        <f t="shared" si="27"/>
        <v>23.063658997738134</v>
      </c>
      <c r="AB196" s="98">
        <f t="shared" si="28"/>
        <v>12.300618132127003</v>
      </c>
      <c r="AC196" s="98">
        <f t="shared" si="29"/>
        <v>21.407889303724694</v>
      </c>
      <c r="AD196" s="98">
        <f t="shared" si="30"/>
        <v>11.365715934354242</v>
      </c>
      <c r="AE196" s="98">
        <f t="shared" si="31"/>
        <v>5.6771807863907293</v>
      </c>
      <c r="AF196" s="98">
        <f t="shared" si="32"/>
        <v>21.910476047851219</v>
      </c>
      <c r="AG196" s="3">
        <f t="shared" si="33"/>
        <v>126.72312004117401</v>
      </c>
    </row>
    <row r="197" spans="1:33" ht="14">
      <c r="A197">
        <f t="shared" si="34"/>
        <v>39</v>
      </c>
      <c r="B197" s="19">
        <f t="shared" si="34"/>
        <v>119</v>
      </c>
      <c r="C197" s="26">
        <f t="shared" si="6"/>
        <v>125.56081128922662</v>
      </c>
      <c r="D197" s="83">
        <f>C$158*(0.4*D$14)*('Product half-life and C flows'!B58/100)</f>
        <v>2.2108330718330431</v>
      </c>
      <c r="E197" s="83">
        <f t="shared" si="24"/>
        <v>54.669487775772701</v>
      </c>
      <c r="F197" s="83">
        <f t="shared" si="21"/>
        <v>23.063658997738134</v>
      </c>
      <c r="G197" s="83">
        <f t="shared" si="21"/>
        <v>12.300618132127003</v>
      </c>
      <c r="H197" s="83">
        <f>C$158*(0.6*C$15)*('Product half-life and C flows'!L58/100)</f>
        <v>21.080664426564915</v>
      </c>
      <c r="I197" s="83">
        <f>C$158*0.6*('Product half-life and C flows'!N58/100)</f>
        <v>11.584084002378869</v>
      </c>
      <c r="J197" s="83">
        <f>C$158*0.6*('Product half-life and C flows'!P58/100)</f>
        <v>5.7862557454439889</v>
      </c>
      <c r="K197" s="83">
        <f t="shared" si="22"/>
        <v>21.910476047851219</v>
      </c>
      <c r="L197" s="3"/>
      <c r="M197" s="88"/>
      <c r="N197" s="88"/>
      <c r="O197" s="88"/>
      <c r="P197" s="88"/>
      <c r="Q197" s="88"/>
      <c r="R197" s="88"/>
      <c r="S197" s="88"/>
      <c r="T197" s="88"/>
      <c r="V197">
        <f t="shared" si="7"/>
        <v>39</v>
      </c>
      <c r="W197" s="3">
        <f t="shared" si="19"/>
        <v>19.533968770791688</v>
      </c>
      <c r="X197" s="113">
        <f t="shared" si="8"/>
        <v>125.56081128922662</v>
      </c>
      <c r="Y197" s="98">
        <f t="shared" si="25"/>
        <v>2.2108330718330431</v>
      </c>
      <c r="Z197" s="98">
        <f t="shared" si="26"/>
        <v>54.669487775772701</v>
      </c>
      <c r="AA197" s="98">
        <f t="shared" si="27"/>
        <v>23.063658997738134</v>
      </c>
      <c r="AB197" s="98">
        <f t="shared" si="28"/>
        <v>12.300618132127003</v>
      </c>
      <c r="AC197" s="98">
        <f t="shared" si="29"/>
        <v>21.080664426564915</v>
      </c>
      <c r="AD197" s="98">
        <f t="shared" si="30"/>
        <v>11.584084002378869</v>
      </c>
      <c r="AE197" s="98">
        <f t="shared" si="31"/>
        <v>5.7862557454439889</v>
      </c>
      <c r="AF197" s="98">
        <f t="shared" si="32"/>
        <v>21.910476047851219</v>
      </c>
      <c r="AG197" s="3">
        <f t="shared" si="33"/>
        <v>128.48476908002561</v>
      </c>
    </row>
    <row r="198" spans="1:33" ht="14">
      <c r="A198">
        <f t="shared" si="34"/>
        <v>40</v>
      </c>
      <c r="B198" s="19">
        <f t="shared" si="34"/>
        <v>120</v>
      </c>
      <c r="C198" s="26">
        <f t="shared" si="6"/>
        <v>126.32307130289904</v>
      </c>
      <c r="D198" s="83">
        <f>C$158*(0.4*D$14)*('Product half-life and C flows'!B59/100)</f>
        <v>2.135523981272049</v>
      </c>
      <c r="E198" s="83">
        <f t="shared" si="24"/>
        <v>56.398269471480361</v>
      </c>
      <c r="F198" s="83">
        <f t="shared" si="21"/>
        <v>23.063658997738134</v>
      </c>
      <c r="G198" s="83">
        <f t="shared" si="21"/>
        <v>12.300618132127003</v>
      </c>
      <c r="H198" s="83">
        <f>C$158*(0.6*C$15)*('Product half-life and C flows'!L59/100)</f>
        <v>20.758441262498526</v>
      </c>
      <c r="I198" s="83">
        <f>C$158*0.6*('Product half-life and C flows'!N59/100)</f>
        <v>11.799114260532507</v>
      </c>
      <c r="J198" s="83">
        <f>C$158*0.6*('Product half-life and C flows'!P59/100)</f>
        <v>5.8936634667994516</v>
      </c>
      <c r="K198" s="83">
        <f t="shared" si="22"/>
        <v>21.910476047851219</v>
      </c>
      <c r="L198" s="3"/>
      <c r="M198" s="88"/>
      <c r="N198" s="88"/>
      <c r="O198" s="88"/>
      <c r="P198" s="88"/>
      <c r="Q198" s="88"/>
      <c r="R198" s="88"/>
      <c r="S198" s="88"/>
      <c r="T198" s="88"/>
      <c r="V198">
        <f t="shared" si="7"/>
        <v>40</v>
      </c>
      <c r="W198" s="3">
        <f t="shared" si="19"/>
        <v>20.151680204159739</v>
      </c>
      <c r="X198" s="113">
        <f t="shared" si="8"/>
        <v>126.32307130289904</v>
      </c>
      <c r="Y198" s="98">
        <f t="shared" si="25"/>
        <v>2.135523981272049</v>
      </c>
      <c r="Z198" s="98">
        <f t="shared" si="26"/>
        <v>56.398269471480361</v>
      </c>
      <c r="AA198" s="98">
        <f t="shared" si="27"/>
        <v>23.063658997738134</v>
      </c>
      <c r="AB198" s="98">
        <f t="shared" si="28"/>
        <v>12.300618132127003</v>
      </c>
      <c r="AC198" s="98">
        <f t="shared" si="29"/>
        <v>20.758441262498526</v>
      </c>
      <c r="AD198" s="98">
        <f t="shared" si="30"/>
        <v>11.799114260532507</v>
      </c>
      <c r="AE198" s="98">
        <f t="shared" si="31"/>
        <v>5.8936634667994516</v>
      </c>
      <c r="AF198" s="98">
        <f t="shared" si="32"/>
        <v>21.910476047851219</v>
      </c>
      <c r="AG198" s="3">
        <f t="shared" si="33"/>
        <v>130.21376559117596</v>
      </c>
    </row>
    <row r="199" spans="1:33" ht="14">
      <c r="A199">
        <f t="shared" si="34"/>
        <v>41</v>
      </c>
      <c r="B199" s="19">
        <f t="shared" si="34"/>
        <v>121</v>
      </c>
      <c r="C199" s="26">
        <f t="shared" si="6"/>
        <v>127.07322548854273</v>
      </c>
      <c r="D199" s="83">
        <f>C$158*(0.4*D$14)*('Product half-life and C flows'!B60/100)</f>
        <v>2.0627801948008941</v>
      </c>
      <c r="E199" s="83">
        <f t="shared" si="24"/>
        <v>58.093233179167008</v>
      </c>
      <c r="F199" s="83">
        <f t="shared" si="21"/>
        <v>23.063658997738134</v>
      </c>
      <c r="G199" s="83">
        <f t="shared" si="21"/>
        <v>12.300618132127003</v>
      </c>
      <c r="H199" s="83">
        <f>C$158*(0.6*C$15)*('Product half-life and C flows'!L60/100)</f>
        <v>20.441143359105141</v>
      </c>
      <c r="I199" s="83">
        <f>C$158*0.6*('Product half-life and C flows'!N60/100)</f>
        <v>12.010857728063694</v>
      </c>
      <c r="J199" s="83">
        <f>C$158*0.6*('Product half-life and C flows'!P60/100)</f>
        <v>5.9994294345972472</v>
      </c>
      <c r="K199" s="83">
        <f t="shared" si="22"/>
        <v>21.910476047851219</v>
      </c>
      <c r="L199" s="3"/>
      <c r="M199" s="88"/>
      <c r="N199" s="88"/>
      <c r="O199" s="88"/>
      <c r="P199" s="88"/>
      <c r="Q199" s="88"/>
      <c r="R199" s="88"/>
      <c r="S199" s="88"/>
      <c r="T199" s="88"/>
      <c r="V199">
        <f t="shared" si="7"/>
        <v>41</v>
      </c>
      <c r="W199" s="3">
        <f t="shared" si="19"/>
        <v>20.757308123509826</v>
      </c>
      <c r="X199" s="113">
        <f t="shared" si="8"/>
        <v>127.07322548854273</v>
      </c>
      <c r="Y199" s="98">
        <f t="shared" si="25"/>
        <v>2.0627801948008941</v>
      </c>
      <c r="Z199" s="98">
        <f t="shared" si="26"/>
        <v>58.093233179167008</v>
      </c>
      <c r="AA199" s="98">
        <f t="shared" si="27"/>
        <v>23.063658997738134</v>
      </c>
      <c r="AB199" s="98">
        <f t="shared" si="28"/>
        <v>12.300618132127003</v>
      </c>
      <c r="AC199" s="98">
        <f t="shared" si="29"/>
        <v>20.441143359105141</v>
      </c>
      <c r="AD199" s="98">
        <f t="shared" si="30"/>
        <v>12.010857728063694</v>
      </c>
      <c r="AE199" s="98">
        <f t="shared" si="31"/>
        <v>5.9994294345972472</v>
      </c>
      <c r="AF199" s="98">
        <f t="shared" si="32"/>
        <v>21.910476047851219</v>
      </c>
      <c r="AG199" s="3">
        <f t="shared" si="33"/>
        <v>131.90894083079823</v>
      </c>
    </row>
    <row r="200" spans="1:33" ht="14">
      <c r="A200">
        <f t="shared" si="34"/>
        <v>42</v>
      </c>
      <c r="B200" s="19">
        <f t="shared" si="34"/>
        <v>122</v>
      </c>
      <c r="C200" s="26">
        <f t="shared" si="6"/>
        <v>127.81140207134142</v>
      </c>
      <c r="D200" s="83">
        <f>C$158*(0.4*D$14)*('Product half-life and C flows'!B61/100)</f>
        <v>1.992514328744853</v>
      </c>
      <c r="E200" s="83">
        <f t="shared" si="24"/>
        <v>59.753404538120442</v>
      </c>
      <c r="F200" s="83">
        <f t="shared" si="21"/>
        <v>23.063658997738134</v>
      </c>
      <c r="G200" s="83">
        <f t="shared" si="21"/>
        <v>12.300618132127003</v>
      </c>
      <c r="H200" s="83">
        <f>C$158*(0.6*C$15)*('Product half-life and C flows'!L61/100)</f>
        <v>20.128695432558505</v>
      </c>
      <c r="I200" s="83">
        <f>C$158*0.6*('Product half-life and C flows'!N61/100)</f>
        <v>12.219364644379148</v>
      </c>
      <c r="J200" s="83">
        <f>C$158*0.6*('Product half-life and C flows'!P61/100)</f>
        <v>6.1035787434461257</v>
      </c>
      <c r="K200" s="83">
        <f t="shared" si="22"/>
        <v>21.910476047851219</v>
      </c>
      <c r="L200" s="3"/>
      <c r="M200" s="88"/>
      <c r="N200" s="88"/>
      <c r="O200" s="88"/>
      <c r="P200" s="88"/>
      <c r="Q200" s="88"/>
      <c r="R200" s="88"/>
      <c r="S200" s="88"/>
      <c r="T200" s="88"/>
      <c r="V200">
        <f t="shared" si="7"/>
        <v>42</v>
      </c>
      <c r="W200" s="3">
        <f t="shared" si="19"/>
        <v>21.350504379764686</v>
      </c>
      <c r="X200" s="113">
        <f t="shared" si="8"/>
        <v>127.81140207134142</v>
      </c>
      <c r="Y200" s="98">
        <f t="shared" si="25"/>
        <v>1.992514328744853</v>
      </c>
      <c r="Z200" s="98">
        <f t="shared" si="26"/>
        <v>59.753404538120442</v>
      </c>
      <c r="AA200" s="98">
        <f t="shared" si="27"/>
        <v>23.063658997738134</v>
      </c>
      <c r="AB200" s="98">
        <f t="shared" si="28"/>
        <v>12.300618132127003</v>
      </c>
      <c r="AC200" s="98">
        <f t="shared" si="29"/>
        <v>20.128695432558505</v>
      </c>
      <c r="AD200" s="98">
        <f t="shared" si="30"/>
        <v>12.219364644379148</v>
      </c>
      <c r="AE200" s="98">
        <f t="shared" si="31"/>
        <v>6.1035787434461257</v>
      </c>
      <c r="AF200" s="98">
        <f t="shared" si="32"/>
        <v>21.910476047851219</v>
      </c>
      <c r="AG200" s="3">
        <f t="shared" si="33"/>
        <v>133.56932048836936</v>
      </c>
    </row>
    <row r="201" spans="1:33" ht="14">
      <c r="A201">
        <f t="shared" si="34"/>
        <v>43</v>
      </c>
      <c r="B201" s="19">
        <f t="shared" si="34"/>
        <v>123</v>
      </c>
      <c r="C201" s="26">
        <f t="shared" si="6"/>
        <v>128.53773077856621</v>
      </c>
      <c r="D201" s="83">
        <f>C$158*(0.4*D$14)*('Product half-life and C flows'!B62/100)</f>
        <v>1.9246419760379563</v>
      </c>
      <c r="E201" s="83">
        <f t="shared" si="24"/>
        <v>61.377989059788973</v>
      </c>
      <c r="F201" s="83">
        <f t="shared" si="21"/>
        <v>23.063658997738134</v>
      </c>
      <c r="G201" s="83">
        <f t="shared" si="21"/>
        <v>12.300618132127003</v>
      </c>
      <c r="H201" s="83">
        <f>C$158*(0.6*C$15)*('Product half-life and C flows'!L62/100)</f>
        <v>19.821023349764264</v>
      </c>
      <c r="I201" s="83">
        <f>C$158*0.6*('Product half-life and C flows'!N62/100)</f>
        <v>12.424684480963839</v>
      </c>
      <c r="J201" s="83">
        <f>C$158*0.6*('Product half-life and C flows'!P62/100)</f>
        <v>6.2061361043775394</v>
      </c>
      <c r="K201" s="83">
        <f t="shared" si="22"/>
        <v>21.910476047851219</v>
      </c>
      <c r="L201" s="3"/>
      <c r="M201" s="88"/>
      <c r="N201" s="88"/>
      <c r="O201" s="88"/>
      <c r="P201" s="88"/>
      <c r="Q201" s="88"/>
      <c r="R201" s="88"/>
      <c r="S201" s="88"/>
      <c r="T201" s="88"/>
      <c r="V201">
        <f t="shared" si="7"/>
        <v>43</v>
      </c>
      <c r="W201" s="3">
        <f t="shared" si="19"/>
        <v>21.930985094015096</v>
      </c>
      <c r="X201" s="113">
        <f t="shared" si="8"/>
        <v>128.53773077856621</v>
      </c>
      <c r="Y201" s="98">
        <f t="shared" si="25"/>
        <v>1.9246419760379563</v>
      </c>
      <c r="Z201" s="98">
        <f t="shared" si="26"/>
        <v>61.377989059788973</v>
      </c>
      <c r="AA201" s="98">
        <f t="shared" si="27"/>
        <v>23.063658997738134</v>
      </c>
      <c r="AB201" s="98">
        <f t="shared" si="28"/>
        <v>12.300618132127003</v>
      </c>
      <c r="AC201" s="98">
        <f t="shared" si="29"/>
        <v>19.821023349764264</v>
      </c>
      <c r="AD201" s="98">
        <f t="shared" si="30"/>
        <v>12.424684480963839</v>
      </c>
      <c r="AE201" s="98">
        <f t="shared" si="31"/>
        <v>6.2061361043775394</v>
      </c>
      <c r="AF201" s="98">
        <f t="shared" si="32"/>
        <v>21.910476047851219</v>
      </c>
      <c r="AG201" s="3">
        <f t="shared" si="33"/>
        <v>135.19411012475976</v>
      </c>
    </row>
    <row r="202" spans="1:33" ht="14">
      <c r="A202">
        <f t="shared" si="34"/>
        <v>44</v>
      </c>
      <c r="B202" s="19">
        <f t="shared" si="34"/>
        <v>124</v>
      </c>
      <c r="C202" s="26">
        <f t="shared" si="6"/>
        <v>129.2523426706143</v>
      </c>
      <c r="D202" s="83">
        <f>C$158*(0.4*D$14)*('Product half-life and C flows'!B63/100)</f>
        <v>1.8590816048287639</v>
      </c>
      <c r="E202" s="83">
        <f t="shared" si="24"/>
        <v>62.966358162848096</v>
      </c>
      <c r="F202" s="83">
        <f t="shared" si="21"/>
        <v>23.063658997738134</v>
      </c>
      <c r="G202" s="83">
        <f t="shared" si="21"/>
        <v>12.300618132127003</v>
      </c>
      <c r="H202" s="83">
        <f>C$158*(0.6*C$15)*('Product half-life and C flows'!L63/100)</f>
        <v>19.518054110770713</v>
      </c>
      <c r="I202" s="83">
        <f>C$158*0.6*('Product half-life and C flows'!N63/100)</f>
        <v>12.626865953118871</v>
      </c>
      <c r="J202" s="83">
        <f>C$158*0.6*('Product half-life and C flows'!P63/100)</f>
        <v>6.307125850708724</v>
      </c>
      <c r="K202" s="83">
        <f t="shared" si="22"/>
        <v>21.910476047851219</v>
      </c>
      <c r="L202" s="3"/>
      <c r="M202" s="88"/>
      <c r="N202" s="88"/>
      <c r="O202" s="88"/>
      <c r="P202" s="88"/>
      <c r="Q202" s="88"/>
      <c r="R202" s="88"/>
      <c r="S202" s="88"/>
      <c r="T202" s="88"/>
      <c r="V202">
        <f t="shared" si="7"/>
        <v>44</v>
      </c>
      <c r="W202" s="3">
        <f t="shared" si="19"/>
        <v>22.498525667705955</v>
      </c>
      <c r="X202" s="113">
        <f t="shared" si="8"/>
        <v>129.2523426706143</v>
      </c>
      <c r="Y202" s="98">
        <f t="shared" si="25"/>
        <v>1.8590816048287639</v>
      </c>
      <c r="Z202" s="98">
        <f t="shared" si="26"/>
        <v>62.966358162848096</v>
      </c>
      <c r="AA202" s="98">
        <f t="shared" si="27"/>
        <v>23.063658997738134</v>
      </c>
      <c r="AB202" s="98">
        <f t="shared" si="28"/>
        <v>12.300618132127003</v>
      </c>
      <c r="AC202" s="98">
        <f t="shared" si="29"/>
        <v>19.518054110770713</v>
      </c>
      <c r="AD202" s="98">
        <f t="shared" si="30"/>
        <v>12.626865953118871</v>
      </c>
      <c r="AE202" s="98">
        <f t="shared" si="31"/>
        <v>6.307125850708724</v>
      </c>
      <c r="AF202" s="98">
        <f t="shared" si="32"/>
        <v>21.910476047851219</v>
      </c>
      <c r="AG202" s="3">
        <f t="shared" si="33"/>
        <v>136.78268120731155</v>
      </c>
    </row>
    <row r="203" spans="1:33" ht="14">
      <c r="A203">
        <f t="shared" si="34"/>
        <v>45</v>
      </c>
      <c r="B203" s="19">
        <f t="shared" si="34"/>
        <v>125</v>
      </c>
      <c r="C203" s="26">
        <f t="shared" si="6"/>
        <v>129.9553699797319</v>
      </c>
      <c r="D203" s="83">
        <f>C$158*(0.4*D$14)*('Product half-life and C flows'!B64/100)</f>
        <v>1.7957544605400069</v>
      </c>
      <c r="E203" s="83">
        <f t="shared" si="24"/>
        <v>64.518035837226023</v>
      </c>
      <c r="F203" s="83">
        <f t="shared" si="21"/>
        <v>23.063658997738134</v>
      </c>
      <c r="G203" s="83">
        <f t="shared" si="21"/>
        <v>12.300618132127003</v>
      </c>
      <c r="H203" s="83">
        <f>C$158*(0.6*C$15)*('Product half-life and C flows'!L64/100)</f>
        <v>19.21971583144844</v>
      </c>
      <c r="I203" s="83">
        <f>C$158*0.6*('Product half-life and C flows'!N64/100)</f>
        <v>12.825957031519934</v>
      </c>
      <c r="J203" s="83">
        <f>C$158*0.6*('Product half-life and C flows'!P64/100)</f>
        <v>6.4065719438161475</v>
      </c>
      <c r="K203" s="83">
        <f t="shared" si="22"/>
        <v>21.910476047851219</v>
      </c>
      <c r="L203" s="3"/>
      <c r="M203" s="88"/>
      <c r="N203" s="88"/>
      <c r="O203" s="88"/>
      <c r="P203" s="88"/>
      <c r="Q203" s="88"/>
      <c r="R203" s="88"/>
      <c r="S203" s="88"/>
      <c r="T203" s="88"/>
      <c r="V203">
        <f t="shared" si="7"/>
        <v>45</v>
      </c>
      <c r="W203" s="3">
        <f t="shared" si="19"/>
        <v>23.052956017555793</v>
      </c>
      <c r="X203" s="113">
        <f t="shared" si="8"/>
        <v>129.9553699797319</v>
      </c>
      <c r="Y203" s="98">
        <f t="shared" si="25"/>
        <v>1.7957544605400069</v>
      </c>
      <c r="Z203" s="98">
        <f t="shared" si="26"/>
        <v>64.518035837226023</v>
      </c>
      <c r="AA203" s="98">
        <f t="shared" si="27"/>
        <v>23.063658997738134</v>
      </c>
      <c r="AB203" s="98">
        <f t="shared" si="28"/>
        <v>12.300618132127003</v>
      </c>
      <c r="AC203" s="98">
        <f t="shared" si="29"/>
        <v>19.21971583144844</v>
      </c>
      <c r="AD203" s="98">
        <f t="shared" si="30"/>
        <v>12.825957031519934</v>
      </c>
      <c r="AE203" s="98">
        <f t="shared" si="31"/>
        <v>6.4065719438161475</v>
      </c>
      <c r="AF203" s="98">
        <f t="shared" si="32"/>
        <v>21.910476047851219</v>
      </c>
      <c r="AG203" s="3">
        <f t="shared" si="33"/>
        <v>138.33455777387567</v>
      </c>
    </row>
    <row r="204" spans="1:33" ht="14">
      <c r="A204">
        <f t="shared" si="34"/>
        <v>46</v>
      </c>
      <c r="B204" s="19">
        <f t="shared" si="34"/>
        <v>126</v>
      </c>
      <c r="C204" s="26">
        <f t="shared" si="6"/>
        <v>130.6469459561647</v>
      </c>
      <c r="D204" s="83">
        <f>C$158*(0.4*D$14)*('Product half-life and C flows'!B65/100)</f>
        <v>1.7345844712644307</v>
      </c>
      <c r="E204" s="83">
        <f t="shared" si="24"/>
        <v>66.032685957059485</v>
      </c>
      <c r="F204" s="83">
        <f t="shared" si="21"/>
        <v>23.063658997738134</v>
      </c>
      <c r="G204" s="83">
        <f t="shared" si="21"/>
        <v>12.300618132127003</v>
      </c>
      <c r="H204" s="83">
        <f>C$158*(0.6*C$15)*('Product half-life and C flows'!L65/100)</f>
        <v>18.925937726434729</v>
      </c>
      <c r="I204" s="83">
        <f>C$158*0.6*('Product half-life and C flows'!N65/100)</f>
        <v>13.022004953599085</v>
      </c>
      <c r="J204" s="83">
        <f>C$158*0.6*('Product half-life and C flows'!P65/100)</f>
        <v>6.5044979788207176</v>
      </c>
      <c r="K204" s="83">
        <f t="shared" si="22"/>
        <v>21.910476047851219</v>
      </c>
      <c r="L204" s="3"/>
      <c r="M204" s="88"/>
      <c r="N204" s="88"/>
      <c r="O204" s="88"/>
      <c r="P204" s="88"/>
      <c r="Q204" s="88"/>
      <c r="R204" s="88"/>
      <c r="S204" s="88"/>
      <c r="T204" s="88"/>
      <c r="V204">
        <f t="shared" si="7"/>
        <v>46</v>
      </c>
      <c r="W204" s="3">
        <f t="shared" si="19"/>
        <v>23.594156042345755</v>
      </c>
      <c r="X204" s="113">
        <f t="shared" si="8"/>
        <v>130.6469459561647</v>
      </c>
      <c r="Y204" s="98">
        <f t="shared" si="25"/>
        <v>1.7345844712644307</v>
      </c>
      <c r="Z204" s="98">
        <f t="shared" si="26"/>
        <v>66.032685957059485</v>
      </c>
      <c r="AA204" s="98">
        <f t="shared" si="27"/>
        <v>23.063658997738134</v>
      </c>
      <c r="AB204" s="98">
        <f t="shared" si="28"/>
        <v>12.300618132127003</v>
      </c>
      <c r="AC204" s="98">
        <f t="shared" si="29"/>
        <v>18.925937726434729</v>
      </c>
      <c r="AD204" s="98">
        <f t="shared" si="30"/>
        <v>13.022004953599085</v>
      </c>
      <c r="AE204" s="98">
        <f t="shared" si="31"/>
        <v>6.5044979788207176</v>
      </c>
      <c r="AF204" s="98">
        <f t="shared" si="32"/>
        <v>21.910476047851219</v>
      </c>
      <c r="AG204" s="3">
        <f t="shared" si="33"/>
        <v>139.84940374577914</v>
      </c>
    </row>
    <row r="205" spans="1:33" ht="14">
      <c r="A205">
        <f t="shared" si="34"/>
        <v>47</v>
      </c>
      <c r="B205" s="19">
        <f t="shared" si="34"/>
        <v>127</v>
      </c>
      <c r="C205" s="26">
        <f t="shared" si="6"/>
        <v>131.32720472148327</v>
      </c>
      <c r="D205" s="83">
        <f>C$158*(0.4*D$14)*('Product half-life and C flows'!B66/100)</f>
        <v>1.6754981563832083</v>
      </c>
      <c r="E205" s="83">
        <f t="shared" si="24"/>
        <v>67.510100252580912</v>
      </c>
      <c r="F205" s="83">
        <f t="shared" si="21"/>
        <v>23.063658997738134</v>
      </c>
      <c r="G205" s="83">
        <f t="shared" si="21"/>
        <v>12.300618132127003</v>
      </c>
      <c r="H205" s="83">
        <f>C$158*(0.6*C$15)*('Product half-life and C flows'!L66/100)</f>
        <v>18.636650092338606</v>
      </c>
      <c r="I205" s="83">
        <f>C$158*0.6*('Product half-life and C flows'!N66/100)</f>
        <v>13.215056234752565</v>
      </c>
      <c r="J205" s="83">
        <f>C$158*0.6*('Product half-life and C flows'!P66/100)</f>
        <v>6.6009271901860931</v>
      </c>
      <c r="K205" s="83">
        <f t="shared" si="22"/>
        <v>21.910476047851219</v>
      </c>
      <c r="L205" s="3"/>
      <c r="M205" s="88"/>
      <c r="N205" s="88"/>
      <c r="O205" s="88"/>
      <c r="P205" s="88"/>
      <c r="Q205" s="88"/>
      <c r="R205" s="88"/>
      <c r="S205" s="88"/>
      <c r="T205" s="88"/>
      <c r="V205">
        <f t="shared" si="7"/>
        <v>47</v>
      </c>
      <c r="W205" s="3">
        <f t="shared" si="19"/>
        <v>24.122051325151499</v>
      </c>
      <c r="X205" s="113">
        <f t="shared" si="8"/>
        <v>131.32720472148327</v>
      </c>
      <c r="Y205" s="98">
        <f t="shared" si="25"/>
        <v>1.6754981563832083</v>
      </c>
      <c r="Z205" s="98">
        <f t="shared" si="26"/>
        <v>67.510100252580912</v>
      </c>
      <c r="AA205" s="98">
        <f t="shared" si="27"/>
        <v>23.063658997738134</v>
      </c>
      <c r="AB205" s="98">
        <f t="shared" si="28"/>
        <v>12.300618132127003</v>
      </c>
      <c r="AC205" s="98">
        <f t="shared" si="29"/>
        <v>18.636650092338606</v>
      </c>
      <c r="AD205" s="98">
        <f t="shared" si="30"/>
        <v>13.215056234752565</v>
      </c>
      <c r="AE205" s="98">
        <f t="shared" si="31"/>
        <v>6.6009271901860931</v>
      </c>
      <c r="AF205" s="98">
        <f t="shared" si="32"/>
        <v>21.910476047851219</v>
      </c>
      <c r="AG205" s="3">
        <f t="shared" si="33"/>
        <v>141.32701089972329</v>
      </c>
    </row>
    <row r="206" spans="1:33" ht="14">
      <c r="A206">
        <f t="shared" si="34"/>
        <v>48</v>
      </c>
      <c r="B206" s="19">
        <f t="shared" si="34"/>
        <v>128</v>
      </c>
      <c r="C206" s="26">
        <f t="shared" ref="C206:C269" si="35">B$8*(1-EXP(-B$9*$B206))^3</f>
        <v>131.99628112883832</v>
      </c>
      <c r="D206" s="83">
        <f>C$158*(0.4*D$14)*('Product half-life and C flows'!B67/100)</f>
        <v>1.6184245382971427</v>
      </c>
      <c r="E206" s="83">
        <f t="shared" si="24"/>
        <v>68.950186942718261</v>
      </c>
      <c r="F206" s="83">
        <f t="shared" si="21"/>
        <v>23.063658997738134</v>
      </c>
      <c r="G206" s="83">
        <f t="shared" si="21"/>
        <v>12.300618132127003</v>
      </c>
      <c r="H206" s="83">
        <f>C$158*(0.6*C$15)*('Product half-life and C flows'!L67/100)</f>
        <v>18.351784291202652</v>
      </c>
      <c r="I206" s="83">
        <f>C$158*0.6*('Product half-life and C flows'!N67/100)</f>
        <v>13.405156679377288</v>
      </c>
      <c r="J206" s="83">
        <f>C$158*0.6*('Product half-life and C flows'!P67/100)</f>
        <v>6.6958824572314093</v>
      </c>
      <c r="K206" s="83">
        <f t="shared" si="22"/>
        <v>21.910476047851219</v>
      </c>
      <c r="L206" s="3"/>
      <c r="M206" s="88"/>
      <c r="N206" s="88"/>
      <c r="O206" s="88"/>
      <c r="P206" s="88"/>
      <c r="Q206" s="88"/>
      <c r="R206" s="88"/>
      <c r="S206" s="88"/>
      <c r="T206" s="88"/>
      <c r="V206">
        <f t="shared" ref="V206:V269" si="36">A206</f>
        <v>48</v>
      </c>
      <c r="W206" s="3">
        <f t="shared" si="19"/>
        <v>24.636609071654515</v>
      </c>
      <c r="X206" s="113">
        <f t="shared" ref="X206:X269" si="37">C206</f>
        <v>131.99628112883832</v>
      </c>
      <c r="Y206" s="98">
        <f t="shared" si="25"/>
        <v>1.6184245382971427</v>
      </c>
      <c r="Z206" s="98">
        <f t="shared" si="26"/>
        <v>68.950186942718261</v>
      </c>
      <c r="AA206" s="98">
        <f t="shared" si="27"/>
        <v>23.063658997738134</v>
      </c>
      <c r="AB206" s="98">
        <f t="shared" si="28"/>
        <v>12.300618132127003</v>
      </c>
      <c r="AC206" s="98">
        <f t="shared" si="29"/>
        <v>18.351784291202652</v>
      </c>
      <c r="AD206" s="98">
        <f t="shared" si="30"/>
        <v>13.405156679377288</v>
      </c>
      <c r="AE206" s="98">
        <f t="shared" si="31"/>
        <v>6.6958824572314093</v>
      </c>
      <c r="AF206" s="98">
        <f t="shared" si="32"/>
        <v>21.910476047851219</v>
      </c>
      <c r="AG206" s="3">
        <f t="shared" si="33"/>
        <v>142.76728750039476</v>
      </c>
    </row>
    <row r="207" spans="1:33" ht="14">
      <c r="A207">
        <f t="shared" si="34"/>
        <v>49</v>
      </c>
      <c r="B207" s="19">
        <f t="shared" si="34"/>
        <v>129</v>
      </c>
      <c r="C207" s="26">
        <f t="shared" si="35"/>
        <v>132.65431062990476</v>
      </c>
      <c r="D207" s="83">
        <f>C$158*(0.4*D$14)*('Product half-life and C flows'!B68/100)</f>
        <v>1.5632950571646302</v>
      </c>
      <c r="E207" s="83">
        <f t="shared" si="24"/>
        <v>70.352960023466522</v>
      </c>
      <c r="F207" s="83">
        <f t="shared" si="21"/>
        <v>23.063658997738134</v>
      </c>
      <c r="G207" s="83">
        <f t="shared" si="21"/>
        <v>12.300618132127003</v>
      </c>
      <c r="H207" s="83">
        <f>C$158*(0.6*C$15)*('Product half-life and C flows'!L68/100)</f>
        <v>18.071272734217597</v>
      </c>
      <c r="I207" s="83">
        <f>C$158*0.6*('Product half-life and C flows'!N68/100)</f>
        <v>13.592351391738649</v>
      </c>
      <c r="J207" s="83">
        <f>C$158*0.6*('Product half-life and C flows'!P68/100)</f>
        <v>6.7893863095597604</v>
      </c>
      <c r="K207" s="83">
        <f t="shared" si="22"/>
        <v>21.910476047851219</v>
      </c>
      <c r="L207" s="3"/>
      <c r="M207" s="88"/>
      <c r="N207" s="88"/>
      <c r="O207" s="88"/>
      <c r="P207" s="88"/>
      <c r="Q207" s="88"/>
      <c r="R207" s="88"/>
      <c r="S207" s="88"/>
      <c r="T207" s="88"/>
      <c r="V207">
        <f t="shared" si="36"/>
        <v>49</v>
      </c>
      <c r="W207" s="3">
        <f t="shared" si="19"/>
        <v>25.137834282767379</v>
      </c>
      <c r="X207" s="113">
        <f t="shared" si="37"/>
        <v>132.65431062990476</v>
      </c>
      <c r="Y207" s="98">
        <f t="shared" si="25"/>
        <v>1.5632950571646302</v>
      </c>
      <c r="Z207" s="98">
        <f t="shared" si="26"/>
        <v>70.352960023466522</v>
      </c>
      <c r="AA207" s="98">
        <f t="shared" si="27"/>
        <v>23.063658997738134</v>
      </c>
      <c r="AB207" s="98">
        <f t="shared" si="28"/>
        <v>12.300618132127003</v>
      </c>
      <c r="AC207" s="98">
        <f t="shared" si="29"/>
        <v>18.071272734217597</v>
      </c>
      <c r="AD207" s="98">
        <f t="shared" si="30"/>
        <v>13.592351391738649</v>
      </c>
      <c r="AE207" s="98">
        <f t="shared" si="31"/>
        <v>6.7893863095597604</v>
      </c>
      <c r="AF207" s="98">
        <f t="shared" si="32"/>
        <v>21.910476047851219</v>
      </c>
      <c r="AG207" s="3">
        <f t="shared" si="33"/>
        <v>144.17024758884767</v>
      </c>
    </row>
    <row r="208" spans="1:33" ht="14">
      <c r="A208">
        <f t="shared" ref="A208:B223" si="38">A207+1</f>
        <v>50</v>
      </c>
      <c r="B208" s="19">
        <f t="shared" si="38"/>
        <v>130</v>
      </c>
      <c r="C208" s="26">
        <f t="shared" si="35"/>
        <v>133.30142914827974</v>
      </c>
      <c r="D208" s="83">
        <f>C$158*(0.4*D$14)*('Product half-life and C flows'!B69/100)</f>
        <v>1.5100434885439598</v>
      </c>
      <c r="E208" s="83">
        <f t="shared" si="24"/>
        <v>71.718529201659706</v>
      </c>
      <c r="F208" s="83">
        <f t="shared" si="21"/>
        <v>23.063658997738134</v>
      </c>
      <c r="G208" s="83">
        <f t="shared" si="21"/>
        <v>12.300618132127003</v>
      </c>
      <c r="H208" s="83">
        <f>C$158*(0.6*C$15)*('Product half-life and C flows'!L69/100)</f>
        <v>17.795048865685807</v>
      </c>
      <c r="I208" s="83">
        <f>C$158*0.6*('Product half-life and C flows'!N69/100)</f>
        <v>13.776684786672199</v>
      </c>
      <c r="J208" s="83">
        <f>C$158*0.6*('Product half-life and C flows'!P69/100)</f>
        <v>6.8814609324036926</v>
      </c>
      <c r="K208" s="83">
        <f t="shared" si="22"/>
        <v>21.910476047851219</v>
      </c>
      <c r="L208" s="3"/>
      <c r="M208" s="88"/>
      <c r="N208" s="88"/>
      <c r="O208" s="88"/>
      <c r="P208" s="88"/>
      <c r="Q208" s="88"/>
      <c r="R208" s="88"/>
      <c r="S208" s="88"/>
      <c r="T208" s="88"/>
      <c r="V208">
        <f t="shared" si="36"/>
        <v>50</v>
      </c>
      <c r="W208" s="3">
        <f t="shared" si="19"/>
        <v>25.625766157867233</v>
      </c>
      <c r="X208" s="113">
        <f t="shared" si="37"/>
        <v>133.30142914827974</v>
      </c>
      <c r="Y208" s="98">
        <f t="shared" si="25"/>
        <v>1.5100434885439598</v>
      </c>
      <c r="Z208" s="98">
        <f t="shared" si="26"/>
        <v>71.718529201659706</v>
      </c>
      <c r="AA208" s="98">
        <f t="shared" si="27"/>
        <v>23.063658997738134</v>
      </c>
      <c r="AB208" s="98">
        <f t="shared" si="28"/>
        <v>12.300618132127003</v>
      </c>
      <c r="AC208" s="98">
        <f t="shared" si="29"/>
        <v>17.795048865685807</v>
      </c>
      <c r="AD208" s="98">
        <f t="shared" si="30"/>
        <v>13.776684786672199</v>
      </c>
      <c r="AE208" s="98">
        <f t="shared" si="31"/>
        <v>6.8814609324036926</v>
      </c>
      <c r="AF208" s="98">
        <f t="shared" si="32"/>
        <v>21.910476047851219</v>
      </c>
      <c r="AG208" s="3">
        <f t="shared" si="33"/>
        <v>145.53600091628653</v>
      </c>
    </row>
    <row r="209" spans="1:33" ht="14">
      <c r="A209">
        <f t="shared" si="38"/>
        <v>51</v>
      </c>
      <c r="B209" s="19">
        <f t="shared" si="38"/>
        <v>131</v>
      </c>
      <c r="C209" s="26">
        <f t="shared" si="35"/>
        <v>133.9377729591053</v>
      </c>
      <c r="D209" s="83">
        <f>C$158*(0.4*D$14)*('Product half-life and C flows'!B70/100)</f>
        <v>1.45860586384102</v>
      </c>
      <c r="E209" s="83">
        <f t="shared" si="24"/>
        <v>73.047090459435708</v>
      </c>
      <c r="F209" s="83">
        <f t="shared" si="21"/>
        <v>23.063658997738134</v>
      </c>
      <c r="G209" s="83">
        <f t="shared" si="21"/>
        <v>12.300618132127003</v>
      </c>
      <c r="H209" s="83">
        <f>C$158*(0.6*C$15)*('Product half-life and C flows'!L70/100)</f>
        <v>17.523047147229931</v>
      </c>
      <c r="I209" s="83">
        <f>C$158*0.6*('Product half-life and C flows'!N70/100)</f>
        <v>13.958200600121751</v>
      </c>
      <c r="J209" s="83">
        <f>C$158*0.6*('Product half-life and C flows'!P70/100)</f>
        <v>6.9721281718889836</v>
      </c>
      <c r="K209" s="83">
        <f t="shared" si="22"/>
        <v>21.910476047851219</v>
      </c>
      <c r="L209" s="3"/>
      <c r="M209" s="88"/>
      <c r="N209" s="88"/>
      <c r="O209" s="88"/>
      <c r="P209" s="88"/>
      <c r="Q209" s="88"/>
      <c r="R209" s="88"/>
      <c r="S209" s="88"/>
      <c r="T209" s="88"/>
      <c r="V209">
        <f t="shared" si="36"/>
        <v>51</v>
      </c>
      <c r="W209" s="3">
        <f t="shared" si="19"/>
        <v>26.100474723382295</v>
      </c>
      <c r="X209" s="113">
        <f t="shared" si="37"/>
        <v>133.9377729591053</v>
      </c>
      <c r="Y209" s="98">
        <f t="shared" si="25"/>
        <v>1.45860586384102</v>
      </c>
      <c r="Z209" s="98">
        <f t="shared" si="26"/>
        <v>73.047090459435708</v>
      </c>
      <c r="AA209" s="98">
        <f t="shared" si="27"/>
        <v>23.063658997738134</v>
      </c>
      <c r="AB209" s="98">
        <f t="shared" si="28"/>
        <v>12.300618132127003</v>
      </c>
      <c r="AC209" s="98">
        <f t="shared" si="29"/>
        <v>17.523047147229931</v>
      </c>
      <c r="AD209" s="98">
        <f t="shared" si="30"/>
        <v>13.958200600121751</v>
      </c>
      <c r="AE209" s="98">
        <f t="shared" si="31"/>
        <v>6.9721281718889836</v>
      </c>
      <c r="AF209" s="98">
        <f t="shared" si="32"/>
        <v>21.910476047851219</v>
      </c>
      <c r="AG209" s="3">
        <f t="shared" si="33"/>
        <v>146.86474350854149</v>
      </c>
    </row>
    <row r="210" spans="1:33" ht="14">
      <c r="A210">
        <f t="shared" si="38"/>
        <v>52</v>
      </c>
      <c r="B210" s="19">
        <f t="shared" si="38"/>
        <v>132</v>
      </c>
      <c r="C210" s="26">
        <f t="shared" si="35"/>
        <v>134.56347857469208</v>
      </c>
      <c r="D210" s="83">
        <f>C$158*(0.4*D$14)*('Product half-life and C flows'!B71/100)</f>
        <v>1.4089203934668473</v>
      </c>
      <c r="E210" s="83">
        <f t="shared" si="24"/>
        <v>74.338917231292029</v>
      </c>
      <c r="F210" s="83">
        <f t="shared" si="21"/>
        <v>23.063658997738134</v>
      </c>
      <c r="G210" s="83">
        <f t="shared" si="21"/>
        <v>12.300618132127003</v>
      </c>
      <c r="H210" s="83">
        <f>C$158*(0.6*C$15)*('Product half-life and C flows'!L71/100)</f>
        <v>17.255203042242908</v>
      </c>
      <c r="I210" s="83">
        <f>C$158*0.6*('Product half-life and C flows'!N71/100)</f>
        <v>14.136941899516422</v>
      </c>
      <c r="J210" s="83">
        <f>C$158*0.6*('Product half-life and C flows'!P71/100)</f>
        <v>7.0614095402179915</v>
      </c>
      <c r="K210" s="83">
        <f t="shared" si="22"/>
        <v>21.910476047851219</v>
      </c>
      <c r="L210" s="3"/>
      <c r="M210" s="88"/>
      <c r="N210" s="88"/>
      <c r="O210" s="88"/>
      <c r="P210" s="88"/>
      <c r="Q210" s="88"/>
      <c r="R210" s="88"/>
      <c r="S210" s="88"/>
      <c r="T210" s="88"/>
      <c r="V210">
        <f t="shared" si="36"/>
        <v>52</v>
      </c>
      <c r="W210" s="3">
        <f t="shared" si="19"/>
        <v>26.562057680263354</v>
      </c>
      <c r="X210" s="113">
        <f t="shared" si="37"/>
        <v>134.56347857469208</v>
      </c>
      <c r="Y210" s="98">
        <f t="shared" si="25"/>
        <v>1.4089203934668473</v>
      </c>
      <c r="Z210" s="98">
        <f t="shared" si="26"/>
        <v>74.338917231292029</v>
      </c>
      <c r="AA210" s="98">
        <f t="shared" si="27"/>
        <v>23.063658997738134</v>
      </c>
      <c r="AB210" s="98">
        <f t="shared" si="28"/>
        <v>12.300618132127003</v>
      </c>
      <c r="AC210" s="98">
        <f t="shared" si="29"/>
        <v>17.255203042242908</v>
      </c>
      <c r="AD210" s="98">
        <f t="shared" si="30"/>
        <v>14.136941899516422</v>
      </c>
      <c r="AE210" s="98">
        <f t="shared" si="31"/>
        <v>7.0614095402179915</v>
      </c>
      <c r="AF210" s="98">
        <f t="shared" si="32"/>
        <v>21.910476047851219</v>
      </c>
      <c r="AG210" s="3">
        <f t="shared" si="33"/>
        <v>148.15674884313449</v>
      </c>
    </row>
    <row r="211" spans="1:33" ht="14">
      <c r="A211">
        <f t="shared" si="38"/>
        <v>53</v>
      </c>
      <c r="B211" s="19">
        <f t="shared" si="38"/>
        <v>133</v>
      </c>
      <c r="C211" s="26">
        <f t="shared" si="35"/>
        <v>135.17868263592746</v>
      </c>
      <c r="D211" s="83">
        <f>C$158*(0.4*D$14)*('Product half-life and C flows'!B72/100)</f>
        <v>1.3609273926127159</v>
      </c>
      <c r="E211" s="83">
        <f t="shared" si="24"/>
        <v>75.59435217302817</v>
      </c>
      <c r="F211" s="83">
        <f t="shared" si="21"/>
        <v>23.063658997738134</v>
      </c>
      <c r="G211" s="83">
        <f t="shared" si="21"/>
        <v>12.300618132127003</v>
      </c>
      <c r="H211" s="83">
        <f>C$158*(0.6*C$15)*('Product half-life and C flows'!L72/100)</f>
        <v>16.991453000575671</v>
      </c>
      <c r="I211" s="83">
        <f>C$158*0.6*('Product half-life and C flows'!N72/100)</f>
        <v>14.312951093989028</v>
      </c>
      <c r="J211" s="83">
        <f>C$158*0.6*('Product half-life and C flows'!P72/100)</f>
        <v>7.1493262207737374</v>
      </c>
      <c r="K211" s="83">
        <f t="shared" si="22"/>
        <v>21.910476047851219</v>
      </c>
      <c r="L211" s="3"/>
      <c r="M211" s="88"/>
      <c r="N211" s="88"/>
      <c r="O211" s="88"/>
      <c r="P211" s="88"/>
      <c r="Q211" s="88"/>
      <c r="R211" s="88"/>
      <c r="S211" s="88"/>
      <c r="T211" s="88"/>
      <c r="V211">
        <f t="shared" si="36"/>
        <v>53</v>
      </c>
      <c r="W211" s="3">
        <f t="shared" si="19"/>
        <v>27.010637462942462</v>
      </c>
      <c r="X211" s="113">
        <f t="shared" si="37"/>
        <v>135.17868263592746</v>
      </c>
      <c r="Y211" s="98">
        <f t="shared" si="25"/>
        <v>1.3609273926127159</v>
      </c>
      <c r="Z211" s="98">
        <f t="shared" si="26"/>
        <v>75.59435217302817</v>
      </c>
      <c r="AA211" s="98">
        <f t="shared" si="27"/>
        <v>23.063658997738134</v>
      </c>
      <c r="AB211" s="98">
        <f t="shared" si="28"/>
        <v>12.300618132127003</v>
      </c>
      <c r="AC211" s="98">
        <f t="shared" si="29"/>
        <v>16.991453000575671</v>
      </c>
      <c r="AD211" s="98">
        <f t="shared" si="30"/>
        <v>14.312951093989028</v>
      </c>
      <c r="AE211" s="98">
        <f t="shared" si="31"/>
        <v>7.1493262207737374</v>
      </c>
      <c r="AF211" s="98">
        <f t="shared" si="32"/>
        <v>21.910476047851219</v>
      </c>
      <c r="AG211" s="3">
        <f t="shared" si="33"/>
        <v>149.41235961823173</v>
      </c>
    </row>
    <row r="212" spans="1:33" ht="14">
      <c r="A212">
        <f t="shared" si="38"/>
        <v>54</v>
      </c>
      <c r="B212" s="19">
        <f t="shared" si="38"/>
        <v>134</v>
      </c>
      <c r="C212" s="26">
        <f t="shared" si="35"/>
        <v>135.78352180925319</v>
      </c>
      <c r="D212" s="83">
        <f>C$158*(0.4*D$14)*('Product half-life and C flows'!B73/100)</f>
        <v>1.3145692095535884</v>
      </c>
      <c r="E212" s="83">
        <f t="shared" si="24"/>
        <v>76.813799499943926</v>
      </c>
      <c r="F212" s="83">
        <f t="shared" si="21"/>
        <v>23.063658997738134</v>
      </c>
      <c r="G212" s="83">
        <f t="shared" si="21"/>
        <v>12.300618132127003</v>
      </c>
      <c r="H212" s="83">
        <f>C$158*(0.6*C$15)*('Product half-life and C flows'!L73/100)</f>
        <v>16.731734443458873</v>
      </c>
      <c r="I212" s="83">
        <f>C$158*0.6*('Product half-life and C flows'!N73/100)</f>
        <v>14.486269944438302</v>
      </c>
      <c r="J212" s="83">
        <f>C$158*0.6*('Product half-life and C flows'!P73/100)</f>
        <v>7.2358990731460029</v>
      </c>
      <c r="K212" s="83">
        <f t="shared" si="22"/>
        <v>21.910476047851219</v>
      </c>
      <c r="L212" s="3"/>
      <c r="M212" s="88"/>
      <c r="N212" s="88"/>
      <c r="O212" s="88"/>
      <c r="P212" s="88"/>
      <c r="Q212" s="88"/>
      <c r="R212" s="88"/>
      <c r="S212" s="88"/>
      <c r="T212" s="88"/>
      <c r="V212">
        <f t="shared" si="36"/>
        <v>54</v>
      </c>
      <c r="W212" s="3">
        <f t="shared" si="19"/>
        <v>27.4463585016926</v>
      </c>
      <c r="X212" s="113">
        <f t="shared" si="37"/>
        <v>135.78352180925319</v>
      </c>
      <c r="Y212" s="98">
        <f t="shared" si="25"/>
        <v>1.3145692095535884</v>
      </c>
      <c r="Z212" s="98">
        <f t="shared" si="26"/>
        <v>76.813799499943926</v>
      </c>
      <c r="AA212" s="98">
        <f t="shared" si="27"/>
        <v>23.063658997738134</v>
      </c>
      <c r="AB212" s="98">
        <f t="shared" si="28"/>
        <v>12.300618132127003</v>
      </c>
      <c r="AC212" s="98">
        <f t="shared" si="29"/>
        <v>16.731734443458873</v>
      </c>
      <c r="AD212" s="98">
        <f t="shared" si="30"/>
        <v>14.486269944438302</v>
      </c>
      <c r="AE212" s="98">
        <f t="shared" si="31"/>
        <v>7.2358990731460029</v>
      </c>
      <c r="AF212" s="98">
        <f t="shared" si="32"/>
        <v>21.910476047851219</v>
      </c>
      <c r="AG212" s="3">
        <f t="shared" si="33"/>
        <v>150.63198009085224</v>
      </c>
    </row>
    <row r="213" spans="1:33" ht="14">
      <c r="A213">
        <f t="shared" si="38"/>
        <v>55</v>
      </c>
      <c r="B213" s="19">
        <f t="shared" si="38"/>
        <v>135</v>
      </c>
      <c r="C213" s="26">
        <f t="shared" si="35"/>
        <v>136.37813268900979</v>
      </c>
      <c r="D213" s="83">
        <f>C$158*(0.4*D$14)*('Product half-life and C flows'!B74/100)</f>
        <v>1.2697901563938292</v>
      </c>
      <c r="E213" s="83">
        <f t="shared" si="24"/>
        <v>77.997717870301713</v>
      </c>
      <c r="F213" s="83">
        <f t="shared" si="21"/>
        <v>23.063658997738134</v>
      </c>
      <c r="G213" s="83">
        <f t="shared" si="21"/>
        <v>12.300618132127003</v>
      </c>
      <c r="H213" s="83">
        <f>C$158*(0.6*C$15)*('Product half-life and C flows'!L74/100)</f>
        <v>16.475985748655116</v>
      </c>
      <c r="I213" s="83">
        <f>C$158*0.6*('Product half-life and C flows'!N74/100)</f>
        <v>14.656939573437343</v>
      </c>
      <c r="J213" s="83">
        <f>C$158*0.6*('Product half-life and C flows'!P74/100)</f>
        <v>7.3211486380805892</v>
      </c>
      <c r="K213" s="83">
        <f t="shared" si="22"/>
        <v>21.910476047851219</v>
      </c>
      <c r="L213" s="3"/>
      <c r="M213" s="88"/>
      <c r="N213" s="88"/>
      <c r="O213" s="88"/>
      <c r="P213" s="88"/>
      <c r="Q213" s="88"/>
      <c r="R213" s="88"/>
      <c r="S213" s="88"/>
      <c r="T213" s="88"/>
      <c r="V213">
        <f t="shared" si="36"/>
        <v>55</v>
      </c>
      <c r="W213" s="3">
        <f t="shared" si="19"/>
        <v>27.869384679815756</v>
      </c>
      <c r="X213" s="113">
        <f t="shared" si="37"/>
        <v>136.37813268900979</v>
      </c>
      <c r="Y213" s="98">
        <f t="shared" si="25"/>
        <v>1.2697901563938292</v>
      </c>
      <c r="Z213" s="98">
        <f t="shared" si="26"/>
        <v>77.997717870301713</v>
      </c>
      <c r="AA213" s="98">
        <f t="shared" si="27"/>
        <v>23.063658997738134</v>
      </c>
      <c r="AB213" s="98">
        <f t="shared" si="28"/>
        <v>12.300618132127003</v>
      </c>
      <c r="AC213" s="98">
        <f t="shared" si="29"/>
        <v>16.475985748655116</v>
      </c>
      <c r="AD213" s="98">
        <f t="shared" si="30"/>
        <v>14.656939573437343</v>
      </c>
      <c r="AE213" s="98">
        <f t="shared" si="31"/>
        <v>7.3211486380805892</v>
      </c>
      <c r="AF213" s="98">
        <f t="shared" si="32"/>
        <v>21.910476047851219</v>
      </c>
      <c r="AG213" s="3">
        <f t="shared" si="33"/>
        <v>151.81606896033989</v>
      </c>
    </row>
    <row r="214" spans="1:33" ht="14">
      <c r="A214">
        <f t="shared" si="38"/>
        <v>56</v>
      </c>
      <c r="B214" s="19">
        <f t="shared" si="38"/>
        <v>136</v>
      </c>
      <c r="C214" s="26">
        <f t="shared" si="35"/>
        <v>136.96265170494351</v>
      </c>
      <c r="D214" s="83">
        <f>C$158*(0.4*D$14)*('Product half-life and C flows'!B75/100)</f>
        <v>1.2265364421719611</v>
      </c>
      <c r="E214" s="83">
        <f t="shared" si="24"/>
        <v>79.146613789176996</v>
      </c>
      <c r="F214" s="83">
        <f t="shared" si="21"/>
        <v>23.063658997738134</v>
      </c>
      <c r="G214" s="83">
        <f t="shared" si="21"/>
        <v>12.300618132127003</v>
      </c>
      <c r="H214" s="83">
        <f>C$158*(0.6*C$15)*('Product half-life and C flows'!L75/100)</f>
        <v>16.224146235838134</v>
      </c>
      <c r="I214" s="83">
        <f>C$158*0.6*('Product half-life and C flows'!N75/100)</f>
        <v>14.825000474990544</v>
      </c>
      <c r="J214" s="83">
        <f>C$158*0.6*('Product half-life and C flows'!P75/100)</f>
        <v>7.4050951423529154</v>
      </c>
      <c r="K214" s="83">
        <f t="shared" si="22"/>
        <v>21.910476047851219</v>
      </c>
      <c r="L214" s="3"/>
      <c r="M214" s="88"/>
      <c r="N214" s="88"/>
      <c r="O214" s="88"/>
      <c r="P214" s="88"/>
      <c r="Q214" s="88"/>
      <c r="R214" s="88"/>
      <c r="S214" s="88"/>
      <c r="T214" s="88"/>
      <c r="V214">
        <f t="shared" si="36"/>
        <v>56</v>
      </c>
      <c r="W214" s="3">
        <f t="shared" si="19"/>
        <v>28.279896976771013</v>
      </c>
      <c r="X214" s="113">
        <f t="shared" si="37"/>
        <v>136.96265170494351</v>
      </c>
      <c r="Y214" s="98">
        <f t="shared" si="25"/>
        <v>1.2265364421719611</v>
      </c>
      <c r="Z214" s="98">
        <f t="shared" si="26"/>
        <v>79.146613789176996</v>
      </c>
      <c r="AA214" s="98">
        <f t="shared" si="27"/>
        <v>23.063658997738134</v>
      </c>
      <c r="AB214" s="98">
        <f t="shared" si="28"/>
        <v>12.300618132127003</v>
      </c>
      <c r="AC214" s="98">
        <f t="shared" si="29"/>
        <v>16.224146235838134</v>
      </c>
      <c r="AD214" s="98">
        <f t="shared" si="30"/>
        <v>14.825000474990544</v>
      </c>
      <c r="AE214" s="98">
        <f t="shared" si="31"/>
        <v>7.4050951423529154</v>
      </c>
      <c r="AF214" s="98">
        <f t="shared" si="32"/>
        <v>21.910476047851219</v>
      </c>
      <c r="AG214" s="3">
        <f t="shared" si="33"/>
        <v>152.96513277222371</v>
      </c>
    </row>
    <row r="215" spans="1:33" ht="14">
      <c r="A215">
        <f t="shared" si="38"/>
        <v>57</v>
      </c>
      <c r="B215" s="19">
        <f t="shared" si="38"/>
        <v>137</v>
      </c>
      <c r="C215" s="26">
        <f t="shared" si="35"/>
        <v>137.5372150346831</v>
      </c>
      <c r="D215" s="83">
        <f>C$158*(0.4*D$14)*('Product half-life and C flows'!B76/100)</f>
        <v>1.1847561082441251</v>
      </c>
      <c r="E215" s="83">
        <f t="shared" si="24"/>
        <v>80.261035507330135</v>
      </c>
      <c r="F215" s="83">
        <f t="shared" si="21"/>
        <v>23.063658997738134</v>
      </c>
      <c r="G215" s="83">
        <f t="shared" si="21"/>
        <v>12.300618132127003</v>
      </c>
      <c r="H215" s="83">
        <f>C$158*(0.6*C$15)*('Product half-life and C flows'!L76/100)</f>
        <v>15.976156152195431</v>
      </c>
      <c r="I215" s="83">
        <f>C$158*0.6*('Product half-life and C flows'!N76/100)</f>
        <v>14.990492524141441</v>
      </c>
      <c r="J215" s="83">
        <f>C$158*0.6*('Product half-life and C flows'!P76/100)</f>
        <v>7.4877585035671501</v>
      </c>
      <c r="K215" s="83">
        <f t="shared" si="22"/>
        <v>21.910476047851219</v>
      </c>
      <c r="L215" s="3"/>
      <c r="M215" s="88"/>
      <c r="N215" s="88"/>
      <c r="O215" s="88"/>
      <c r="P215" s="88"/>
      <c r="Q215" s="88"/>
      <c r="R215" s="88"/>
      <c r="S215" s="88"/>
      <c r="T215" s="88"/>
      <c r="V215">
        <f t="shared" si="36"/>
        <v>57</v>
      </c>
      <c r="W215" s="3">
        <f t="shared" si="19"/>
        <v>28.678091288178894</v>
      </c>
      <c r="X215" s="113">
        <f t="shared" si="37"/>
        <v>137.5372150346831</v>
      </c>
      <c r="Y215" s="98">
        <f t="shared" si="25"/>
        <v>1.1847561082441251</v>
      </c>
      <c r="Z215" s="98">
        <f t="shared" si="26"/>
        <v>80.261035507330135</v>
      </c>
      <c r="AA215" s="98">
        <f t="shared" si="27"/>
        <v>23.063658997738134</v>
      </c>
      <c r="AB215" s="98">
        <f t="shared" si="28"/>
        <v>12.300618132127003</v>
      </c>
      <c r="AC215" s="98">
        <f t="shared" si="29"/>
        <v>15.976156152195431</v>
      </c>
      <c r="AD215" s="98">
        <f t="shared" si="30"/>
        <v>14.990492524141441</v>
      </c>
      <c r="AE215" s="98">
        <f t="shared" si="31"/>
        <v>7.4877585035671501</v>
      </c>
      <c r="AF215" s="98">
        <f t="shared" si="32"/>
        <v>21.910476047851219</v>
      </c>
      <c r="AG215" s="3">
        <f t="shared" si="33"/>
        <v>154.07971981709932</v>
      </c>
    </row>
    <row r="216" spans="1:33" ht="14">
      <c r="A216">
        <f t="shared" si="38"/>
        <v>58</v>
      </c>
      <c r="B216" s="19">
        <f t="shared" si="38"/>
        <v>138</v>
      </c>
      <c r="C216" s="26">
        <f t="shared" si="35"/>
        <v>138.10195852099525</v>
      </c>
      <c r="D216" s="83">
        <f>C$158*(0.4*D$14)*('Product half-life and C flows'!B77/100)</f>
        <v>1.1443989658686173</v>
      </c>
      <c r="E216" s="83">
        <f t="shared" si="24"/>
        <v>81.341567389573953</v>
      </c>
      <c r="F216" s="83">
        <f t="shared" si="21"/>
        <v>23.063658997738134</v>
      </c>
      <c r="G216" s="83">
        <f t="shared" si="21"/>
        <v>12.300618132127003</v>
      </c>
      <c r="H216" s="83">
        <f>C$158*(0.6*C$15)*('Product half-life and C flows'!L77/100)</f>
        <v>15.731956658251018</v>
      </c>
      <c r="I216" s="83">
        <f>C$158*0.6*('Product half-life and C flows'!N77/100)</f>
        <v>15.15345498643368</v>
      </c>
      <c r="J216" s="83">
        <f>C$158*0.6*('Product half-life and C flows'!P77/100)</f>
        <v>7.569158334881954</v>
      </c>
      <c r="K216" s="83">
        <f t="shared" si="22"/>
        <v>21.910476047851219</v>
      </c>
      <c r="L216" s="3"/>
      <c r="M216" s="88"/>
      <c r="N216" s="88"/>
      <c r="O216" s="88"/>
      <c r="P216" s="88"/>
      <c r="Q216" s="88"/>
      <c r="R216" s="88"/>
      <c r="S216" s="88"/>
      <c r="T216" s="88"/>
      <c r="V216">
        <f t="shared" si="36"/>
        <v>58</v>
      </c>
      <c r="W216" s="3">
        <f t="shared" si="19"/>
        <v>29.064176413581322</v>
      </c>
      <c r="X216" s="113">
        <f t="shared" si="37"/>
        <v>138.10195852099525</v>
      </c>
      <c r="Y216" s="98">
        <f t="shared" si="25"/>
        <v>1.1443989658686173</v>
      </c>
      <c r="Z216" s="98">
        <f t="shared" si="26"/>
        <v>81.341567389573953</v>
      </c>
      <c r="AA216" s="98">
        <f t="shared" si="27"/>
        <v>23.063658997738134</v>
      </c>
      <c r="AB216" s="98">
        <f t="shared" si="28"/>
        <v>12.300618132127003</v>
      </c>
      <c r="AC216" s="98">
        <f t="shared" si="29"/>
        <v>15.731956658251018</v>
      </c>
      <c r="AD216" s="98">
        <f t="shared" si="30"/>
        <v>15.15345498643368</v>
      </c>
      <c r="AE216" s="98">
        <f t="shared" si="31"/>
        <v>7.569158334881954</v>
      </c>
      <c r="AF216" s="98">
        <f t="shared" si="32"/>
        <v>21.910476047851219</v>
      </c>
      <c r="AG216" s="3">
        <f t="shared" si="33"/>
        <v>155.16041449900573</v>
      </c>
    </row>
    <row r="217" spans="1:33" ht="14">
      <c r="A217">
        <f t="shared" si="38"/>
        <v>59</v>
      </c>
      <c r="B217" s="19">
        <f t="shared" si="38"/>
        <v>139</v>
      </c>
      <c r="C217" s="26">
        <f t="shared" si="35"/>
        <v>138.65701759363526</v>
      </c>
      <c r="D217" s="83">
        <f>C$158*(0.4*D$14)*('Product half-life and C flows'!B78/100)</f>
        <v>1.1054165359165211</v>
      </c>
      <c r="E217" s="83">
        <f t="shared" si="24"/>
        <v>82.388824727217184</v>
      </c>
      <c r="F217" s="83">
        <f t="shared" si="21"/>
        <v>23.063658997738134</v>
      </c>
      <c r="G217" s="83">
        <f t="shared" si="21"/>
        <v>12.300618132127003</v>
      </c>
      <c r="H217" s="83">
        <f>C$158*(0.6*C$15)*('Product half-life and C flows'!L78/100)</f>
        <v>15.491489813904833</v>
      </c>
      <c r="I217" s="83">
        <f>C$158*0.6*('Product half-life and C flows'!N78/100)</f>
        <v>15.313926527227368</v>
      </c>
      <c r="J217" s="83">
        <f>C$158*0.6*('Product half-life and C flows'!P78/100)</f>
        <v>7.6493139496640161</v>
      </c>
      <c r="K217" s="83">
        <f t="shared" si="22"/>
        <v>21.910476047851219</v>
      </c>
      <c r="L217" s="3"/>
      <c r="M217" s="88"/>
      <c r="N217" s="88"/>
      <c r="O217" s="88"/>
      <c r="P217" s="88"/>
      <c r="Q217" s="88"/>
      <c r="R217" s="88"/>
      <c r="S217" s="88"/>
      <c r="T217" s="88"/>
      <c r="V217">
        <f t="shared" si="36"/>
        <v>59</v>
      </c>
      <c r="W217" s="3">
        <f t="shared" si="19"/>
        <v>29.438372202874429</v>
      </c>
      <c r="X217" s="113">
        <f t="shared" si="37"/>
        <v>138.65701759363526</v>
      </c>
      <c r="Y217" s="98">
        <f t="shared" si="25"/>
        <v>1.1054165359165211</v>
      </c>
      <c r="Z217" s="98">
        <f t="shared" si="26"/>
        <v>82.388824727217184</v>
      </c>
      <c r="AA217" s="98">
        <f t="shared" si="27"/>
        <v>23.063658997738134</v>
      </c>
      <c r="AB217" s="98">
        <f t="shared" si="28"/>
        <v>12.300618132127003</v>
      </c>
      <c r="AC217" s="98">
        <f t="shared" si="29"/>
        <v>15.491489813904833</v>
      </c>
      <c r="AD217" s="98">
        <f t="shared" si="30"/>
        <v>15.313926527227368</v>
      </c>
      <c r="AE217" s="98">
        <f t="shared" si="31"/>
        <v>7.6493139496640161</v>
      </c>
      <c r="AF217" s="98">
        <f t="shared" si="32"/>
        <v>21.910476047851219</v>
      </c>
      <c r="AG217" s="3">
        <f t="shared" si="33"/>
        <v>156.20783214787855</v>
      </c>
    </row>
    <row r="218" spans="1:33" ht="14">
      <c r="A218">
        <f t="shared" si="38"/>
        <v>60</v>
      </c>
      <c r="B218" s="19">
        <f t="shared" si="38"/>
        <v>140</v>
      </c>
      <c r="C218" s="26">
        <f t="shared" si="35"/>
        <v>139.20252719561401</v>
      </c>
      <c r="D218" s="83">
        <f>C$158*(0.4*D$14)*('Product half-life and C flows'!B79/100)</f>
        <v>1.0677619906360245</v>
      </c>
      <c r="E218" s="83">
        <f t="shared" si="24"/>
        <v>83.403448969491279</v>
      </c>
      <c r="F218" s="83">
        <f t="shared" si="21"/>
        <v>23.063658997738134</v>
      </c>
      <c r="G218" s="83">
        <f t="shared" si="21"/>
        <v>12.300618132127003</v>
      </c>
      <c r="H218" s="83">
        <f>C$158*(0.6*C$15)*('Product half-life and C flows'!L79/100)</f>
        <v>15.254698564685556</v>
      </c>
      <c r="I218" s="83">
        <f>C$158*0.6*('Product half-life and C flows'!N79/100)</f>
        <v>15.471945220873032</v>
      </c>
      <c r="J218" s="83">
        <f>C$158*0.6*('Product half-life and C flows'!P79/100)</f>
        <v>7.7282443660704416</v>
      </c>
      <c r="K218" s="83">
        <f t="shared" si="22"/>
        <v>21.910476047851219</v>
      </c>
      <c r="L218" s="3"/>
      <c r="M218" s="88"/>
      <c r="N218" s="88"/>
      <c r="O218" s="88"/>
      <c r="P218" s="88"/>
      <c r="Q218" s="88"/>
      <c r="R218" s="88"/>
      <c r="S218" s="88"/>
      <c r="T218" s="88"/>
      <c r="V218">
        <f t="shared" si="36"/>
        <v>60</v>
      </c>
      <c r="W218" s="3">
        <f t="shared" si="19"/>
        <v>29.800907852448479</v>
      </c>
      <c r="X218" s="113">
        <f t="shared" si="37"/>
        <v>139.20252719561401</v>
      </c>
      <c r="Y218" s="98">
        <f t="shared" si="25"/>
        <v>1.0677619906360245</v>
      </c>
      <c r="Z218" s="98">
        <f t="shared" si="26"/>
        <v>83.403448969491279</v>
      </c>
      <c r="AA218" s="98">
        <f t="shared" si="27"/>
        <v>23.063658997738134</v>
      </c>
      <c r="AB218" s="98">
        <f t="shared" si="28"/>
        <v>12.300618132127003</v>
      </c>
      <c r="AC218" s="98">
        <f t="shared" si="29"/>
        <v>15.254698564685556</v>
      </c>
      <c r="AD218" s="98">
        <f t="shared" si="30"/>
        <v>15.471945220873032</v>
      </c>
      <c r="AE218" s="98">
        <f t="shared" si="31"/>
        <v>7.7282443660704416</v>
      </c>
      <c r="AF218" s="98">
        <f t="shared" si="32"/>
        <v>21.910476047851219</v>
      </c>
      <c r="AG218" s="3">
        <f t="shared" si="33"/>
        <v>157.22261425098546</v>
      </c>
    </row>
    <row r="219" spans="1:33" ht="14">
      <c r="A219">
        <f t="shared" si="38"/>
        <v>61</v>
      </c>
      <c r="B219" s="19">
        <f t="shared" si="38"/>
        <v>141</v>
      </c>
      <c r="C219" s="26">
        <f t="shared" si="35"/>
        <v>139.73862171370757</v>
      </c>
      <c r="D219" s="83">
        <f>C$158*(0.4*D$14)*('Product half-life and C flows'!B80/100)</f>
        <v>1.0313900974004471</v>
      </c>
      <c r="E219" s="83">
        <f t="shared" si="24"/>
        <v>84.386103349369861</v>
      </c>
      <c r="F219" s="83">
        <f t="shared" si="21"/>
        <v>23.063658997738134</v>
      </c>
      <c r="G219" s="83">
        <f t="shared" si="21"/>
        <v>12.300618132127003</v>
      </c>
      <c r="H219" s="83">
        <f>C$158*(0.6*C$15)*('Product half-life and C flows'!L80/100)</f>
        <v>15.021526728213562</v>
      </c>
      <c r="I219" s="83">
        <f>C$158*0.6*('Product half-life and C flows'!N80/100)</f>
        <v>15.627548559745344</v>
      </c>
      <c r="J219" s="83">
        <f>C$158*0.6*('Product half-life and C flows'!P80/100)</f>
        <v>7.8059683115611076</v>
      </c>
      <c r="K219" s="83">
        <f t="shared" si="22"/>
        <v>21.910476047851219</v>
      </c>
      <c r="L219" s="3"/>
      <c r="M219" s="88"/>
      <c r="N219" s="88"/>
      <c r="O219" s="88"/>
      <c r="P219" s="88"/>
      <c r="Q219" s="88"/>
      <c r="R219" s="88"/>
      <c r="S219" s="88"/>
      <c r="T219" s="88"/>
      <c r="V219">
        <f t="shared" si="36"/>
        <v>61</v>
      </c>
      <c r="W219" s="3">
        <f t="shared" si="19"/>
        <v>30.152020342248253</v>
      </c>
      <c r="X219" s="113">
        <f t="shared" si="37"/>
        <v>139.73862171370757</v>
      </c>
      <c r="Y219" s="98">
        <f t="shared" si="25"/>
        <v>1.0313900974004471</v>
      </c>
      <c r="Z219" s="98">
        <f t="shared" si="26"/>
        <v>84.386103349369861</v>
      </c>
      <c r="AA219" s="98">
        <f t="shared" si="27"/>
        <v>23.063658997738134</v>
      </c>
      <c r="AB219" s="98">
        <f t="shared" si="28"/>
        <v>12.300618132127003</v>
      </c>
      <c r="AC219" s="98">
        <f t="shared" si="29"/>
        <v>15.021526728213562</v>
      </c>
      <c r="AD219" s="98">
        <f t="shared" si="30"/>
        <v>15.627548559745344</v>
      </c>
      <c r="AE219" s="98">
        <f t="shared" si="31"/>
        <v>7.8059683115611076</v>
      </c>
      <c r="AF219" s="98">
        <f t="shared" si="32"/>
        <v>21.910476047851219</v>
      </c>
      <c r="AG219" s="3">
        <f t="shared" si="33"/>
        <v>158.20542407875502</v>
      </c>
    </row>
    <row r="220" spans="1:33" ht="14">
      <c r="A220">
        <f t="shared" si="38"/>
        <v>62</v>
      </c>
      <c r="B220" s="19">
        <f t="shared" si="38"/>
        <v>142</v>
      </c>
      <c r="C220" s="26">
        <f t="shared" si="35"/>
        <v>140.26543491304204</v>
      </c>
      <c r="D220" s="83">
        <f>C$158*(0.4*D$14)*('Product half-life and C flows'!B81/100)</f>
        <v>0.99625716437242662</v>
      </c>
      <c r="E220" s="83">
        <f t="shared" si="24"/>
        <v>85.337468879830681</v>
      </c>
      <c r="F220" s="83">
        <f t="shared" si="21"/>
        <v>23.063658997738134</v>
      </c>
      <c r="G220" s="83">
        <f t="shared" si="21"/>
        <v>12.300618132127003</v>
      </c>
      <c r="H220" s="83">
        <f>C$158*(0.6*C$15)*('Product half-life and C flows'!L81/100)</f>
        <v>14.79191898087077</v>
      </c>
      <c r="I220" s="83">
        <f>C$158*0.6*('Product half-life and C flows'!N81/100)</f>
        <v>15.780773463138765</v>
      </c>
      <c r="J220" s="83">
        <f>C$158*0.6*('Product half-life and C flows'!P81/100)</f>
        <v>7.8825042273420367</v>
      </c>
      <c r="K220" s="83">
        <f t="shared" si="22"/>
        <v>21.910476047851219</v>
      </c>
      <c r="L220" s="3"/>
      <c r="M220" s="88"/>
      <c r="N220" s="88"/>
      <c r="O220" s="88"/>
      <c r="P220" s="88"/>
      <c r="Q220" s="88"/>
      <c r="R220" s="88"/>
      <c r="S220" s="88"/>
      <c r="T220" s="88"/>
      <c r="V220">
        <f t="shared" si="36"/>
        <v>62</v>
      </c>
      <c r="W220" s="3">
        <f t="shared" si="19"/>
        <v>30.491953005196397</v>
      </c>
      <c r="X220" s="113">
        <f t="shared" si="37"/>
        <v>140.26543491304204</v>
      </c>
      <c r="Y220" s="98">
        <f t="shared" si="25"/>
        <v>0.99625716437242662</v>
      </c>
      <c r="Z220" s="98">
        <f t="shared" si="26"/>
        <v>85.337468879830681</v>
      </c>
      <c r="AA220" s="98">
        <f t="shared" si="27"/>
        <v>23.063658997738134</v>
      </c>
      <c r="AB220" s="98">
        <f t="shared" si="28"/>
        <v>12.300618132127003</v>
      </c>
      <c r="AC220" s="98">
        <f t="shared" si="29"/>
        <v>14.79191898087077</v>
      </c>
      <c r="AD220" s="98">
        <f t="shared" si="30"/>
        <v>15.780773463138765</v>
      </c>
      <c r="AE220" s="98">
        <f t="shared" si="31"/>
        <v>7.8825042273420367</v>
      </c>
      <c r="AF220" s="98">
        <f t="shared" si="32"/>
        <v>21.910476047851219</v>
      </c>
      <c r="AG220" s="3">
        <f t="shared" si="33"/>
        <v>159.15694268104735</v>
      </c>
    </row>
    <row r="221" spans="1:33" ht="14">
      <c r="A221">
        <f t="shared" si="38"/>
        <v>63</v>
      </c>
      <c r="B221" s="19">
        <f t="shared" si="38"/>
        <v>143</v>
      </c>
      <c r="C221" s="26">
        <f t="shared" si="35"/>
        <v>140.78309987558936</v>
      </c>
      <c r="D221" s="83">
        <f>C$158*(0.4*D$14)*('Product half-life and C flows'!B82/100)</f>
        <v>0.96232098801897825</v>
      </c>
      <c r="E221" s="83">
        <f t="shared" si="24"/>
        <v>86.258240697357081</v>
      </c>
      <c r="F221" s="83">
        <f t="shared" si="21"/>
        <v>23.063658997738134</v>
      </c>
      <c r="G221" s="83">
        <f t="shared" si="21"/>
        <v>12.300618132127003</v>
      </c>
      <c r="H221" s="83">
        <f>C$158*(0.6*C$15)*('Product half-life and C flows'!L82/100)</f>
        <v>14.565820844674287</v>
      </c>
      <c r="I221" s="83">
        <f>C$158*0.6*('Product half-life and C flows'!N82/100)</f>
        <v>15.93165628602722</v>
      </c>
      <c r="J221" s="83">
        <f>C$158*0.6*('Product half-life and C flows'!P82/100)</f>
        <v>7.9578702727408652</v>
      </c>
      <c r="K221" s="83">
        <f t="shared" si="22"/>
        <v>21.910476047851219</v>
      </c>
      <c r="L221" s="3"/>
      <c r="M221" s="88"/>
      <c r="N221" s="88"/>
      <c r="O221" s="88"/>
      <c r="P221" s="88"/>
      <c r="Q221" s="88"/>
      <c r="R221" s="88"/>
      <c r="S221" s="88"/>
      <c r="T221" s="88"/>
      <c r="V221">
        <f t="shared" si="36"/>
        <v>63</v>
      </c>
      <c r="W221" s="3">
        <f t="shared" si="19"/>
        <v>30.820954220688975</v>
      </c>
      <c r="X221" s="113">
        <f t="shared" si="37"/>
        <v>140.78309987558936</v>
      </c>
      <c r="Y221" s="98">
        <f t="shared" si="25"/>
        <v>0.96232098801897825</v>
      </c>
      <c r="Z221" s="98">
        <f t="shared" si="26"/>
        <v>86.258240697357081</v>
      </c>
      <c r="AA221" s="98">
        <f t="shared" si="27"/>
        <v>23.063658997738134</v>
      </c>
      <c r="AB221" s="98">
        <f t="shared" si="28"/>
        <v>12.300618132127003</v>
      </c>
      <c r="AC221" s="98">
        <f t="shared" si="29"/>
        <v>14.565820844674287</v>
      </c>
      <c r="AD221" s="98">
        <f t="shared" si="30"/>
        <v>15.93165628602722</v>
      </c>
      <c r="AE221" s="98">
        <f t="shared" si="31"/>
        <v>7.9578702727408652</v>
      </c>
      <c r="AF221" s="98">
        <f t="shared" si="32"/>
        <v>21.910476047851219</v>
      </c>
      <c r="AG221" s="3">
        <f t="shared" si="33"/>
        <v>160.0778652306646</v>
      </c>
    </row>
    <row r="222" spans="1:33" ht="14">
      <c r="A222">
        <f t="shared" si="38"/>
        <v>64</v>
      </c>
      <c r="B222" s="19">
        <f t="shared" si="38"/>
        <v>144</v>
      </c>
      <c r="C222" s="26">
        <f t="shared" si="35"/>
        <v>141.29174894241757</v>
      </c>
      <c r="D222" s="83">
        <f>C$158*(0.4*D$14)*('Product half-life and C flows'!B83/100)</f>
        <v>0.92954080241438208</v>
      </c>
      <c r="E222" s="83">
        <f t="shared" ref="E222:E238" si="39">C$8*(1-EXP(-C$9*$B142))^3</f>
        <v>87.149124730306028</v>
      </c>
      <c r="F222" s="83">
        <f t="shared" si="21"/>
        <v>23.063658997738134</v>
      </c>
      <c r="G222" s="83">
        <f t="shared" si="21"/>
        <v>12.300618132127003</v>
      </c>
      <c r="H222" s="83">
        <f>C$158*(0.6*C$15)*('Product half-life and C flows'!L83/100)</f>
        <v>14.343178674350629</v>
      </c>
      <c r="I222" s="83">
        <f>C$158*0.6*('Product half-life and C flows'!N83/100)</f>
        <v>16.080232827689873</v>
      </c>
      <c r="J222" s="83">
        <f>C$158*0.6*('Product half-life and C flows'!P83/100)</f>
        <v>8.0320843295154187</v>
      </c>
      <c r="K222" s="83">
        <f t="shared" si="22"/>
        <v>21.910476047851219</v>
      </c>
      <c r="L222" s="3"/>
      <c r="M222" s="88"/>
      <c r="N222" s="88"/>
      <c r="O222" s="88"/>
      <c r="P222" s="88"/>
      <c r="Q222" s="88"/>
      <c r="R222" s="88"/>
      <c r="S222" s="88"/>
      <c r="T222" s="88"/>
      <c r="V222">
        <f t="shared" si="36"/>
        <v>64</v>
      </c>
      <c r="W222" s="3">
        <f t="shared" si="19"/>
        <v>31.139276224169201</v>
      </c>
      <c r="X222" s="113">
        <f t="shared" si="37"/>
        <v>141.29174894241757</v>
      </c>
      <c r="Y222" s="98">
        <f t="shared" ref="Y222:Y253" si="40">D222+M222</f>
        <v>0.92954080241438208</v>
      </c>
      <c r="Z222" s="98">
        <f t="shared" ref="Z222:Z253" si="41">E222+N222</f>
        <v>87.149124730306028</v>
      </c>
      <c r="AA222" s="98">
        <f t="shared" ref="AA222:AA253" si="42">F222+O222</f>
        <v>23.063658997738134</v>
      </c>
      <c r="AB222" s="98">
        <f t="shared" ref="AB222:AB253" si="43">G222+P222</f>
        <v>12.300618132127003</v>
      </c>
      <c r="AC222" s="98">
        <f t="shared" ref="AC222:AC253" si="44">H222+Q222</f>
        <v>14.343178674350629</v>
      </c>
      <c r="AD222" s="98">
        <f t="shared" ref="AD222:AD253" si="45">I222+R222</f>
        <v>16.080232827689873</v>
      </c>
      <c r="AE222" s="98">
        <f t="shared" ref="AE222:AE253" si="46">J222+S222</f>
        <v>8.0320843295154187</v>
      </c>
      <c r="AF222" s="98">
        <f t="shared" ref="AF222:AF253" si="47">K222+T222</f>
        <v>21.910476047851219</v>
      </c>
      <c r="AG222" s="3">
        <f t="shared" ref="AG222:AG253" si="48">SUM(Z222:AE222)</f>
        <v>160.96889769172708</v>
      </c>
    </row>
    <row r="223" spans="1:33" ht="14">
      <c r="A223">
        <f t="shared" si="38"/>
        <v>65</v>
      </c>
      <c r="B223" s="19">
        <f t="shared" si="38"/>
        <v>145</v>
      </c>
      <c r="C223" s="26">
        <f t="shared" si="35"/>
        <v>141.79151365954192</v>
      </c>
      <c r="D223" s="83">
        <f>C$158*(0.4*D$14)*('Product half-life and C flows'!B84/100)</f>
        <v>0.89787723027000355</v>
      </c>
      <c r="E223" s="83">
        <f t="shared" si="39"/>
        <v>88.010834670654972</v>
      </c>
      <c r="F223" s="83">
        <f t="shared" si="21"/>
        <v>23.063658997738134</v>
      </c>
      <c r="G223" s="83">
        <f t="shared" si="21"/>
        <v>12.300618132127003</v>
      </c>
      <c r="H223" s="83">
        <f>C$158*(0.6*C$15)*('Product half-life and C flows'!L84/100)</f>
        <v>14.12393964460758</v>
      </c>
      <c r="I223" s="83">
        <f>C$158*0.6*('Product half-life and C flows'!N84/100)</f>
        <v>16.226538340205067</v>
      </c>
      <c r="J223" s="83">
        <f>C$158*0.6*('Product half-life and C flows'!P84/100)</f>
        <v>8.1051640060964338</v>
      </c>
      <c r="K223" s="83">
        <f t="shared" si="22"/>
        <v>21.910476047851219</v>
      </c>
      <c r="L223" s="3"/>
      <c r="M223" s="88"/>
      <c r="N223" s="88"/>
      <c r="O223" s="88"/>
      <c r="P223" s="88"/>
      <c r="Q223" s="88"/>
      <c r="R223" s="88"/>
      <c r="S223" s="88"/>
      <c r="T223" s="88"/>
      <c r="V223">
        <f t="shared" si="36"/>
        <v>65</v>
      </c>
      <c r="W223" s="3">
        <f t="shared" ref="W223:W286" si="49">D$8*(1-EXP(-D$9*$B143))^3</f>
        <v>31.447174025101525</v>
      </c>
      <c r="X223" s="113">
        <f t="shared" si="37"/>
        <v>141.79151365954192</v>
      </c>
      <c r="Y223" s="98">
        <f t="shared" si="40"/>
        <v>0.89787723027000355</v>
      </c>
      <c r="Z223" s="98">
        <f t="shared" si="41"/>
        <v>88.010834670654972</v>
      </c>
      <c r="AA223" s="98">
        <f t="shared" si="42"/>
        <v>23.063658997738134</v>
      </c>
      <c r="AB223" s="98">
        <f t="shared" si="43"/>
        <v>12.300618132127003</v>
      </c>
      <c r="AC223" s="98">
        <f t="shared" si="44"/>
        <v>14.12393964460758</v>
      </c>
      <c r="AD223" s="98">
        <f t="shared" si="45"/>
        <v>16.226538340205067</v>
      </c>
      <c r="AE223" s="98">
        <f t="shared" si="46"/>
        <v>8.1051640060964338</v>
      </c>
      <c r="AF223" s="98">
        <f t="shared" si="47"/>
        <v>21.910476047851219</v>
      </c>
      <c r="AG223" s="3">
        <f t="shared" si="48"/>
        <v>161.8307537914292</v>
      </c>
    </row>
    <row r="224" spans="1:33" ht="14">
      <c r="A224">
        <f t="shared" ref="A224:B238" si="50">A223+1</f>
        <v>66</v>
      </c>
      <c r="B224" s="19">
        <f t="shared" si="50"/>
        <v>146</v>
      </c>
      <c r="C224" s="26">
        <f t="shared" si="35"/>
        <v>142.28252472722863</v>
      </c>
      <c r="D224" s="83">
        <f>C$158*(0.4*D$14)*('Product half-life and C flows'!B85/100)</f>
        <v>0.86729223563221536</v>
      </c>
      <c r="E224" s="83">
        <f t="shared" si="39"/>
        <v>88.84408922856835</v>
      </c>
      <c r="F224" s="83">
        <f t="shared" ref="F224:G238" si="51">F223</f>
        <v>23.063658997738134</v>
      </c>
      <c r="G224" s="83">
        <f t="shared" si="51"/>
        <v>12.300618132127003</v>
      </c>
      <c r="H224" s="83">
        <f>C$158*(0.6*C$15)*('Product half-life and C flows'!L85/100)</f>
        <v>13.908051737600571</v>
      </c>
      <c r="I224" s="83">
        <f>C$158*0.6*('Product half-life and C flows'!N85/100)</f>
        <v>16.370607536814411</v>
      </c>
      <c r="J224" s="83">
        <f>C$158*0.6*('Product half-life and C flows'!P85/100)</f>
        <v>8.1771266417654367</v>
      </c>
      <c r="K224" s="83">
        <f t="shared" ref="K224:K238" si="52">K223</f>
        <v>21.910476047851219</v>
      </c>
      <c r="L224" s="3"/>
      <c r="M224" s="88"/>
      <c r="N224" s="88"/>
      <c r="O224" s="88"/>
      <c r="P224" s="88"/>
      <c r="Q224" s="88"/>
      <c r="R224" s="88"/>
      <c r="S224" s="88"/>
      <c r="T224" s="88"/>
      <c r="V224">
        <f t="shared" si="36"/>
        <v>66</v>
      </c>
      <c r="W224" s="3">
        <f t="shared" si="49"/>
        <v>31.744904426000087</v>
      </c>
      <c r="X224" s="113">
        <f t="shared" si="37"/>
        <v>142.28252472722863</v>
      </c>
      <c r="Y224" s="98">
        <f t="shared" si="40"/>
        <v>0.86729223563221536</v>
      </c>
      <c r="Z224" s="98">
        <f t="shared" si="41"/>
        <v>88.84408922856835</v>
      </c>
      <c r="AA224" s="98">
        <f t="shared" si="42"/>
        <v>23.063658997738134</v>
      </c>
      <c r="AB224" s="98">
        <f t="shared" si="43"/>
        <v>12.300618132127003</v>
      </c>
      <c r="AC224" s="98">
        <f t="shared" si="44"/>
        <v>13.908051737600571</v>
      </c>
      <c r="AD224" s="98">
        <f t="shared" si="45"/>
        <v>16.370607536814411</v>
      </c>
      <c r="AE224" s="98">
        <f t="shared" si="46"/>
        <v>8.1771266417654367</v>
      </c>
      <c r="AF224" s="98">
        <f t="shared" si="47"/>
        <v>21.910476047851219</v>
      </c>
      <c r="AG224" s="3">
        <f t="shared" si="48"/>
        <v>162.66415227461388</v>
      </c>
    </row>
    <row r="225" spans="1:33" ht="14">
      <c r="A225">
        <f t="shared" si="50"/>
        <v>67</v>
      </c>
      <c r="B225" s="19">
        <f t="shared" si="50"/>
        <v>147</v>
      </c>
      <c r="C225" s="26">
        <f t="shared" si="35"/>
        <v>142.76491195260849</v>
      </c>
      <c r="D225" s="83">
        <f>C$158*(0.4*D$14)*('Product half-life and C flows'!B86/100)</f>
        <v>0.83774907819160427</v>
      </c>
      <c r="E225" s="83">
        <f t="shared" si="39"/>
        <v>89.649609650172877</v>
      </c>
      <c r="F225" s="83">
        <f t="shared" si="51"/>
        <v>23.063658997738134</v>
      </c>
      <c r="G225" s="83">
        <f t="shared" si="51"/>
        <v>12.300618132127003</v>
      </c>
      <c r="H225" s="83">
        <f>C$158*(0.6*C$15)*('Product half-life and C flows'!L86/100)</f>
        <v>13.695463730590637</v>
      </c>
      <c r="I225" s="83">
        <f>C$158*0.6*('Product half-life and C flows'!N86/100)</f>
        <v>16.512474600159042</v>
      </c>
      <c r="J225" s="83">
        <f>C$158*0.6*('Product half-life and C flows'!P86/100)</f>
        <v>8.2479893107687499</v>
      </c>
      <c r="K225" s="83">
        <f t="shared" si="52"/>
        <v>21.910476047851219</v>
      </c>
      <c r="L225" s="3"/>
      <c r="M225" s="88"/>
      <c r="N225" s="88"/>
      <c r="O225" s="88"/>
      <c r="P225" s="88"/>
      <c r="Q225" s="88"/>
      <c r="R225" s="88"/>
      <c r="S225" s="88"/>
      <c r="T225" s="88"/>
      <c r="V225">
        <f t="shared" si="36"/>
        <v>67</v>
      </c>
      <c r="W225" s="3">
        <f t="shared" si="49"/>
        <v>32.03272513550435</v>
      </c>
      <c r="X225" s="113">
        <f t="shared" si="37"/>
        <v>142.76491195260849</v>
      </c>
      <c r="Y225" s="98">
        <f t="shared" si="40"/>
        <v>0.83774907819160427</v>
      </c>
      <c r="Z225" s="98">
        <f t="shared" si="41"/>
        <v>89.649609650172877</v>
      </c>
      <c r="AA225" s="98">
        <f t="shared" si="42"/>
        <v>23.063658997738134</v>
      </c>
      <c r="AB225" s="98">
        <f t="shared" si="43"/>
        <v>12.300618132127003</v>
      </c>
      <c r="AC225" s="98">
        <f t="shared" si="44"/>
        <v>13.695463730590637</v>
      </c>
      <c r="AD225" s="98">
        <f t="shared" si="45"/>
        <v>16.512474600159042</v>
      </c>
      <c r="AE225" s="98">
        <f t="shared" si="46"/>
        <v>8.2479893107687499</v>
      </c>
      <c r="AF225" s="98">
        <f t="shared" si="47"/>
        <v>21.910476047851219</v>
      </c>
      <c r="AG225" s="3">
        <f t="shared" si="48"/>
        <v>163.46981442155644</v>
      </c>
    </row>
    <row r="226" spans="1:33" ht="14">
      <c r="A226">
        <f t="shared" si="50"/>
        <v>68</v>
      </c>
      <c r="B226" s="19">
        <f t="shared" si="50"/>
        <v>148</v>
      </c>
      <c r="C226" s="26">
        <f t="shared" si="35"/>
        <v>143.23880420546197</v>
      </c>
      <c r="D226" s="83">
        <f>C$158*(0.4*D$14)*('Product half-life and C flows'!B87/100)</f>
        <v>0.80921226914857147</v>
      </c>
      <c r="E226" s="83">
        <f t="shared" si="39"/>
        <v>90.428117479893075</v>
      </c>
      <c r="F226" s="83">
        <f t="shared" si="51"/>
        <v>23.063658997738134</v>
      </c>
      <c r="G226" s="83">
        <f t="shared" si="51"/>
        <v>12.300618132127003</v>
      </c>
      <c r="H226" s="83">
        <f>C$158*(0.6*C$15)*('Product half-life and C flows'!L87/100)</f>
        <v>13.486125183791025</v>
      </c>
      <c r="I226" s="83">
        <f>C$158*0.6*('Product half-life and C flows'!N87/100)</f>
        <v>16.652173190389984</v>
      </c>
      <c r="J226" s="83">
        <f>C$158*0.6*('Product half-life and C flows'!P87/100)</f>
        <v>8.3177688263686207</v>
      </c>
      <c r="K226" s="83">
        <f t="shared" si="52"/>
        <v>21.910476047851219</v>
      </c>
      <c r="L226" s="3"/>
      <c r="M226" s="88"/>
      <c r="N226" s="88"/>
      <c r="O226" s="88"/>
      <c r="P226" s="88"/>
      <c r="Q226" s="88"/>
      <c r="R226" s="88"/>
      <c r="S226" s="88"/>
      <c r="T226" s="88"/>
      <c r="V226">
        <f t="shared" si="36"/>
        <v>68</v>
      </c>
      <c r="W226" s="3">
        <f t="shared" si="49"/>
        <v>32.31089396883867</v>
      </c>
      <c r="X226" s="113">
        <f t="shared" si="37"/>
        <v>143.23880420546197</v>
      </c>
      <c r="Y226" s="98">
        <f t="shared" si="40"/>
        <v>0.80921226914857147</v>
      </c>
      <c r="Z226" s="98">
        <f t="shared" si="41"/>
        <v>90.428117479893075</v>
      </c>
      <c r="AA226" s="98">
        <f t="shared" si="42"/>
        <v>23.063658997738134</v>
      </c>
      <c r="AB226" s="98">
        <f t="shared" si="43"/>
        <v>12.300618132127003</v>
      </c>
      <c r="AC226" s="98">
        <f t="shared" si="44"/>
        <v>13.486125183791025</v>
      </c>
      <c r="AD226" s="98">
        <f t="shared" si="45"/>
        <v>16.652173190389984</v>
      </c>
      <c r="AE226" s="98">
        <f t="shared" si="46"/>
        <v>8.3177688263686207</v>
      </c>
      <c r="AF226" s="98">
        <f t="shared" si="47"/>
        <v>21.910476047851219</v>
      </c>
      <c r="AG226" s="3">
        <f t="shared" si="48"/>
        <v>164.24846181030784</v>
      </c>
    </row>
    <row r="227" spans="1:33" ht="14">
      <c r="A227">
        <f t="shared" si="50"/>
        <v>69</v>
      </c>
      <c r="B227" s="19">
        <f t="shared" si="50"/>
        <v>149</v>
      </c>
      <c r="C227" s="26">
        <f t="shared" si="35"/>
        <v>143.70432937704084</v>
      </c>
      <c r="D227" s="83">
        <f>C$158*(0.4*D$14)*('Product half-life and C flows'!B88/100)</f>
        <v>0.78164752858231545</v>
      </c>
      <c r="E227" s="83">
        <f t="shared" si="39"/>
        <v>91.18033254965907</v>
      </c>
      <c r="F227" s="83">
        <f t="shared" si="51"/>
        <v>23.063658997738134</v>
      </c>
      <c r="G227" s="83">
        <f t="shared" si="51"/>
        <v>12.300618132127003</v>
      </c>
      <c r="H227" s="83">
        <f>C$158*(0.6*C$15)*('Product half-life and C flows'!L88/100)</f>
        <v>13.279986428399583</v>
      </c>
      <c r="I227" s="83">
        <f>C$158*0.6*('Product half-life and C flows'!N88/100)</f>
        <v>16.789736453154536</v>
      </c>
      <c r="J227" s="83">
        <f>C$158*0.6*('Product half-life and C flows'!P88/100)</f>
        <v>8.3864817448324338</v>
      </c>
      <c r="K227" s="83">
        <f t="shared" si="52"/>
        <v>21.910476047851219</v>
      </c>
      <c r="L227" s="3"/>
      <c r="M227" s="88"/>
      <c r="N227" s="88"/>
      <c r="O227" s="88"/>
      <c r="P227" s="88"/>
      <c r="Q227" s="88"/>
      <c r="R227" s="88"/>
      <c r="S227" s="88"/>
      <c r="T227" s="88"/>
      <c r="V227">
        <f t="shared" si="36"/>
        <v>69</v>
      </c>
      <c r="W227" s="3">
        <f t="shared" si="49"/>
        <v>32.579668129335545</v>
      </c>
      <c r="X227" s="113">
        <f t="shared" si="37"/>
        <v>143.70432937704084</v>
      </c>
      <c r="Y227" s="98">
        <f t="shared" si="40"/>
        <v>0.78164752858231545</v>
      </c>
      <c r="Z227" s="98">
        <f t="shared" si="41"/>
        <v>91.18033254965907</v>
      </c>
      <c r="AA227" s="98">
        <f t="shared" si="42"/>
        <v>23.063658997738134</v>
      </c>
      <c r="AB227" s="98">
        <f t="shared" si="43"/>
        <v>12.300618132127003</v>
      </c>
      <c r="AC227" s="98">
        <f t="shared" si="44"/>
        <v>13.279986428399583</v>
      </c>
      <c r="AD227" s="98">
        <f t="shared" si="45"/>
        <v>16.789736453154536</v>
      </c>
      <c r="AE227" s="98">
        <f t="shared" si="46"/>
        <v>8.3864817448324338</v>
      </c>
      <c r="AF227" s="98">
        <f t="shared" si="47"/>
        <v>21.910476047851219</v>
      </c>
      <c r="AG227" s="3">
        <f t="shared" si="48"/>
        <v>165.00081430591075</v>
      </c>
    </row>
    <row r="228" spans="1:33" ht="14">
      <c r="A228">
        <f t="shared" si="50"/>
        <v>70</v>
      </c>
      <c r="B228" s="19">
        <f t="shared" si="50"/>
        <v>150</v>
      </c>
      <c r="C228" s="26">
        <f t="shared" si="35"/>
        <v>144.16161434179853</v>
      </c>
      <c r="D228" s="83">
        <f>C$158*(0.4*D$14)*('Product half-life and C flows'!B89/100)</f>
        <v>0.75502174427197988</v>
      </c>
      <c r="E228" s="83">
        <f t="shared" si="39"/>
        <v>91.906971178250416</v>
      </c>
      <c r="F228" s="83">
        <f t="shared" si="51"/>
        <v>23.063658997738134</v>
      </c>
      <c r="G228" s="83">
        <f t="shared" si="51"/>
        <v>12.300618132127003</v>
      </c>
      <c r="H228" s="83">
        <f>C$158*(0.6*C$15)*('Product half-life and C flows'!L89/100)</f>
        <v>13.076998554814098</v>
      </c>
      <c r="I228" s="83">
        <f>C$158*0.6*('Product half-life and C flows'!N89/100)</f>
        <v>16.925197027460584</v>
      </c>
      <c r="J228" s="83">
        <f>C$158*0.6*('Product half-life and C flows'!P89/100)</f>
        <v>8.4541443693609271</v>
      </c>
      <c r="K228" s="83">
        <f t="shared" si="52"/>
        <v>21.910476047851219</v>
      </c>
      <c r="L228" s="3"/>
      <c r="M228" s="88"/>
      <c r="N228" s="88"/>
      <c r="O228" s="88"/>
      <c r="P228" s="88"/>
      <c r="Q228" s="88"/>
      <c r="R228" s="88"/>
      <c r="S228" s="88"/>
      <c r="T228" s="88"/>
      <c r="V228">
        <f t="shared" si="36"/>
        <v>70</v>
      </c>
      <c r="W228" s="3">
        <f t="shared" si="49"/>
        <v>32.839303565042783</v>
      </c>
      <c r="X228" s="113">
        <f t="shared" si="37"/>
        <v>144.16161434179853</v>
      </c>
      <c r="Y228" s="98">
        <f t="shared" si="40"/>
        <v>0.75502174427197988</v>
      </c>
      <c r="Z228" s="98">
        <f t="shared" si="41"/>
        <v>91.906971178250416</v>
      </c>
      <c r="AA228" s="98">
        <f t="shared" si="42"/>
        <v>23.063658997738134</v>
      </c>
      <c r="AB228" s="98">
        <f t="shared" si="43"/>
        <v>12.300618132127003</v>
      </c>
      <c r="AC228" s="98">
        <f t="shared" si="44"/>
        <v>13.076998554814098</v>
      </c>
      <c r="AD228" s="98">
        <f t="shared" si="45"/>
        <v>16.925197027460584</v>
      </c>
      <c r="AE228" s="98">
        <f t="shared" si="46"/>
        <v>8.4541443693609271</v>
      </c>
      <c r="AF228" s="98">
        <f t="shared" si="47"/>
        <v>21.910476047851219</v>
      </c>
      <c r="AG228" s="3">
        <f t="shared" si="48"/>
        <v>165.72758825975117</v>
      </c>
    </row>
    <row r="229" spans="1:33" ht="14">
      <c r="A229">
        <f t="shared" si="50"/>
        <v>71</v>
      </c>
      <c r="B229" s="19">
        <f t="shared" si="50"/>
        <v>151</v>
      </c>
      <c r="C229" s="26">
        <f t="shared" si="35"/>
        <v>144.61078492190234</v>
      </c>
      <c r="D229" s="83">
        <f>C$158*(0.4*D$14)*('Product half-life and C flows'!B90/100)</f>
        <v>0.72930293192050977</v>
      </c>
      <c r="E229" s="83">
        <f t="shared" si="39"/>
        <v>92.608744564975808</v>
      </c>
      <c r="F229" s="83">
        <f t="shared" si="51"/>
        <v>23.063658997738134</v>
      </c>
      <c r="G229" s="83">
        <f t="shared" si="51"/>
        <v>12.300618132127003</v>
      </c>
      <c r="H229" s="83">
        <f>C$158*(0.6*C$15)*('Product half-life and C flows'!L90/100)</f>
        <v>12.877113401027682</v>
      </c>
      <c r="I229" s="83">
        <f>C$158*0.6*('Product half-life and C flows'!N90/100)</f>
        <v>17.05858705342072</v>
      </c>
      <c r="J229" s="83">
        <f>C$158*0.6*('Product half-life and C flows'!P90/100)</f>
        <v>8.5207727539564004</v>
      </c>
      <c r="K229" s="83">
        <f t="shared" si="52"/>
        <v>21.910476047851219</v>
      </c>
      <c r="L229" s="3"/>
      <c r="M229" s="88"/>
      <c r="N229" s="88"/>
      <c r="O229" s="88"/>
      <c r="P229" s="88"/>
      <c r="Q229" s="88"/>
      <c r="R229" s="88"/>
      <c r="S229" s="88"/>
      <c r="T229" s="88"/>
      <c r="V229">
        <f t="shared" si="36"/>
        <v>71</v>
      </c>
      <c r="W229" s="3">
        <f t="shared" si="49"/>
        <v>33.090054394768714</v>
      </c>
      <c r="X229" s="113">
        <f t="shared" si="37"/>
        <v>144.61078492190234</v>
      </c>
      <c r="Y229" s="98">
        <f t="shared" si="40"/>
        <v>0.72930293192050977</v>
      </c>
      <c r="Z229" s="98">
        <f t="shared" si="41"/>
        <v>92.608744564975808</v>
      </c>
      <c r="AA229" s="98">
        <f t="shared" si="42"/>
        <v>23.063658997738134</v>
      </c>
      <c r="AB229" s="98">
        <f t="shared" si="43"/>
        <v>12.300618132127003</v>
      </c>
      <c r="AC229" s="98">
        <f t="shared" si="44"/>
        <v>12.877113401027682</v>
      </c>
      <c r="AD229" s="98">
        <f t="shared" si="45"/>
        <v>17.05858705342072</v>
      </c>
      <c r="AE229" s="98">
        <f t="shared" si="46"/>
        <v>8.5207727539564004</v>
      </c>
      <c r="AF229" s="98">
        <f t="shared" si="47"/>
        <v>21.910476047851219</v>
      </c>
      <c r="AG229" s="3">
        <f t="shared" si="48"/>
        <v>166.42949490324574</v>
      </c>
    </row>
    <row r="230" spans="1:33" ht="14">
      <c r="A230">
        <f t="shared" si="50"/>
        <v>72</v>
      </c>
      <c r="B230" s="19">
        <f t="shared" si="50"/>
        <v>152</v>
      </c>
      <c r="C230" s="26">
        <f t="shared" si="35"/>
        <v>145.05196585440837</v>
      </c>
      <c r="D230" s="83">
        <f>C$158*(0.4*D$14)*('Product half-life and C flows'!B91/100)</f>
        <v>0.70446019673342375</v>
      </c>
      <c r="E230" s="83">
        <f t="shared" si="39"/>
        <v>93.286357362803088</v>
      </c>
      <c r="F230" s="83">
        <f t="shared" si="51"/>
        <v>23.063658997738134</v>
      </c>
      <c r="G230" s="83">
        <f t="shared" si="51"/>
        <v>12.300618132127003</v>
      </c>
      <c r="H230" s="83">
        <f>C$158*(0.6*C$15)*('Product half-life and C flows'!L91/100)</f>
        <v>12.680283541201627</v>
      </c>
      <c r="I230" s="83">
        <f>C$158*0.6*('Product half-life and C flows'!N91/100)</f>
        <v>17.189938179877974</v>
      </c>
      <c r="J230" s="83">
        <f>C$158*0.6*('Product half-life and C flows'!P91/100)</f>
        <v>8.5863827072317527</v>
      </c>
      <c r="K230" s="83">
        <f t="shared" si="52"/>
        <v>21.910476047851219</v>
      </c>
      <c r="L230" s="3"/>
      <c r="M230" s="88"/>
      <c r="N230" s="88"/>
      <c r="O230" s="88"/>
      <c r="P230" s="88"/>
      <c r="Q230" s="88"/>
      <c r="R230" s="88"/>
      <c r="S230" s="88"/>
      <c r="T230" s="88"/>
      <c r="V230">
        <f t="shared" si="36"/>
        <v>72</v>
      </c>
      <c r="W230" s="3">
        <f t="shared" si="49"/>
        <v>33.332172398246932</v>
      </c>
      <c r="X230" s="113">
        <f t="shared" si="37"/>
        <v>145.05196585440837</v>
      </c>
      <c r="Y230" s="98">
        <f t="shared" si="40"/>
        <v>0.70446019673342375</v>
      </c>
      <c r="Z230" s="98">
        <f t="shared" si="41"/>
        <v>93.286357362803088</v>
      </c>
      <c r="AA230" s="98">
        <f t="shared" si="42"/>
        <v>23.063658997738134</v>
      </c>
      <c r="AB230" s="98">
        <f t="shared" si="43"/>
        <v>12.300618132127003</v>
      </c>
      <c r="AC230" s="98">
        <f t="shared" si="44"/>
        <v>12.680283541201627</v>
      </c>
      <c r="AD230" s="98">
        <f t="shared" si="45"/>
        <v>17.189938179877974</v>
      </c>
      <c r="AE230" s="98">
        <f t="shared" si="46"/>
        <v>8.5863827072317527</v>
      </c>
      <c r="AF230" s="98">
        <f t="shared" si="47"/>
        <v>21.910476047851219</v>
      </c>
      <c r="AG230" s="3">
        <f t="shared" si="48"/>
        <v>167.10723892097957</v>
      </c>
    </row>
    <row r="231" spans="1:33" ht="14">
      <c r="A231">
        <f t="shared" si="50"/>
        <v>73</v>
      </c>
      <c r="B231" s="19">
        <f t="shared" si="50"/>
        <v>153</v>
      </c>
      <c r="C231" s="26">
        <f t="shared" si="35"/>
        <v>145.485280760981</v>
      </c>
      <c r="D231" s="83">
        <f>C$158*(0.4*D$14)*('Product half-life and C flows'!B92/100)</f>
        <v>0.68046369630635783</v>
      </c>
      <c r="E231" s="83">
        <f t="shared" si="39"/>
        <v>93.940506416941886</v>
      </c>
      <c r="F231" s="83">
        <f t="shared" si="51"/>
        <v>23.063658997738134</v>
      </c>
      <c r="G231" s="83">
        <f t="shared" si="51"/>
        <v>12.300618132127003</v>
      </c>
      <c r="H231" s="83">
        <f>C$158*(0.6*C$15)*('Product half-life and C flows'!L92/100)</f>
        <v>12.486462274412894</v>
      </c>
      <c r="I231" s="83">
        <f>C$158*0.6*('Product half-life and C flows'!N92/100)</f>
        <v>17.319281571914988</v>
      </c>
      <c r="J231" s="83">
        <f>C$158*0.6*('Product half-life and C flows'!P92/100)</f>
        <v>8.6509897961613316</v>
      </c>
      <c r="K231" s="83">
        <f t="shared" si="52"/>
        <v>21.910476047851219</v>
      </c>
      <c r="L231" s="3"/>
      <c r="M231" s="88"/>
      <c r="N231" s="88"/>
      <c r="O231" s="88"/>
      <c r="P231" s="88"/>
      <c r="Q231" s="88"/>
      <c r="R231" s="88"/>
      <c r="S231" s="88"/>
      <c r="T231" s="88"/>
      <c r="V231">
        <f t="shared" si="36"/>
        <v>73</v>
      </c>
      <c r="W231" s="3">
        <f t="shared" si="49"/>
        <v>33.565906565418935</v>
      </c>
      <c r="X231" s="113">
        <f t="shared" si="37"/>
        <v>145.485280760981</v>
      </c>
      <c r="Y231" s="98">
        <f t="shared" si="40"/>
        <v>0.68046369630635783</v>
      </c>
      <c r="Z231" s="98">
        <f t="shared" si="41"/>
        <v>93.940506416941886</v>
      </c>
      <c r="AA231" s="98">
        <f t="shared" si="42"/>
        <v>23.063658997738134</v>
      </c>
      <c r="AB231" s="98">
        <f t="shared" si="43"/>
        <v>12.300618132127003</v>
      </c>
      <c r="AC231" s="98">
        <f t="shared" si="44"/>
        <v>12.486462274412894</v>
      </c>
      <c r="AD231" s="98">
        <f t="shared" si="45"/>
        <v>17.319281571914988</v>
      </c>
      <c r="AE231" s="98">
        <f t="shared" si="46"/>
        <v>8.6509897961613316</v>
      </c>
      <c r="AF231" s="98">
        <f t="shared" si="47"/>
        <v>21.910476047851219</v>
      </c>
      <c r="AG231" s="3">
        <f t="shared" si="48"/>
        <v>167.76151718929623</v>
      </c>
    </row>
    <row r="232" spans="1:33" ht="14">
      <c r="A232">
        <f t="shared" si="50"/>
        <v>74</v>
      </c>
      <c r="B232" s="19">
        <f t="shared" si="50"/>
        <v>154</v>
      </c>
      <c r="C232" s="26">
        <f t="shared" si="35"/>
        <v>145.9108521200458</v>
      </c>
      <c r="D232" s="83">
        <f>C$158*(0.4*D$14)*('Product half-life and C flows'!B93/100)</f>
        <v>0.65728460477679429</v>
      </c>
      <c r="E232" s="83">
        <f t="shared" si="39"/>
        <v>94.57187965573975</v>
      </c>
      <c r="F232" s="83">
        <f t="shared" si="51"/>
        <v>23.063658997738134</v>
      </c>
      <c r="G232" s="83">
        <f t="shared" si="51"/>
        <v>12.300618132127003</v>
      </c>
      <c r="H232" s="83">
        <f>C$158*(0.6*C$15)*('Product half-life and C flows'!L93/100)</f>
        <v>12.29560361357359</v>
      </c>
      <c r="I232" s="83">
        <f>C$158*0.6*('Product half-life and C flows'!N93/100)</f>
        <v>17.446647918248413</v>
      </c>
      <c r="J232" s="83">
        <f>C$158*0.6*('Product half-life and C flows'!P93/100)</f>
        <v>8.714609349774431</v>
      </c>
      <c r="K232" s="83">
        <f t="shared" si="52"/>
        <v>21.910476047851219</v>
      </c>
      <c r="L232" s="3"/>
      <c r="M232" s="88"/>
      <c r="N232" s="88"/>
      <c r="O232" s="88"/>
      <c r="P232" s="88"/>
      <c r="Q232" s="88"/>
      <c r="R232" s="88"/>
      <c r="S232" s="88"/>
      <c r="T232" s="88"/>
      <c r="V232">
        <f t="shared" si="36"/>
        <v>74</v>
      </c>
      <c r="W232" s="3">
        <f t="shared" si="49"/>
        <v>33.79150270013993</v>
      </c>
      <c r="X232" s="113">
        <f t="shared" si="37"/>
        <v>145.9108521200458</v>
      </c>
      <c r="Y232" s="98">
        <f t="shared" si="40"/>
        <v>0.65728460477679429</v>
      </c>
      <c r="Z232" s="98">
        <f t="shared" si="41"/>
        <v>94.57187965573975</v>
      </c>
      <c r="AA232" s="98">
        <f t="shared" si="42"/>
        <v>23.063658997738134</v>
      </c>
      <c r="AB232" s="98">
        <f t="shared" si="43"/>
        <v>12.300618132127003</v>
      </c>
      <c r="AC232" s="98">
        <f t="shared" si="44"/>
        <v>12.29560361357359</v>
      </c>
      <c r="AD232" s="98">
        <f t="shared" si="45"/>
        <v>17.446647918248413</v>
      </c>
      <c r="AE232" s="98">
        <f t="shared" si="46"/>
        <v>8.714609349774431</v>
      </c>
      <c r="AF232" s="98">
        <f t="shared" si="47"/>
        <v>21.910476047851219</v>
      </c>
      <c r="AG232" s="3">
        <f t="shared" si="48"/>
        <v>168.39301766720132</v>
      </c>
    </row>
    <row r="233" spans="1:33" ht="14">
      <c r="A233">
        <f t="shared" si="50"/>
        <v>75</v>
      </c>
      <c r="B233" s="19">
        <f t="shared" si="50"/>
        <v>155</v>
      </c>
      <c r="C233" s="26">
        <f t="shared" si="35"/>
        <v>146.32880124126649</v>
      </c>
      <c r="D233" s="83">
        <f>C$158*(0.4*D$14)*('Product half-life and C flows'!B94/100)</f>
        <v>0.63489507819691471</v>
      </c>
      <c r="E233" s="83">
        <f t="shared" si="39"/>
        <v>95.181155121580233</v>
      </c>
      <c r="F233" s="83">
        <f t="shared" si="51"/>
        <v>23.063658997738134</v>
      </c>
      <c r="G233" s="83">
        <f t="shared" si="51"/>
        <v>12.300618132127003</v>
      </c>
      <c r="H233" s="83">
        <f>C$158*(0.6*C$15)*('Product half-life and C flows'!L94/100)</f>
        <v>12.107662274519816</v>
      </c>
      <c r="I233" s="83">
        <f>C$158*0.6*('Product half-life and C flows'!N94/100)</f>
        <v>17.572067438510299</v>
      </c>
      <c r="J233" s="83">
        <f>C$158*0.6*('Product half-life and C flows'!P94/100)</f>
        <v>8.7772564627923568</v>
      </c>
      <c r="K233" s="83">
        <f t="shared" si="52"/>
        <v>21.910476047851219</v>
      </c>
      <c r="L233" s="3"/>
      <c r="M233" s="88"/>
      <c r="N233" s="88"/>
      <c r="O233" s="88"/>
      <c r="P233" s="88"/>
      <c r="Q233" s="88"/>
      <c r="R233" s="88"/>
      <c r="S233" s="88"/>
      <c r="T233" s="88"/>
      <c r="V233">
        <f t="shared" si="36"/>
        <v>75</v>
      </c>
      <c r="W233" s="3">
        <f t="shared" si="49"/>
        <v>34.009203073908786</v>
      </c>
      <c r="X233" s="113">
        <f t="shared" si="37"/>
        <v>146.32880124126649</v>
      </c>
      <c r="Y233" s="98">
        <f t="shared" si="40"/>
        <v>0.63489507819691471</v>
      </c>
      <c r="Z233" s="98">
        <f t="shared" si="41"/>
        <v>95.181155121580233</v>
      </c>
      <c r="AA233" s="98">
        <f t="shared" si="42"/>
        <v>23.063658997738134</v>
      </c>
      <c r="AB233" s="98">
        <f t="shared" si="43"/>
        <v>12.300618132127003</v>
      </c>
      <c r="AC233" s="98">
        <f t="shared" si="44"/>
        <v>12.107662274519816</v>
      </c>
      <c r="AD233" s="98">
        <f t="shared" si="45"/>
        <v>17.572067438510299</v>
      </c>
      <c r="AE233" s="98">
        <f t="shared" si="46"/>
        <v>8.7772564627923568</v>
      </c>
      <c r="AF233" s="98">
        <f t="shared" si="47"/>
        <v>21.910476047851219</v>
      </c>
      <c r="AG233" s="3">
        <f t="shared" si="48"/>
        <v>169.00241842726783</v>
      </c>
    </row>
    <row r="234" spans="1:33" ht="14">
      <c r="A234">
        <f t="shared" si="50"/>
        <v>76</v>
      </c>
      <c r="B234" s="19">
        <f t="shared" si="50"/>
        <v>156</v>
      </c>
      <c r="C234" s="26">
        <f t="shared" si="35"/>
        <v>146.73924824224071</v>
      </c>
      <c r="D234" s="83">
        <f>C$158*(0.4*D$14)*('Product half-life and C flows'!B95/100)</f>
        <v>0.61326822108598045</v>
      </c>
      <c r="E234" s="83">
        <f t="shared" si="39"/>
        <v>95.769000130262825</v>
      </c>
      <c r="F234" s="83">
        <f t="shared" si="51"/>
        <v>23.063658997738134</v>
      </c>
      <c r="G234" s="83">
        <f t="shared" si="51"/>
        <v>12.300618132127003</v>
      </c>
      <c r="H234" s="83">
        <f>C$158*(0.6*C$15)*('Product half-life and C flows'!L95/100)</f>
        <v>11.922593665267316</v>
      </c>
      <c r="I234" s="83">
        <f>C$158*0.6*('Product half-life and C flows'!N95/100)</f>
        <v>17.695569890418135</v>
      </c>
      <c r="J234" s="83">
        <f>C$158*0.6*('Product half-life and C flows'!P95/100)</f>
        <v>8.8389459992098569</v>
      </c>
      <c r="K234" s="83">
        <f t="shared" si="52"/>
        <v>21.910476047851219</v>
      </c>
      <c r="L234" s="3"/>
      <c r="M234" s="88"/>
      <c r="N234" s="88"/>
      <c r="O234" s="88"/>
      <c r="P234" s="88"/>
      <c r="Q234" s="88"/>
      <c r="R234" s="88"/>
      <c r="S234" s="88"/>
      <c r="T234" s="88"/>
      <c r="V234">
        <f t="shared" si="36"/>
        <v>76</v>
      </c>
      <c r="W234" s="3">
        <f t="shared" si="49"/>
        <v>34.219246125505848</v>
      </c>
      <c r="X234" s="113">
        <f t="shared" si="37"/>
        <v>146.73924824224071</v>
      </c>
      <c r="Y234" s="98">
        <f t="shared" si="40"/>
        <v>0.61326822108598045</v>
      </c>
      <c r="Z234" s="98">
        <f t="shared" si="41"/>
        <v>95.769000130262825</v>
      </c>
      <c r="AA234" s="98">
        <f t="shared" si="42"/>
        <v>23.063658997738134</v>
      </c>
      <c r="AB234" s="98">
        <f t="shared" si="43"/>
        <v>12.300618132127003</v>
      </c>
      <c r="AC234" s="98">
        <f t="shared" si="44"/>
        <v>11.922593665267316</v>
      </c>
      <c r="AD234" s="98">
        <f t="shared" si="45"/>
        <v>17.695569890418135</v>
      </c>
      <c r="AE234" s="98">
        <f t="shared" si="46"/>
        <v>8.8389459992098569</v>
      </c>
      <c r="AF234" s="98">
        <f t="shared" si="47"/>
        <v>21.910476047851219</v>
      </c>
      <c r="AG234" s="3">
        <f t="shared" si="48"/>
        <v>169.59038681502329</v>
      </c>
    </row>
    <row r="235" spans="1:33" ht="14">
      <c r="A235">
        <f t="shared" si="50"/>
        <v>77</v>
      </c>
      <c r="B235" s="19">
        <f t="shared" si="50"/>
        <v>157</v>
      </c>
      <c r="C235" s="26">
        <f t="shared" si="35"/>
        <v>147.14231202731511</v>
      </c>
      <c r="D235" s="83">
        <f>C$158*(0.4*D$14)*('Product half-life and C flows'!B96/100)</f>
        <v>0.59237805412206257</v>
      </c>
      <c r="E235" s="83">
        <f t="shared" si="39"/>
        <v>96.336070548103805</v>
      </c>
      <c r="F235" s="83">
        <f t="shared" si="51"/>
        <v>23.063658997738134</v>
      </c>
      <c r="G235" s="83">
        <f t="shared" si="51"/>
        <v>12.300618132127003</v>
      </c>
      <c r="H235" s="83">
        <f>C$158*(0.6*C$15)*('Product half-life and C flows'!L96/100)</f>
        <v>11.740353875431319</v>
      </c>
      <c r="I235" s="83">
        <f>C$158*0.6*('Product half-life and C flows'!N96/100)</f>
        <v>17.817184576835356</v>
      </c>
      <c r="J235" s="83">
        <f>C$158*0.6*('Product half-life and C flows'!P96/100)</f>
        <v>8.8996925958218558</v>
      </c>
      <c r="K235" s="83">
        <f t="shared" si="52"/>
        <v>21.910476047851219</v>
      </c>
      <c r="L235" s="3"/>
      <c r="M235" s="88"/>
      <c r="N235" s="88"/>
      <c r="O235" s="88"/>
      <c r="P235" s="88"/>
      <c r="Q235" s="88"/>
      <c r="R235" s="88"/>
      <c r="S235" s="88"/>
      <c r="T235" s="88"/>
      <c r="V235">
        <f t="shared" si="36"/>
        <v>77</v>
      </c>
      <c r="W235" s="3">
        <f t="shared" si="49"/>
        <v>34.421866202693664</v>
      </c>
      <c r="X235" s="113">
        <f t="shared" si="37"/>
        <v>147.14231202731511</v>
      </c>
      <c r="Y235" s="98">
        <f t="shared" si="40"/>
        <v>0.59237805412206257</v>
      </c>
      <c r="Z235" s="98">
        <f t="shared" si="41"/>
        <v>96.336070548103805</v>
      </c>
      <c r="AA235" s="98">
        <f t="shared" si="42"/>
        <v>23.063658997738134</v>
      </c>
      <c r="AB235" s="98">
        <f t="shared" si="43"/>
        <v>12.300618132127003</v>
      </c>
      <c r="AC235" s="98">
        <f t="shared" si="44"/>
        <v>11.740353875431319</v>
      </c>
      <c r="AD235" s="98">
        <f t="shared" si="45"/>
        <v>17.817184576835356</v>
      </c>
      <c r="AE235" s="98">
        <f t="shared" si="46"/>
        <v>8.8996925958218558</v>
      </c>
      <c r="AF235" s="98">
        <f t="shared" si="47"/>
        <v>21.910476047851219</v>
      </c>
      <c r="AG235" s="3">
        <f t="shared" si="48"/>
        <v>170.15757872605747</v>
      </c>
    </row>
    <row r="236" spans="1:33" ht="14">
      <c r="A236">
        <f t="shared" si="50"/>
        <v>78</v>
      </c>
      <c r="B236" s="19">
        <f t="shared" si="50"/>
        <v>158</v>
      </c>
      <c r="C236" s="26">
        <f t="shared" si="35"/>
        <v>147.53811026842067</v>
      </c>
      <c r="D236" s="83">
        <f>C$158*(0.4*D$14)*('Product half-life and C flows'!B97/100)</f>
        <v>0.57219948293430867</v>
      </c>
      <c r="E236" s="83">
        <f t="shared" si="39"/>
        <v>96.883010176719537</v>
      </c>
      <c r="F236" s="83">
        <f t="shared" si="51"/>
        <v>23.063658997738134</v>
      </c>
      <c r="G236" s="83">
        <f t="shared" si="51"/>
        <v>12.300618132127003</v>
      </c>
      <c r="H236" s="83">
        <f>C$158*(0.6*C$15)*('Product half-life and C flows'!L97/100)</f>
        <v>11.560899665808144</v>
      </c>
      <c r="I236" s="83">
        <f>C$158*0.6*('Product half-life and C flows'!N97/100)</f>
        <v>17.936940352723887</v>
      </c>
      <c r="J236" s="83">
        <f>C$158*0.6*('Product half-life and C flows'!P97/100)</f>
        <v>8.9595106656962482</v>
      </c>
      <c r="K236" s="83">
        <f t="shared" si="52"/>
        <v>21.910476047851219</v>
      </c>
      <c r="L236" s="3"/>
      <c r="M236" s="88"/>
      <c r="N236" s="88"/>
      <c r="O236" s="88"/>
      <c r="P236" s="88"/>
      <c r="Q236" s="88"/>
      <c r="R236" s="88"/>
      <c r="S236" s="88"/>
      <c r="T236" s="88"/>
      <c r="V236">
        <f t="shared" si="36"/>
        <v>78</v>
      </c>
      <c r="W236" s="3">
        <f t="shared" si="49"/>
        <v>34.617293342393751</v>
      </c>
      <c r="X236" s="113">
        <f t="shared" si="37"/>
        <v>147.53811026842067</v>
      </c>
      <c r="Y236" s="98">
        <f t="shared" si="40"/>
        <v>0.57219948293430867</v>
      </c>
      <c r="Z236" s="98">
        <f t="shared" si="41"/>
        <v>96.883010176719537</v>
      </c>
      <c r="AA236" s="98">
        <f t="shared" si="42"/>
        <v>23.063658997738134</v>
      </c>
      <c r="AB236" s="98">
        <f t="shared" si="43"/>
        <v>12.300618132127003</v>
      </c>
      <c r="AC236" s="98">
        <f t="shared" si="44"/>
        <v>11.560899665808144</v>
      </c>
      <c r="AD236" s="98">
        <f t="shared" si="45"/>
        <v>17.936940352723887</v>
      </c>
      <c r="AE236" s="98">
        <f t="shared" si="46"/>
        <v>8.9595106656962482</v>
      </c>
      <c r="AF236" s="98">
        <f t="shared" si="47"/>
        <v>21.910476047851219</v>
      </c>
      <c r="AG236" s="3">
        <f t="shared" si="48"/>
        <v>170.70463799081296</v>
      </c>
    </row>
    <row r="237" spans="1:33" ht="14">
      <c r="A237">
        <f t="shared" si="50"/>
        <v>79</v>
      </c>
      <c r="B237" s="19">
        <f t="shared" si="50"/>
        <v>159</v>
      </c>
      <c r="C237" s="26">
        <f t="shared" si="35"/>
        <v>147.92675938783603</v>
      </c>
      <c r="D237" s="83">
        <f>C$158*(0.4*D$14)*('Product half-life and C flows'!B98/100)</f>
        <v>0.55270826795826078</v>
      </c>
      <c r="E237" s="83">
        <f t="shared" si="39"/>
        <v>97.410450236139908</v>
      </c>
      <c r="F237" s="83">
        <f t="shared" si="51"/>
        <v>23.063658997738134</v>
      </c>
      <c r="G237" s="83">
        <f t="shared" si="51"/>
        <v>12.300618132127003</v>
      </c>
      <c r="H237" s="83">
        <f>C$158*(0.6*C$15)*('Product half-life and C flows'!L98/100)</f>
        <v>11.384188458116016</v>
      </c>
      <c r="I237" s="83">
        <f>C$158*0.6*('Product half-life and C flows'!N98/100)</f>
        <v>18.054865631990431</v>
      </c>
      <c r="J237" s="83">
        <f>C$158*0.6*('Product half-life and C flows'!P98/100)</f>
        <v>9.0184144015936241</v>
      </c>
      <c r="K237" s="83">
        <f t="shared" si="52"/>
        <v>21.910476047851219</v>
      </c>
      <c r="L237" s="3"/>
      <c r="M237" s="88"/>
      <c r="N237" s="88"/>
      <c r="O237" s="88"/>
      <c r="P237" s="88"/>
      <c r="Q237" s="88"/>
      <c r="R237" s="88"/>
      <c r="S237" s="88"/>
      <c r="T237" s="88"/>
      <c r="V237">
        <f t="shared" si="36"/>
        <v>79</v>
      </c>
      <c r="W237" s="3">
        <f t="shared" si="49"/>
        <v>34.805753085997715</v>
      </c>
      <c r="X237" s="113">
        <f t="shared" si="37"/>
        <v>147.92675938783603</v>
      </c>
      <c r="Y237" s="98">
        <f t="shared" si="40"/>
        <v>0.55270826795826078</v>
      </c>
      <c r="Z237" s="98">
        <f t="shared" si="41"/>
        <v>97.410450236139908</v>
      </c>
      <c r="AA237" s="98">
        <f t="shared" si="42"/>
        <v>23.063658997738134</v>
      </c>
      <c r="AB237" s="98">
        <f t="shared" si="43"/>
        <v>12.300618132127003</v>
      </c>
      <c r="AC237" s="98">
        <f t="shared" si="44"/>
        <v>11.384188458116016</v>
      </c>
      <c r="AD237" s="98">
        <f t="shared" si="45"/>
        <v>18.054865631990431</v>
      </c>
      <c r="AE237" s="98">
        <f t="shared" si="46"/>
        <v>9.0184144015936241</v>
      </c>
      <c r="AF237" s="98">
        <f t="shared" si="47"/>
        <v>21.910476047851219</v>
      </c>
      <c r="AG237" s="3">
        <f t="shared" si="48"/>
        <v>171.23219585770511</v>
      </c>
    </row>
    <row r="238" spans="1:33" ht="14">
      <c r="A238">
        <f t="shared" si="50"/>
        <v>80</v>
      </c>
      <c r="B238" s="19">
        <f t="shared" si="50"/>
        <v>160</v>
      </c>
      <c r="C238" s="26">
        <f t="shared" si="35"/>
        <v>148.30837454278708</v>
      </c>
      <c r="D238" s="83">
        <f>C$158*(0.4*D$14)*('Product half-life and C flows'!B99/100)</f>
        <v>0.53388099531801225</v>
      </c>
      <c r="E238" s="83">
        <f t="shared" si="39"/>
        <v>97.919008937551624</v>
      </c>
      <c r="F238" s="83">
        <f t="shared" si="51"/>
        <v>23.063658997738134</v>
      </c>
      <c r="G238" s="83">
        <f t="shared" si="51"/>
        <v>12.300618132127003</v>
      </c>
      <c r="H238" s="83">
        <f>C$158*(0.6*C$15)*('Product half-life and C flows'!L99/100)</f>
        <v>11.210178324892714</v>
      </c>
      <c r="I238" s="83">
        <f>C$158*0.6*('Product half-life and C flows'!N99/100)</f>
        <v>18.170988394228115</v>
      </c>
      <c r="J238" s="83">
        <f>C$158*0.6*('Product half-life and C flows'!P99/100)</f>
        <v>9.076417779334724</v>
      </c>
      <c r="K238" s="83">
        <f t="shared" si="52"/>
        <v>21.910476047851219</v>
      </c>
      <c r="L238" s="3"/>
      <c r="M238" s="89"/>
      <c r="N238" s="89"/>
      <c r="O238" s="89"/>
      <c r="P238" s="89"/>
      <c r="Q238" s="89"/>
      <c r="R238" s="89"/>
      <c r="S238" s="88"/>
      <c r="T238" s="89"/>
      <c r="V238">
        <f t="shared" si="36"/>
        <v>80</v>
      </c>
      <c r="W238" s="3">
        <f t="shared" si="49"/>
        <v>34.987466326704045</v>
      </c>
      <c r="X238" s="113">
        <f t="shared" si="37"/>
        <v>148.30837454278708</v>
      </c>
      <c r="Y238" s="98">
        <f t="shared" si="40"/>
        <v>0.53388099531801225</v>
      </c>
      <c r="Z238" s="98">
        <f t="shared" si="41"/>
        <v>97.919008937551624</v>
      </c>
      <c r="AA238" s="98">
        <f t="shared" si="42"/>
        <v>23.063658997738134</v>
      </c>
      <c r="AB238" s="98">
        <f t="shared" si="43"/>
        <v>12.300618132127003</v>
      </c>
      <c r="AC238" s="98">
        <f t="shared" si="44"/>
        <v>11.210178324892714</v>
      </c>
      <c r="AD238" s="98">
        <f t="shared" si="45"/>
        <v>18.170988394228115</v>
      </c>
      <c r="AE238" s="98">
        <f t="shared" si="46"/>
        <v>9.076417779334724</v>
      </c>
      <c r="AF238" s="98">
        <f t="shared" si="47"/>
        <v>21.910476047851219</v>
      </c>
      <c r="AG238" s="3">
        <f t="shared" si="48"/>
        <v>171.74087056587231</v>
      </c>
    </row>
    <row r="239" spans="1:33" ht="14">
      <c r="A239">
        <f>A238+1</f>
        <v>81</v>
      </c>
      <c r="B239" s="19">
        <f>B238+1</f>
        <v>161</v>
      </c>
      <c r="C239" s="26">
        <f t="shared" si="35"/>
        <v>148.68306961179661</v>
      </c>
      <c r="D239" s="83">
        <f>C$158*(0.4*D$14)*('Product half-life and C flows'!B100/100)</f>
        <v>0.51569504870022342</v>
      </c>
      <c r="E239" s="85"/>
      <c r="F239" s="85">
        <f>F238</f>
        <v>23.063658997738134</v>
      </c>
      <c r="G239" s="85">
        <f>G238</f>
        <v>12.300618132127003</v>
      </c>
      <c r="H239" s="83">
        <f>C$158*(0.6*C$15)*('Product half-life and C flows'!L100/100)</f>
        <v>11.038827979547648</v>
      </c>
      <c r="I239" s="85">
        <f>C$158*0.6*('Product half-life and C flows'!N100/100)</f>
        <v>18.285336191355054</v>
      </c>
      <c r="J239" s="85">
        <f>C$158*0.6*('Product half-life and C flows'!P100/100)</f>
        <v>9.1335345611164129</v>
      </c>
      <c r="K239" s="85">
        <f>H239</f>
        <v>11.038827979547648</v>
      </c>
      <c r="L239" s="3"/>
      <c r="M239" s="90">
        <f>E$238*(0.4*M$41)*('Product half-life and C flows'!B19/100)</f>
        <v>9.7919008937551624</v>
      </c>
      <c r="N239" s="90">
        <f t="shared" ref="N239:N270" si="53">C$8*(1-EXP(-C$9*$B78))^3</f>
        <v>0</v>
      </c>
      <c r="O239" s="91">
        <f>(E$238*((0.4*O$41))-(E$238*0.03))</f>
        <v>26.438132413138941</v>
      </c>
      <c r="P239" s="91">
        <f>(E$238*((0.6*P$42)))</f>
        <v>14.100337287007433</v>
      </c>
      <c r="Q239" s="91">
        <f>E$238*(0.6*Q$42)*('Product half-life and C flows'!L19/100)</f>
        <v>44.063554021898227</v>
      </c>
      <c r="R239" s="91">
        <f>E$238*0.6*('Product half-life and C flows'!N19/100)</f>
        <v>0</v>
      </c>
      <c r="S239" s="91">
        <f>E$238*0.6*('Product half-life and C flows'!P19/100)</f>
        <v>0</v>
      </c>
      <c r="T239" s="91">
        <f>(Q239*T$43)</f>
        <v>25.116225792481988</v>
      </c>
      <c r="U239" s="17"/>
      <c r="V239">
        <f t="shared" si="36"/>
        <v>81</v>
      </c>
      <c r="W239" s="3">
        <f t="shared" si="49"/>
        <v>35.162649185992045</v>
      </c>
      <c r="X239" s="113">
        <f t="shared" si="37"/>
        <v>148.68306961179661</v>
      </c>
      <c r="Y239" s="98">
        <f t="shared" si="40"/>
        <v>10.307595942455386</v>
      </c>
      <c r="Z239" s="98">
        <f t="shared" si="41"/>
        <v>0</v>
      </c>
      <c r="AA239" s="98">
        <f t="shared" si="42"/>
        <v>49.501791410877075</v>
      </c>
      <c r="AB239" s="98">
        <f t="shared" si="43"/>
        <v>26.400955419134434</v>
      </c>
      <c r="AC239" s="98">
        <f t="shared" si="44"/>
        <v>55.102382001445875</v>
      </c>
      <c r="AD239" s="98">
        <f t="shared" si="45"/>
        <v>18.285336191355054</v>
      </c>
      <c r="AE239" s="98">
        <f t="shared" si="46"/>
        <v>9.1335345611164129</v>
      </c>
      <c r="AF239" s="98">
        <f t="shared" si="47"/>
        <v>36.155053772029632</v>
      </c>
      <c r="AG239" s="3">
        <f t="shared" si="48"/>
        <v>158.42399958392886</v>
      </c>
    </row>
    <row r="240" spans="1:33" ht="14">
      <c r="A240">
        <f t="shared" ref="A240:B255" si="54">A239+1</f>
        <v>82</v>
      </c>
      <c r="B240" s="19">
        <f t="shared" si="54"/>
        <v>162</v>
      </c>
      <c r="C240" s="26">
        <f t="shared" si="35"/>
        <v>149.05095718270039</v>
      </c>
      <c r="D240" s="83">
        <f>C$158*(0.4*D$14)*('Product half-life and C flows'!B101/100)</f>
        <v>0.49812858218621348</v>
      </c>
      <c r="E240" s="85"/>
      <c r="F240" s="85">
        <f t="shared" ref="F240:F303" si="55">F239</f>
        <v>23.063658997738134</v>
      </c>
      <c r="G240" s="85">
        <f>G239</f>
        <v>12.300618132127003</v>
      </c>
      <c r="H240" s="83">
        <f>C$158*(0.6*C$15)*('Product half-life and C flows'!L101/100)</f>
        <v>10.870096766565949</v>
      </c>
      <c r="I240" s="85">
        <f>C$158*0.6*('Product half-life and C flows'!N101/100)</f>
        <v>18.397936154151509</v>
      </c>
      <c r="J240" s="85">
        <f>C$158*0.6*('Product half-life and C flows'!P101/100)</f>
        <v>9.1897782987769805</v>
      </c>
      <c r="K240" s="85">
        <f>K239</f>
        <v>11.038827979547648</v>
      </c>
      <c r="L240" s="3"/>
      <c r="M240" s="90">
        <f>E$238*(0.4*M$41)*('Product half-life and C flows'!B20/100)</f>
        <v>9.4583528025097756</v>
      </c>
      <c r="N240" s="90">
        <f t="shared" si="53"/>
        <v>6.6880163224559471E-3</v>
      </c>
      <c r="O240" s="89">
        <f>O239</f>
        <v>26.438132413138941</v>
      </c>
      <c r="P240" s="89">
        <f>P239</f>
        <v>14.100337287007433</v>
      </c>
      <c r="Q240" s="91">
        <f>E$238*(0.6*Q$42)*('Product half-life and C flows'!L20/100)</f>
        <v>43.390031712086476</v>
      </c>
      <c r="R240" s="91">
        <f>E$238*0.6*('Product half-life and C flows'!N20/100)</f>
        <v>0.44946388808104254</v>
      </c>
      <c r="S240" s="91">
        <f>E$238*0.6*('Product half-life and C flows'!P20/100)</f>
        <v>0.22450743660391737</v>
      </c>
      <c r="T240" s="89">
        <f>T239</f>
        <v>25.116225792481988</v>
      </c>
      <c r="U240" s="17"/>
      <c r="V240">
        <f t="shared" si="36"/>
        <v>82</v>
      </c>
      <c r="W240" s="3">
        <f t="shared" si="49"/>
        <v>35.331512916552313</v>
      </c>
      <c r="X240" s="113">
        <f t="shared" si="37"/>
        <v>149.05095718270039</v>
      </c>
      <c r="Y240" s="98">
        <f t="shared" si="40"/>
        <v>9.956481384695989</v>
      </c>
      <c r="Z240" s="98">
        <f t="shared" si="41"/>
        <v>6.6880163224559471E-3</v>
      </c>
      <c r="AA240" s="98">
        <f t="shared" si="42"/>
        <v>49.501791410877075</v>
      </c>
      <c r="AB240" s="98">
        <f t="shared" si="43"/>
        <v>26.400955419134434</v>
      </c>
      <c r="AC240" s="98">
        <f t="shared" si="44"/>
        <v>54.260128478652426</v>
      </c>
      <c r="AD240" s="98">
        <f t="shared" si="45"/>
        <v>18.84740004223255</v>
      </c>
      <c r="AE240" s="98">
        <f t="shared" si="46"/>
        <v>9.4142857353808971</v>
      </c>
      <c r="AF240" s="98">
        <f t="shared" si="47"/>
        <v>36.155053772029632</v>
      </c>
      <c r="AG240" s="3">
        <f t="shared" si="48"/>
        <v>158.43124910259985</v>
      </c>
    </row>
    <row r="241" spans="1:33" ht="14">
      <c r="A241">
        <f t="shared" si="54"/>
        <v>83</v>
      </c>
      <c r="B241" s="19">
        <f t="shared" si="54"/>
        <v>163</v>
      </c>
      <c r="C241" s="26">
        <f t="shared" si="35"/>
        <v>149.41214854224799</v>
      </c>
      <c r="D241" s="83">
        <f>C$158*(0.4*D$14)*('Product half-life and C flows'!B102/100)</f>
        <v>0.48116049400948885</v>
      </c>
      <c r="E241" s="85"/>
      <c r="F241" s="85">
        <f t="shared" si="55"/>
        <v>23.063658997738134</v>
      </c>
      <c r="G241" s="85">
        <f t="shared" ref="G241:G304" si="56">G240</f>
        <v>12.300618132127003</v>
      </c>
      <c r="H241" s="83">
        <f>C$158*(0.6*C$15)*('Product half-life and C flows'!L102/100)</f>
        <v>10.703944651862347</v>
      </c>
      <c r="I241" s="85">
        <f>C$158*0.6*('Product half-life and C flows'!N102/100)</f>
        <v>18.508814998697048</v>
      </c>
      <c r="J241" s="85">
        <f>C$158*0.6*('Product half-life and C flows'!P102/100)</f>
        <v>9.2451623370115108</v>
      </c>
      <c r="K241" s="85">
        <f t="shared" ref="K241:K304" si="57">K240</f>
        <v>11.038827979547648</v>
      </c>
      <c r="L241" s="3"/>
      <c r="M241" s="90">
        <f>E$238*(0.4*M$41)*('Product half-life and C flows'!B21/100)</f>
        <v>9.1361665837323169</v>
      </c>
      <c r="N241" s="90">
        <f t="shared" si="53"/>
        <v>5.0418532610901234E-2</v>
      </c>
      <c r="O241" s="89">
        <f t="shared" ref="O241:O304" si="58">O240</f>
        <v>26.438132413138941</v>
      </c>
      <c r="P241" s="89">
        <f t="shared" ref="P241:P304" si="59">P240</f>
        <v>14.100337287007433</v>
      </c>
      <c r="Q241" s="91">
        <f>E$238*(0.6*Q$42)*('Product half-life and C flows'!L21/100)</f>
        <v>42.726804357184371</v>
      </c>
      <c r="R241" s="91">
        <f>E$238*0.6*('Product half-life and C flows'!N21/100)</f>
        <v>0.89205760958571279</v>
      </c>
      <c r="S241" s="91">
        <f>E$238*0.6*('Product half-life and C flows'!P21/100)</f>
        <v>0.4455832215712851</v>
      </c>
      <c r="T241" s="89">
        <f t="shared" ref="T241:T304" si="60">T240</f>
        <v>25.116225792481988</v>
      </c>
      <c r="U241" s="17"/>
      <c r="V241">
        <f t="shared" si="36"/>
        <v>83</v>
      </c>
      <c r="W241" s="3">
        <f t="shared" si="49"/>
        <v>35.49426382918903</v>
      </c>
      <c r="X241" s="113">
        <f t="shared" si="37"/>
        <v>149.41214854224799</v>
      </c>
      <c r="Y241" s="98">
        <f t="shared" si="40"/>
        <v>9.6173270777418054</v>
      </c>
      <c r="Z241" s="98">
        <f t="shared" si="41"/>
        <v>5.0418532610901234E-2</v>
      </c>
      <c r="AA241" s="98">
        <f t="shared" si="42"/>
        <v>49.501791410877075</v>
      </c>
      <c r="AB241" s="98">
        <f t="shared" si="43"/>
        <v>26.400955419134434</v>
      </c>
      <c r="AC241" s="98">
        <f t="shared" si="44"/>
        <v>53.430749009046721</v>
      </c>
      <c r="AD241" s="98">
        <f t="shared" si="45"/>
        <v>19.400872608282761</v>
      </c>
      <c r="AE241" s="98">
        <f t="shared" si="46"/>
        <v>9.6907455585827957</v>
      </c>
      <c r="AF241" s="98">
        <f t="shared" si="47"/>
        <v>36.155053772029632</v>
      </c>
      <c r="AG241" s="3">
        <f t="shared" si="48"/>
        <v>158.47553253853465</v>
      </c>
    </row>
    <row r="242" spans="1:33" ht="14">
      <c r="A242">
        <f t="shared" si="54"/>
        <v>84</v>
      </c>
      <c r="B242" s="19">
        <f t="shared" si="54"/>
        <v>164</v>
      </c>
      <c r="C242" s="26">
        <f t="shared" si="35"/>
        <v>149.76675366721204</v>
      </c>
      <c r="D242" s="83">
        <f>C$158*(0.4*D$14)*('Product half-life and C flows'!B103/100)</f>
        <v>0.46477040120719104</v>
      </c>
      <c r="E242" s="85"/>
      <c r="F242" s="85">
        <f t="shared" si="55"/>
        <v>23.063658997738134</v>
      </c>
      <c r="G242" s="85">
        <f t="shared" si="56"/>
        <v>12.300618132127003</v>
      </c>
      <c r="H242" s="83">
        <f>C$158*(0.6*C$15)*('Product half-life and C flows'!L103/100)</f>
        <v>10.540332213282458</v>
      </c>
      <c r="I242" s="85">
        <f>C$158*0.6*('Product half-life and C flows'!N103/100)</f>
        <v>18.617999032709363</v>
      </c>
      <c r="J242" s="85">
        <f>C$158*0.6*('Product half-life and C flows'!P103/100)</f>
        <v>9.2996998165381424</v>
      </c>
      <c r="K242" s="85">
        <f t="shared" si="57"/>
        <v>11.038827979547648</v>
      </c>
      <c r="L242" s="3"/>
      <c r="M242" s="90">
        <f>E$238*(0.4*M$41)*('Product half-life and C flows'!B22/100)</f>
        <v>8.8249552103362419</v>
      </c>
      <c r="N242" s="90">
        <f t="shared" si="53"/>
        <v>0.16041335764575598</v>
      </c>
      <c r="O242" s="89">
        <f t="shared" si="58"/>
        <v>26.438132413138941</v>
      </c>
      <c r="P242" s="89">
        <f t="shared" si="59"/>
        <v>14.100337287007433</v>
      </c>
      <c r="Q242" s="91">
        <f>E$238*(0.6*Q$42)*('Product half-life and C flows'!L22/100)</f>
        <v>42.07371459626259</v>
      </c>
      <c r="R242" s="91">
        <f>E$238*0.6*('Product half-life and C flows'!N22/100)</f>
        <v>1.3278861767075159</v>
      </c>
      <c r="S242" s="91">
        <f>E$238*0.6*('Product half-life and C flows'!P22/100)</f>
        <v>0.66327980854521273</v>
      </c>
      <c r="T242" s="89">
        <f t="shared" si="60"/>
        <v>25.116225792481988</v>
      </c>
      <c r="U242" s="17"/>
      <c r="V242">
        <f t="shared" si="36"/>
        <v>84</v>
      </c>
      <c r="W242" s="3">
        <f t="shared" si="49"/>
        <v>35.651103241394253</v>
      </c>
      <c r="X242" s="113">
        <f t="shared" si="37"/>
        <v>149.76675366721204</v>
      </c>
      <c r="Y242" s="98">
        <f t="shared" si="40"/>
        <v>9.2897256115434335</v>
      </c>
      <c r="Z242" s="98">
        <f t="shared" si="41"/>
        <v>0.16041335764575598</v>
      </c>
      <c r="AA242" s="98">
        <f t="shared" si="42"/>
        <v>49.501791410877075</v>
      </c>
      <c r="AB242" s="98">
        <f t="shared" si="43"/>
        <v>26.400955419134434</v>
      </c>
      <c r="AC242" s="98">
        <f t="shared" si="44"/>
        <v>52.614046809545044</v>
      </c>
      <c r="AD242" s="98">
        <f t="shared" si="45"/>
        <v>19.945885209416879</v>
      </c>
      <c r="AE242" s="98">
        <f t="shared" si="46"/>
        <v>9.9629796250833547</v>
      </c>
      <c r="AF242" s="98">
        <f t="shared" si="47"/>
        <v>36.155053772029632</v>
      </c>
      <c r="AG242" s="3">
        <f t="shared" si="48"/>
        <v>158.58607183170255</v>
      </c>
    </row>
    <row r="243" spans="1:33" ht="14">
      <c r="A243">
        <f t="shared" si="54"/>
        <v>85</v>
      </c>
      <c r="B243" s="19">
        <f t="shared" si="54"/>
        <v>165</v>
      </c>
      <c r="C243" s="26">
        <f t="shared" si="35"/>
        <v>150.11488121693054</v>
      </c>
      <c r="D243" s="83">
        <f>C$158*(0.4*D$14)*('Product half-life and C flows'!B104/100)</f>
        <v>0.44893861513500172</v>
      </c>
      <c r="E243" s="85"/>
      <c r="F243" s="85">
        <f t="shared" si="55"/>
        <v>23.063658997738134</v>
      </c>
      <c r="G243" s="85">
        <f t="shared" si="56"/>
        <v>12.300618132127003</v>
      </c>
      <c r="H243" s="83">
        <f>C$158*(0.6*C$15)*('Product half-life and C flows'!L104/100)</f>
        <v>10.379220631249263</v>
      </c>
      <c r="I243" s="85">
        <f>C$158*0.6*('Product half-life and C flows'!N104/100)</f>
        <v>18.725514161786183</v>
      </c>
      <c r="J243" s="85">
        <f>C$158*0.6*('Product half-life and C flows'!P104/100)</f>
        <v>9.3534036772158728</v>
      </c>
      <c r="K243" s="85">
        <f t="shared" si="57"/>
        <v>11.038827979547648</v>
      </c>
      <c r="L243" s="3"/>
      <c r="M243" s="90">
        <f>E$238*(0.4*M$41)*('Product half-life and C flows'!B23/100)</f>
        <v>8.5243448387983776</v>
      </c>
      <c r="N243" s="90">
        <f t="shared" si="53"/>
        <v>0.35859718815808966</v>
      </c>
      <c r="O243" s="89">
        <f t="shared" si="58"/>
        <v>26.438132413138941</v>
      </c>
      <c r="P243" s="89">
        <f t="shared" si="59"/>
        <v>14.100337287007433</v>
      </c>
      <c r="Q243" s="91">
        <f>E$238*(0.6*Q$42)*('Product half-life and C flows'!L23/100)</f>
        <v>41.43060747369249</v>
      </c>
      <c r="R243" s="91">
        <f>E$238*0.6*('Product half-life and C flows'!N23/100)</f>
        <v>1.7570529965026274</v>
      </c>
      <c r="S243" s="91">
        <f>E$238*0.6*('Product half-life and C flows'!P23/100)</f>
        <v>0.87764884940191168</v>
      </c>
      <c r="T243" s="89">
        <f t="shared" si="60"/>
        <v>25.116225792481988</v>
      </c>
      <c r="U243" s="17"/>
      <c r="V243">
        <f t="shared" si="36"/>
        <v>85</v>
      </c>
      <c r="W243" s="3">
        <f t="shared" si="49"/>
        <v>35.802227445467089</v>
      </c>
      <c r="X243" s="113">
        <f t="shared" si="37"/>
        <v>150.11488121693054</v>
      </c>
      <c r="Y243" s="98">
        <f t="shared" si="40"/>
        <v>8.9732834539333801</v>
      </c>
      <c r="Z243" s="98">
        <f t="shared" si="41"/>
        <v>0.35859718815808966</v>
      </c>
      <c r="AA243" s="98">
        <f t="shared" si="42"/>
        <v>49.501791410877075</v>
      </c>
      <c r="AB243" s="98">
        <f t="shared" si="43"/>
        <v>26.400955419134434</v>
      </c>
      <c r="AC243" s="98">
        <f t="shared" si="44"/>
        <v>51.809828104941751</v>
      </c>
      <c r="AD243" s="98">
        <f t="shared" si="45"/>
        <v>20.482567158288809</v>
      </c>
      <c r="AE243" s="98">
        <f t="shared" si="46"/>
        <v>10.231052526617784</v>
      </c>
      <c r="AF243" s="98">
        <f t="shared" si="47"/>
        <v>36.155053772029632</v>
      </c>
      <c r="AG243" s="3">
        <f t="shared" si="48"/>
        <v>158.78479180801796</v>
      </c>
    </row>
    <row r="244" spans="1:33" ht="14">
      <c r="A244">
        <f t="shared" si="54"/>
        <v>86</v>
      </c>
      <c r="B244" s="19">
        <f t="shared" si="54"/>
        <v>166</v>
      </c>
      <c r="C244" s="26">
        <f t="shared" si="35"/>
        <v>150.45663852721071</v>
      </c>
      <c r="D244" s="83">
        <f>C$158*(0.4*D$14)*('Product half-life and C flows'!B105/100)</f>
        <v>0.43364611781610757</v>
      </c>
      <c r="E244" s="85"/>
      <c r="F244" s="85">
        <f t="shared" si="55"/>
        <v>23.063658997738134</v>
      </c>
      <c r="G244" s="85">
        <f t="shared" si="56"/>
        <v>12.300618132127003</v>
      </c>
      <c r="H244" s="83">
        <f>C$158*(0.6*C$15)*('Product half-life and C flows'!L105/100)</f>
        <v>10.22057167955257</v>
      </c>
      <c r="I244" s="85">
        <f>C$158*0.6*('Product half-life and C flows'!N105/100)</f>
        <v>18.831385895551776</v>
      </c>
      <c r="J244" s="85">
        <f>C$158*0.6*('Product half-life and C flows'!P105/100)</f>
        <v>9.4062866611147697</v>
      </c>
      <c r="K244" s="85">
        <f t="shared" si="57"/>
        <v>11.038827979547648</v>
      </c>
      <c r="L244" s="3"/>
      <c r="M244" s="90">
        <f>E$238*(0.4*M$41)*('Product half-life and C flows'!B24/100)</f>
        <v>8.2339743600783599</v>
      </c>
      <c r="N244" s="90">
        <f t="shared" si="53"/>
        <v>0.66078557389625781</v>
      </c>
      <c r="O244" s="89">
        <f t="shared" si="58"/>
        <v>26.438132413138941</v>
      </c>
      <c r="P244" s="89">
        <f t="shared" si="59"/>
        <v>14.100337287007433</v>
      </c>
      <c r="Q244" s="91">
        <f>E$238*(0.6*Q$42)*('Product half-life and C flows'!L24/100)</f>
        <v>40.797330402380503</v>
      </c>
      <c r="R244" s="91">
        <f>E$238*0.6*('Product half-life and C flows'!N24/100)</f>
        <v>2.1796598954248299</v>
      </c>
      <c r="S244" s="91">
        <f>E$238*0.6*('Product half-life and C flows'!P24/100)</f>
        <v>1.088741206505909</v>
      </c>
      <c r="T244" s="89">
        <f t="shared" si="60"/>
        <v>25.116225792481988</v>
      </c>
      <c r="U244" s="17"/>
      <c r="V244">
        <f t="shared" si="36"/>
        <v>86</v>
      </c>
      <c r="W244" s="3">
        <f t="shared" si="49"/>
        <v>35.947827694213267</v>
      </c>
      <c r="X244" s="113">
        <f t="shared" si="37"/>
        <v>150.45663852721071</v>
      </c>
      <c r="Y244" s="98">
        <f t="shared" si="40"/>
        <v>8.6676204778944683</v>
      </c>
      <c r="Z244" s="98">
        <f t="shared" si="41"/>
        <v>0.66078557389625781</v>
      </c>
      <c r="AA244" s="98">
        <f t="shared" si="42"/>
        <v>49.501791410877075</v>
      </c>
      <c r="AB244" s="98">
        <f t="shared" si="43"/>
        <v>26.400955419134434</v>
      </c>
      <c r="AC244" s="98">
        <f t="shared" si="44"/>
        <v>51.017902081933073</v>
      </c>
      <c r="AD244" s="98">
        <f t="shared" si="45"/>
        <v>21.011045790976606</v>
      </c>
      <c r="AE244" s="98">
        <f t="shared" si="46"/>
        <v>10.495027867620678</v>
      </c>
      <c r="AF244" s="98">
        <f t="shared" si="47"/>
        <v>36.155053772029632</v>
      </c>
      <c r="AG244" s="3">
        <f t="shared" si="48"/>
        <v>159.08750814443812</v>
      </c>
    </row>
    <row r="245" spans="1:33" ht="14">
      <c r="A245">
        <f t="shared" si="54"/>
        <v>87</v>
      </c>
      <c r="B245" s="19">
        <f t="shared" si="54"/>
        <v>167</v>
      </c>
      <c r="C245" s="26">
        <f t="shared" si="35"/>
        <v>150.79213160552499</v>
      </c>
      <c r="D245" s="83">
        <f>C$158*(0.4*D$14)*('Product half-life and C flows'!B106/100)</f>
        <v>0.4188745390958023</v>
      </c>
      <c r="E245" s="85"/>
      <c r="F245" s="85">
        <f t="shared" si="55"/>
        <v>23.063658997738134</v>
      </c>
      <c r="G245" s="85">
        <f t="shared" si="56"/>
        <v>12.300618132127003</v>
      </c>
      <c r="H245" s="83">
        <f>C$158*(0.6*C$15)*('Product half-life and C flows'!L106/100)</f>
        <v>10.064347716279256</v>
      </c>
      <c r="I245" s="85">
        <f>C$158*0.6*('Product half-life and C flows'!N106/100)</f>
        <v>18.935639353709501</v>
      </c>
      <c r="J245" s="85">
        <f>C$158*0.6*('Product half-life and C flows'!P106/100)</f>
        <v>9.4583613155392072</v>
      </c>
      <c r="K245" s="85">
        <f t="shared" si="57"/>
        <v>11.038827979547648</v>
      </c>
      <c r="L245" s="3"/>
      <c r="M245" s="90">
        <f>E$238*(0.4*M$41)*('Product half-life and C flows'!B25/100)</f>
        <v>7.9534949658353948</v>
      </c>
      <c r="N245" s="90">
        <f t="shared" si="53"/>
        <v>1.0777084645502373</v>
      </c>
      <c r="O245" s="89">
        <f t="shared" si="58"/>
        <v>26.438132413138941</v>
      </c>
      <c r="P245" s="89">
        <f t="shared" si="59"/>
        <v>14.100337287007433</v>
      </c>
      <c r="Q245" s="91">
        <f>E$238*(0.6*Q$42)*('Product half-life and C flows'!L25/100)</f>
        <v>40.173733127564475</v>
      </c>
      <c r="R245" s="91">
        <f>E$238*0.6*('Product half-life and C flows'!N25/100)</f>
        <v>2.5958071434853918</v>
      </c>
      <c r="S245" s="91">
        <f>E$238*0.6*('Product half-life and C flows'!P25/100)</f>
        <v>1.2966069647779181</v>
      </c>
      <c r="T245" s="89">
        <f t="shared" si="60"/>
        <v>25.116225792481988</v>
      </c>
      <c r="U245" s="17"/>
      <c r="V245">
        <f t="shared" si="36"/>
        <v>87</v>
      </c>
      <c r="W245" s="3">
        <f t="shared" si="49"/>
        <v>36.088090202413362</v>
      </c>
      <c r="X245" s="113">
        <f t="shared" si="37"/>
        <v>150.79213160552499</v>
      </c>
      <c r="Y245" s="98">
        <f t="shared" si="40"/>
        <v>8.3723695049311964</v>
      </c>
      <c r="Z245" s="98">
        <f t="shared" si="41"/>
        <v>1.0777084645502373</v>
      </c>
      <c r="AA245" s="98">
        <f t="shared" si="42"/>
        <v>49.501791410877075</v>
      </c>
      <c r="AB245" s="98">
        <f t="shared" si="43"/>
        <v>26.400955419134434</v>
      </c>
      <c r="AC245" s="98">
        <f t="shared" si="44"/>
        <v>50.238080843843733</v>
      </c>
      <c r="AD245" s="98">
        <f t="shared" si="45"/>
        <v>21.531446497194892</v>
      </c>
      <c r="AE245" s="98">
        <f t="shared" si="46"/>
        <v>10.754968280317126</v>
      </c>
      <c r="AF245" s="98">
        <f t="shared" si="47"/>
        <v>36.155053772029632</v>
      </c>
      <c r="AG245" s="3">
        <f t="shared" si="48"/>
        <v>159.50495091591748</v>
      </c>
    </row>
    <row r="246" spans="1:33" ht="14">
      <c r="A246">
        <f t="shared" si="54"/>
        <v>88</v>
      </c>
      <c r="B246" s="19">
        <f t="shared" si="54"/>
        <v>168</v>
      </c>
      <c r="C246" s="26">
        <f t="shared" si="35"/>
        <v>151.12146512743382</v>
      </c>
      <c r="D246" s="83">
        <f>C$158*(0.4*D$14)*('Product half-life and C flows'!B107/100)</f>
        <v>0.40460613457428574</v>
      </c>
      <c r="E246" s="85"/>
      <c r="F246" s="85">
        <f t="shared" si="55"/>
        <v>23.063658997738134</v>
      </c>
      <c r="G246" s="85">
        <f t="shared" si="56"/>
        <v>12.300618132127003</v>
      </c>
      <c r="H246" s="83">
        <f>C$158*(0.6*C$15)*('Product half-life and C flows'!L107/100)</f>
        <v>9.9105116748821338</v>
      </c>
      <c r="I246" s="85">
        <f>C$158*0.6*('Product half-life and C flows'!N107/100)</f>
        <v>19.038299272001847</v>
      </c>
      <c r="J246" s="85">
        <f>C$158*0.6*('Product half-life and C flows'!P107/100)</f>
        <v>9.5096399960049158</v>
      </c>
      <c r="K246" s="85">
        <f t="shared" si="57"/>
        <v>11.038827979547648</v>
      </c>
      <c r="L246" s="3"/>
      <c r="M246" s="90">
        <f>E$238*(0.4*M$41)*('Product half-life and C flows'!B26/100)</f>
        <v>7.6825697294212816</v>
      </c>
      <c r="N246" s="90">
        <f t="shared" si="53"/>
        <v>1.6158903296459175</v>
      </c>
      <c r="O246" s="89">
        <f t="shared" si="58"/>
        <v>26.438132413138941</v>
      </c>
      <c r="P246" s="89">
        <f t="shared" si="59"/>
        <v>14.100337287007433</v>
      </c>
      <c r="Q246" s="91">
        <f>E$238*(0.6*Q$42)*('Product half-life and C flows'!L26/100)</f>
        <v>39.559667691163426</v>
      </c>
      <c r="R246" s="91">
        <f>E$238*0.6*('Product half-life and C flows'!N26/100)</f>
        <v>3.0055934780436897</v>
      </c>
      <c r="S246" s="91">
        <f>E$238*0.6*('Product half-life and C flows'!P26/100)</f>
        <v>1.5012954435782668</v>
      </c>
      <c r="T246" s="89">
        <f t="shared" si="60"/>
        <v>25.116225792481988</v>
      </c>
      <c r="U246" s="17"/>
      <c r="V246">
        <f t="shared" si="36"/>
        <v>88</v>
      </c>
      <c r="W246" s="3">
        <f t="shared" si="49"/>
        <v>36.223196162389392</v>
      </c>
      <c r="X246" s="113">
        <f t="shared" si="37"/>
        <v>151.12146512743382</v>
      </c>
      <c r="Y246" s="98">
        <f t="shared" si="40"/>
        <v>8.0871758639955669</v>
      </c>
      <c r="Z246" s="98">
        <f t="shared" si="41"/>
        <v>1.6158903296459175</v>
      </c>
      <c r="AA246" s="98">
        <f t="shared" si="42"/>
        <v>49.501791410877075</v>
      </c>
      <c r="AB246" s="98">
        <f t="shared" si="43"/>
        <v>26.400955419134434</v>
      </c>
      <c r="AC246" s="98">
        <f t="shared" si="44"/>
        <v>49.470179366045556</v>
      </c>
      <c r="AD246" s="98">
        <f t="shared" si="45"/>
        <v>22.043892750045536</v>
      </c>
      <c r="AE246" s="98">
        <f t="shared" si="46"/>
        <v>11.010935439583182</v>
      </c>
      <c r="AF246" s="98">
        <f t="shared" si="47"/>
        <v>36.155053772029632</v>
      </c>
      <c r="AG246" s="3">
        <f t="shared" si="48"/>
        <v>160.04364471533171</v>
      </c>
    </row>
    <row r="247" spans="1:33" ht="14">
      <c r="A247">
        <f t="shared" si="54"/>
        <v>89</v>
      </c>
      <c r="B247" s="19">
        <f t="shared" si="54"/>
        <v>169</v>
      </c>
      <c r="C247" s="26">
        <f t="shared" si="35"/>
        <v>151.44474243417059</v>
      </c>
      <c r="D247" s="83">
        <f>C$158*(0.4*D$14)*('Product half-life and C flows'!B108/100)</f>
        <v>0.39082376429115756</v>
      </c>
      <c r="E247" s="85"/>
      <c r="F247" s="85">
        <f t="shared" si="55"/>
        <v>23.063658997738134</v>
      </c>
      <c r="G247" s="85">
        <f t="shared" si="56"/>
        <v>12.300618132127003</v>
      </c>
      <c r="H247" s="83">
        <f>C$158*(0.6*C$15)*('Product half-life and C flows'!L108/100)</f>
        <v>9.7590270553853564</v>
      </c>
      <c r="I247" s="85">
        <f>C$158*0.6*('Product half-life and C flows'!N108/100)</f>
        <v>19.139390008079364</v>
      </c>
      <c r="J247" s="85">
        <f>C$158*0.6*('Product half-life and C flows'!P108/100)</f>
        <v>9.5601348691705077</v>
      </c>
      <c r="K247" s="85">
        <f t="shared" si="57"/>
        <v>11.038827979547648</v>
      </c>
      <c r="L247" s="3"/>
      <c r="M247" s="90">
        <f>E$238*(0.4*M$41)*('Product half-life and C flows'!B27/100)</f>
        <v>7.4208732011463372</v>
      </c>
      <c r="N247" s="90">
        <f t="shared" si="53"/>
        <v>2.2784052810626787</v>
      </c>
      <c r="O247" s="89">
        <f t="shared" si="58"/>
        <v>26.438132413138941</v>
      </c>
      <c r="P247" s="89">
        <f t="shared" si="59"/>
        <v>14.100337287007433</v>
      </c>
      <c r="Q247" s="91">
        <f>E$238*(0.6*Q$42)*('Product half-life and C flows'!L27/100)</f>
        <v>38.954988396672199</v>
      </c>
      <c r="R247" s="91">
        <f>E$238*0.6*('Product half-life and C flows'!N27/100)</f>
        <v>3.4091161272341695</v>
      </c>
      <c r="S247" s="91">
        <f>E$238*0.6*('Product half-life and C flows'!P27/100)</f>
        <v>1.7028552084086761</v>
      </c>
      <c r="T247" s="89">
        <f t="shared" si="60"/>
        <v>25.116225792481988</v>
      </c>
      <c r="U247" s="17"/>
      <c r="V247">
        <f t="shared" si="36"/>
        <v>89</v>
      </c>
      <c r="W247" s="3">
        <f t="shared" si="49"/>
        <v>36.353321772133377</v>
      </c>
      <c r="X247" s="113">
        <f t="shared" si="37"/>
        <v>151.44474243417059</v>
      </c>
      <c r="Y247" s="98">
        <f t="shared" si="40"/>
        <v>7.8116969654374948</v>
      </c>
      <c r="Z247" s="98">
        <f t="shared" si="41"/>
        <v>2.2784052810626787</v>
      </c>
      <c r="AA247" s="98">
        <f t="shared" si="42"/>
        <v>49.501791410877075</v>
      </c>
      <c r="AB247" s="98">
        <f t="shared" si="43"/>
        <v>26.400955419134434</v>
      </c>
      <c r="AC247" s="98">
        <f t="shared" si="44"/>
        <v>48.714015452057552</v>
      </c>
      <c r="AD247" s="98">
        <f t="shared" si="45"/>
        <v>22.548506135313534</v>
      </c>
      <c r="AE247" s="98">
        <f t="shared" si="46"/>
        <v>11.262990077579184</v>
      </c>
      <c r="AF247" s="98">
        <f t="shared" si="47"/>
        <v>36.155053772029632</v>
      </c>
      <c r="AG247" s="3">
        <f t="shared" si="48"/>
        <v>160.70666377602447</v>
      </c>
    </row>
    <row r="248" spans="1:33" ht="14">
      <c r="A248">
        <f t="shared" si="54"/>
        <v>90</v>
      </c>
      <c r="B248" s="19">
        <f t="shared" si="54"/>
        <v>170</v>
      </c>
      <c r="C248" s="26">
        <f t="shared" si="35"/>
        <v>151.76206553132781</v>
      </c>
      <c r="D248" s="83">
        <f>C$158*(0.4*D$14)*('Product half-life and C flows'!B109/100)</f>
        <v>0.37751087213598994</v>
      </c>
      <c r="E248" s="85"/>
      <c r="F248" s="85">
        <f t="shared" si="55"/>
        <v>23.063658997738134</v>
      </c>
      <c r="G248" s="85">
        <f t="shared" si="56"/>
        <v>12.300618132127003</v>
      </c>
      <c r="H248" s="83">
        <f>C$158*(0.6*C$15)*('Product half-life and C flows'!L109/100)</f>
        <v>9.6098579157242199</v>
      </c>
      <c r="I248" s="85">
        <f>C$158*0.6*('Product half-life and C flows'!N109/100)</f>
        <v>19.23893554727989</v>
      </c>
      <c r="J248" s="85">
        <f>C$158*0.6*('Product half-life and C flows'!P109/100)</f>
        <v>9.6098579157242199</v>
      </c>
      <c r="K248" s="85">
        <f t="shared" si="57"/>
        <v>11.038827979547648</v>
      </c>
      <c r="L248" s="3"/>
      <c r="M248" s="90">
        <f>E$238*(0.4*M$41)*('Product half-life and C flows'!B28/100)</f>
        <v>7.1680910173320589</v>
      </c>
      <c r="N248" s="90">
        <f t="shared" si="53"/>
        <v>3.0655233705876594</v>
      </c>
      <c r="O248" s="89">
        <f t="shared" si="58"/>
        <v>26.438132413138941</v>
      </c>
      <c r="P248" s="89">
        <f t="shared" si="59"/>
        <v>14.100337287007433</v>
      </c>
      <c r="Q248" s="91">
        <f>E$238*(0.6*Q$42)*('Product half-life and C flows'!L28/100)</f>
        <v>38.359551774592695</v>
      </c>
      <c r="R248" s="91">
        <f>E$238*0.6*('Product half-life and C flows'!N28/100)</f>
        <v>3.8064708330352239</v>
      </c>
      <c r="S248" s="91">
        <f>E$238*0.6*('Product half-life and C flows'!P28/100)</f>
        <v>1.9013340824351768</v>
      </c>
      <c r="T248" s="89">
        <f t="shared" si="60"/>
        <v>25.116225792481988</v>
      </c>
      <c r="U248" s="17"/>
      <c r="V248">
        <f t="shared" si="36"/>
        <v>90</v>
      </c>
      <c r="W248" s="3">
        <f t="shared" si="49"/>
        <v>36.47863827458491</v>
      </c>
      <c r="X248" s="113">
        <f t="shared" si="37"/>
        <v>151.76206553132781</v>
      </c>
      <c r="Y248" s="98">
        <f t="shared" si="40"/>
        <v>7.545601889468049</v>
      </c>
      <c r="Z248" s="98">
        <f t="shared" si="41"/>
        <v>3.0655233705876594</v>
      </c>
      <c r="AA248" s="98">
        <f t="shared" si="42"/>
        <v>49.501791410877075</v>
      </c>
      <c r="AB248" s="98">
        <f t="shared" si="43"/>
        <v>26.400955419134434</v>
      </c>
      <c r="AC248" s="98">
        <f t="shared" si="44"/>
        <v>47.969409690316915</v>
      </c>
      <c r="AD248" s="98">
        <f t="shared" si="45"/>
        <v>23.045406380315114</v>
      </c>
      <c r="AE248" s="98">
        <f t="shared" si="46"/>
        <v>11.511191998159397</v>
      </c>
      <c r="AF248" s="98">
        <f t="shared" si="47"/>
        <v>36.155053772029632</v>
      </c>
      <c r="AG248" s="3">
        <f t="shared" si="48"/>
        <v>161.49427826939061</v>
      </c>
    </row>
    <row r="249" spans="1:33" ht="14">
      <c r="A249">
        <f t="shared" si="54"/>
        <v>91</v>
      </c>
      <c r="B249" s="19">
        <f t="shared" si="54"/>
        <v>171</v>
      </c>
      <c r="C249" s="26">
        <f t="shared" si="35"/>
        <v>152.07353508858631</v>
      </c>
      <c r="D249" s="83">
        <f>C$158*(0.4*D$14)*('Product half-life and C flows'!B110/100)</f>
        <v>0.36465146596025488</v>
      </c>
      <c r="E249" s="85"/>
      <c r="F249" s="85">
        <f t="shared" si="55"/>
        <v>23.063658997738134</v>
      </c>
      <c r="G249" s="85">
        <f t="shared" si="56"/>
        <v>12.300618132127003</v>
      </c>
      <c r="H249" s="83">
        <f>C$158*(0.6*C$15)*('Product half-life and C flows'!L110/100)</f>
        <v>9.4629688632173643</v>
      </c>
      <c r="I249" s="85">
        <f>C$158*0.6*('Product half-life and C flows'!N110/100)</f>
        <v>19.336959508319467</v>
      </c>
      <c r="J249" s="85">
        <f>C$158*0.6*('Product half-life and C flows'!P110/100)</f>
        <v>9.6588209332265063</v>
      </c>
      <c r="K249" s="85">
        <f t="shared" si="57"/>
        <v>11.038827979547648</v>
      </c>
      <c r="L249" s="3"/>
      <c r="M249" s="90">
        <f>E$238*(0.4*M$41)*('Product half-life and C flows'!B29/100)</f>
        <v>6.9239195226808912</v>
      </c>
      <c r="N249" s="90">
        <f t="shared" si="53"/>
        <v>3.9752622463725169</v>
      </c>
      <c r="O249" s="89">
        <f t="shared" si="58"/>
        <v>26.438132413138941</v>
      </c>
      <c r="P249" s="89">
        <f t="shared" si="59"/>
        <v>14.100337287007433</v>
      </c>
      <c r="Q249" s="91">
        <f>E$238*(0.6*Q$42)*('Product half-life and C flows'!L29/100)</f>
        <v>37.773216548393563</v>
      </c>
      <c r="R249" s="91">
        <f>E$238*0.6*('Product half-life and C flows'!N29/100)</f>
        <v>4.1977518739854425</v>
      </c>
      <c r="S249" s="91">
        <f>E$238*0.6*('Product half-life and C flows'!P29/100)</f>
        <v>2.0967791578348867</v>
      </c>
      <c r="T249" s="89">
        <f t="shared" si="60"/>
        <v>25.116225792481988</v>
      </c>
      <c r="U249" s="17"/>
      <c r="V249">
        <f t="shared" si="36"/>
        <v>91</v>
      </c>
      <c r="W249" s="3">
        <f t="shared" si="49"/>
        <v>36.599312006760897</v>
      </c>
      <c r="X249" s="113">
        <f t="shared" si="37"/>
        <v>152.07353508858631</v>
      </c>
      <c r="Y249" s="98">
        <f t="shared" si="40"/>
        <v>7.2885709886411458</v>
      </c>
      <c r="Z249" s="98">
        <f t="shared" si="41"/>
        <v>3.9752622463725169</v>
      </c>
      <c r="AA249" s="98">
        <f t="shared" si="42"/>
        <v>49.501791410877075</v>
      </c>
      <c r="AB249" s="98">
        <f t="shared" si="43"/>
        <v>26.400955419134434</v>
      </c>
      <c r="AC249" s="98">
        <f t="shared" si="44"/>
        <v>47.236185411610926</v>
      </c>
      <c r="AD249" s="98">
        <f t="shared" si="45"/>
        <v>23.534711382304909</v>
      </c>
      <c r="AE249" s="98">
        <f t="shared" si="46"/>
        <v>11.755600091061392</v>
      </c>
      <c r="AF249" s="98">
        <f t="shared" si="47"/>
        <v>36.155053772029632</v>
      </c>
      <c r="AG249" s="3">
        <f t="shared" si="48"/>
        <v>162.40450596136125</v>
      </c>
    </row>
    <row r="250" spans="1:33" ht="14">
      <c r="A250">
        <f t="shared" si="54"/>
        <v>92</v>
      </c>
      <c r="B250" s="19">
        <f t="shared" si="54"/>
        <v>172</v>
      </c>
      <c r="C250" s="26">
        <f t="shared" si="35"/>
        <v>152.37925044043024</v>
      </c>
      <c r="D250" s="83">
        <f>C$158*(0.4*D$14)*('Product half-life and C flows'!B111/100)</f>
        <v>0.35223009836671199</v>
      </c>
      <c r="E250" s="85"/>
      <c r="F250" s="85">
        <f t="shared" si="55"/>
        <v>23.063658997738134</v>
      </c>
      <c r="G250" s="85">
        <f t="shared" si="56"/>
        <v>12.300618132127003</v>
      </c>
      <c r="H250" s="83">
        <f>C$158*(0.6*C$15)*('Product half-life and C flows'!L111/100)</f>
        <v>9.3183250461693028</v>
      </c>
      <c r="I250" s="85">
        <f>C$158*0.6*('Product half-life and C flows'!N111/100)</f>
        <v>19.433485148896207</v>
      </c>
      <c r="J250" s="85">
        <f>C$158*0.6*('Product half-life and C flows'!P111/100)</f>
        <v>9.7070355389091905</v>
      </c>
      <c r="K250" s="85">
        <f t="shared" si="57"/>
        <v>11.038827979547648</v>
      </c>
      <c r="L250" s="3"/>
      <c r="M250" s="90">
        <f>E$238*(0.4*M$41)*('Product half-life and C flows'!B30/100)</f>
        <v>6.6880654055094482</v>
      </c>
      <c r="N250" s="90">
        <f t="shared" si="53"/>
        <v>5.0038566008813614</v>
      </c>
      <c r="O250" s="89">
        <f t="shared" si="58"/>
        <v>26.438132413138941</v>
      </c>
      <c r="P250" s="89">
        <f t="shared" si="59"/>
        <v>14.100337287007433</v>
      </c>
      <c r="Q250" s="91">
        <f>E$238*(0.6*Q$42)*('Product half-life and C flows'!L30/100)</f>
        <v>37.195843600990145</v>
      </c>
      <c r="R250" s="91">
        <f>E$238*0.6*('Product half-life and C flows'!N30/100)</f>
        <v>4.5830520875526597</v>
      </c>
      <c r="S250" s="91">
        <f>E$238*0.6*('Product half-life and C flows'!P30/100)</f>
        <v>2.2892368069693605</v>
      </c>
      <c r="T250" s="89">
        <f t="shared" si="60"/>
        <v>25.116225792481988</v>
      </c>
      <c r="U250" s="17"/>
      <c r="V250">
        <f t="shared" si="36"/>
        <v>92</v>
      </c>
      <c r="W250" s="3">
        <f t="shared" si="49"/>
        <v>36.715504457548086</v>
      </c>
      <c r="X250" s="113">
        <f t="shared" si="37"/>
        <v>152.37925044043024</v>
      </c>
      <c r="Y250" s="98">
        <f t="shared" si="40"/>
        <v>7.0402955038761599</v>
      </c>
      <c r="Z250" s="98">
        <f t="shared" si="41"/>
        <v>5.0038566008813614</v>
      </c>
      <c r="AA250" s="98">
        <f t="shared" si="42"/>
        <v>49.501791410877075</v>
      </c>
      <c r="AB250" s="98">
        <f t="shared" si="43"/>
        <v>26.400955419134434</v>
      </c>
      <c r="AC250" s="98">
        <f t="shared" si="44"/>
        <v>46.514168647159451</v>
      </c>
      <c r="AD250" s="98">
        <f t="shared" si="45"/>
        <v>24.016537236448865</v>
      </c>
      <c r="AE250" s="98">
        <f t="shared" si="46"/>
        <v>11.996272345878552</v>
      </c>
      <c r="AF250" s="98">
        <f t="shared" si="47"/>
        <v>36.155053772029632</v>
      </c>
      <c r="AG250" s="3">
        <f t="shared" si="48"/>
        <v>163.43358166037973</v>
      </c>
    </row>
    <row r="251" spans="1:33" ht="14">
      <c r="A251">
        <f t="shared" si="54"/>
        <v>93</v>
      </c>
      <c r="B251" s="19">
        <f t="shared" si="54"/>
        <v>173</v>
      </c>
      <c r="C251" s="26">
        <f t="shared" si="35"/>
        <v>152.67930958779479</v>
      </c>
      <c r="D251" s="83">
        <f>C$158*(0.4*D$14)*('Product half-life and C flows'!B112/100)</f>
        <v>0.34023184815317892</v>
      </c>
      <c r="E251" s="85"/>
      <c r="F251" s="85">
        <f t="shared" si="55"/>
        <v>23.063658997738134</v>
      </c>
      <c r="G251" s="85">
        <f t="shared" si="56"/>
        <v>12.300618132127003</v>
      </c>
      <c r="H251" s="83">
        <f>C$158*(0.6*C$15)*('Product half-life and C flows'!L112/100)</f>
        <v>9.1758921456013258</v>
      </c>
      <c r="I251" s="85">
        <f>C$158*0.6*('Product half-life and C flows'!N112/100)</f>
        <v>19.528535371208569</v>
      </c>
      <c r="J251" s="85">
        <f>C$158*0.6*('Product half-life and C flows'!P112/100)</f>
        <v>9.7545131724318495</v>
      </c>
      <c r="K251" s="85">
        <f t="shared" si="57"/>
        <v>11.038827979547648</v>
      </c>
      <c r="L251" s="3"/>
      <c r="M251" s="90">
        <f>E$238*(0.4*M$41)*('Product half-life and C flows'!B31/100)</f>
        <v>6.4602453454070545</v>
      </c>
      <c r="N251" s="90">
        <f t="shared" si="53"/>
        <v>6.1461563011223976</v>
      </c>
      <c r="O251" s="89">
        <f t="shared" si="58"/>
        <v>26.438132413138941</v>
      </c>
      <c r="P251" s="89">
        <f t="shared" si="59"/>
        <v>14.100337287007433</v>
      </c>
      <c r="Q251" s="91">
        <f>E$238*(0.6*Q$42)*('Product half-life and C flows'!L31/100)</f>
        <v>36.627295941736755</v>
      </c>
      <c r="R251" s="91">
        <f>E$238*0.6*('Product half-life and C flows'!N31/100)</f>
        <v>4.9624628921610876</v>
      </c>
      <c r="S251" s="91">
        <f>E$238*0.6*('Product half-life and C flows'!P31/100)</f>
        <v>2.4787526933871566</v>
      </c>
      <c r="T251" s="89">
        <f t="shared" si="60"/>
        <v>25.116225792481988</v>
      </c>
      <c r="U251" s="17"/>
      <c r="V251">
        <f t="shared" si="36"/>
        <v>93</v>
      </c>
      <c r="W251" s="3">
        <f t="shared" si="49"/>
        <v>36.827372333069057</v>
      </c>
      <c r="X251" s="113">
        <f t="shared" si="37"/>
        <v>152.67930958779479</v>
      </c>
      <c r="Y251" s="98">
        <f t="shared" si="40"/>
        <v>6.8004771935602335</v>
      </c>
      <c r="Z251" s="98">
        <f t="shared" si="41"/>
        <v>6.1461563011223976</v>
      </c>
      <c r="AA251" s="98">
        <f t="shared" si="42"/>
        <v>49.501791410877075</v>
      </c>
      <c r="AB251" s="98">
        <f t="shared" si="43"/>
        <v>26.400955419134434</v>
      </c>
      <c r="AC251" s="98">
        <f t="shared" si="44"/>
        <v>45.803188087338079</v>
      </c>
      <c r="AD251" s="98">
        <f t="shared" si="45"/>
        <v>24.490998263369658</v>
      </c>
      <c r="AE251" s="98">
        <f t="shared" si="46"/>
        <v>12.233265865819007</v>
      </c>
      <c r="AF251" s="98">
        <f t="shared" si="47"/>
        <v>36.155053772029632</v>
      </c>
      <c r="AG251" s="3">
        <f t="shared" si="48"/>
        <v>164.57635534766064</v>
      </c>
    </row>
    <row r="252" spans="1:33" ht="14">
      <c r="A252">
        <f t="shared" si="54"/>
        <v>94</v>
      </c>
      <c r="B252" s="19">
        <f t="shared" si="54"/>
        <v>174</v>
      </c>
      <c r="C252" s="26">
        <f t="shared" si="35"/>
        <v>152.97380920059325</v>
      </c>
      <c r="D252" s="83">
        <f>C$158*(0.4*D$14)*('Product half-life and C flows'!B113/100)</f>
        <v>0.32864230238839709</v>
      </c>
      <c r="E252" s="85"/>
      <c r="F252" s="85">
        <f t="shared" si="55"/>
        <v>23.063658997738134</v>
      </c>
      <c r="G252" s="85">
        <f t="shared" si="56"/>
        <v>12.300618132127003</v>
      </c>
      <c r="H252" s="83">
        <f>C$158*(0.6*C$15)*('Product half-life and C flows'!L113/100)</f>
        <v>9.0356363671087987</v>
      </c>
      <c r="I252" s="85">
        <f>C$158*0.6*('Product half-life and C flows'!N113/100)</f>
        <v>19.622132727389253</v>
      </c>
      <c r="J252" s="85">
        <f>C$158*0.6*('Product half-life and C flows'!P113/100)</f>
        <v>9.8012650985960281</v>
      </c>
      <c r="K252" s="85">
        <f t="shared" si="57"/>
        <v>11.038827979547648</v>
      </c>
      <c r="L252" s="3"/>
      <c r="M252" s="90">
        <f>E$238*(0.4*M$41)*('Product half-life and C flows'!B32/100)</f>
        <v>6.2401856728963123</v>
      </c>
      <c r="N252" s="90">
        <f t="shared" si="53"/>
        <v>7.3959627350682862</v>
      </c>
      <c r="O252" s="89">
        <f t="shared" si="58"/>
        <v>26.438132413138941</v>
      </c>
      <c r="P252" s="89">
        <f t="shared" si="59"/>
        <v>14.100337287007433</v>
      </c>
      <c r="Q252" s="91">
        <f>E$238*(0.6*Q$42)*('Product half-life and C flows'!L32/100)</f>
        <v>36.067438673923604</v>
      </c>
      <c r="R252" s="91">
        <f>E$238*0.6*('Product half-life and C flows'!N32/100)</f>
        <v>5.33607430888173</v>
      </c>
      <c r="S252" s="91">
        <f>E$238*0.6*('Product half-life and C flows'!P32/100)</f>
        <v>2.6653717826582071</v>
      </c>
      <c r="T252" s="89">
        <f t="shared" si="60"/>
        <v>25.116225792481988</v>
      </c>
      <c r="U252" s="17"/>
      <c r="V252">
        <f t="shared" si="36"/>
        <v>94</v>
      </c>
      <c r="W252" s="3">
        <f t="shared" si="49"/>
        <v>36.935067628625738</v>
      </c>
      <c r="X252" s="113">
        <f t="shared" si="37"/>
        <v>152.97380920059325</v>
      </c>
      <c r="Y252" s="98">
        <f t="shared" si="40"/>
        <v>6.5688279752847096</v>
      </c>
      <c r="Z252" s="98">
        <f t="shared" si="41"/>
        <v>7.3959627350682862</v>
      </c>
      <c r="AA252" s="98">
        <f t="shared" si="42"/>
        <v>49.501791410877075</v>
      </c>
      <c r="AB252" s="98">
        <f t="shared" si="43"/>
        <v>26.400955419134434</v>
      </c>
      <c r="AC252" s="98">
        <f t="shared" si="44"/>
        <v>45.103075041032405</v>
      </c>
      <c r="AD252" s="98">
        <f t="shared" si="45"/>
        <v>24.958207036270984</v>
      </c>
      <c r="AE252" s="98">
        <f t="shared" si="46"/>
        <v>12.466636881254235</v>
      </c>
      <c r="AF252" s="98">
        <f t="shared" si="47"/>
        <v>36.155053772029632</v>
      </c>
      <c r="AG252" s="3">
        <f t="shared" si="48"/>
        <v>165.82662852363742</v>
      </c>
    </row>
    <row r="253" spans="1:33" ht="14">
      <c r="A253">
        <f t="shared" si="54"/>
        <v>95</v>
      </c>
      <c r="B253" s="19">
        <f t="shared" si="54"/>
        <v>175</v>
      </c>
      <c r="C253" s="26">
        <f t="shared" si="35"/>
        <v>153.26284462107563</v>
      </c>
      <c r="D253" s="83">
        <f>C$158*(0.4*D$14)*('Product half-life and C flows'!B114/100)</f>
        <v>0.3174475390984573</v>
      </c>
      <c r="E253" s="85"/>
      <c r="F253" s="85">
        <f t="shared" si="55"/>
        <v>23.063658997738134</v>
      </c>
      <c r="G253" s="85">
        <f t="shared" si="56"/>
        <v>12.300618132127003</v>
      </c>
      <c r="H253" s="83">
        <f>C$158*(0.6*C$15)*('Product half-life and C flows'!L114/100)</f>
        <v>8.8975244328429035</v>
      </c>
      <c r="I253" s="85">
        <f>C$158*0.6*('Product half-life and C flows'!N114/100)</f>
        <v>19.714299424856026</v>
      </c>
      <c r="J253" s="85">
        <f>C$158*0.6*('Product half-life and C flows'!P114/100)</f>
        <v>9.847302410017992</v>
      </c>
      <c r="K253" s="85">
        <f t="shared" si="57"/>
        <v>11.038827979547648</v>
      </c>
      <c r="L253" s="3"/>
      <c r="M253" s="90">
        <f>E$238*(0.4*M$41)*('Product half-life and C flows'!B33/100)</f>
        <v>6.0276220406868806</v>
      </c>
      <c r="N253" s="90">
        <f t="shared" si="53"/>
        <v>8.7463117144652891</v>
      </c>
      <c r="O253" s="89">
        <f t="shared" si="58"/>
        <v>26.438132413138941</v>
      </c>
      <c r="P253" s="89">
        <f t="shared" si="59"/>
        <v>14.100337287007433</v>
      </c>
      <c r="Q253" s="91">
        <f>E$238*(0.6*Q$42)*('Product half-life and C flows'!L33/100)</f>
        <v>35.516138962770434</v>
      </c>
      <c r="R253" s="91">
        <f>E$238*0.6*('Product half-life and C flows'!N33/100)</f>
        <v>5.7039749827912782</v>
      </c>
      <c r="S253" s="91">
        <f>E$238*0.6*('Product half-life and C flows'!P33/100)</f>
        <v>2.8491383530425964</v>
      </c>
      <c r="T253" s="89">
        <f t="shared" si="60"/>
        <v>25.116225792481988</v>
      </c>
      <c r="U253" s="17"/>
      <c r="V253">
        <f t="shared" si="36"/>
        <v>95</v>
      </c>
      <c r="W253" s="3">
        <f t="shared" si="49"/>
        <v>37.038737706310393</v>
      </c>
      <c r="X253" s="113">
        <f t="shared" si="37"/>
        <v>153.26284462107563</v>
      </c>
      <c r="Y253" s="98">
        <f t="shared" si="40"/>
        <v>6.3450695797853376</v>
      </c>
      <c r="Z253" s="98">
        <f t="shared" si="41"/>
        <v>8.7463117144652891</v>
      </c>
      <c r="AA253" s="98">
        <f t="shared" si="42"/>
        <v>49.501791410877075</v>
      </c>
      <c r="AB253" s="98">
        <f t="shared" si="43"/>
        <v>26.400955419134434</v>
      </c>
      <c r="AC253" s="98">
        <f t="shared" si="44"/>
        <v>44.413663395613341</v>
      </c>
      <c r="AD253" s="98">
        <f t="shared" si="45"/>
        <v>25.418274407647303</v>
      </c>
      <c r="AE253" s="98">
        <f t="shared" si="46"/>
        <v>12.696440763060588</v>
      </c>
      <c r="AF253" s="98">
        <f t="shared" si="47"/>
        <v>36.155053772029632</v>
      </c>
      <c r="AG253" s="3">
        <f t="shared" si="48"/>
        <v>167.17743711079805</v>
      </c>
    </row>
    <row r="254" spans="1:33" ht="14">
      <c r="A254">
        <f t="shared" si="54"/>
        <v>96</v>
      </c>
      <c r="B254" s="19">
        <f t="shared" si="54"/>
        <v>176</v>
      </c>
      <c r="C254" s="26">
        <f t="shared" si="35"/>
        <v>153.54650986796895</v>
      </c>
      <c r="D254" s="83">
        <f>C$158*(0.4*D$14)*('Product half-life and C flows'!B115/100)</f>
        <v>0.30663411054299022</v>
      </c>
      <c r="E254" s="85"/>
      <c r="F254" s="85">
        <f t="shared" si="55"/>
        <v>23.063658997738134</v>
      </c>
      <c r="G254" s="85">
        <f t="shared" si="56"/>
        <v>12.300618132127003</v>
      </c>
      <c r="H254" s="83">
        <f>C$158*(0.6*C$15)*('Product half-life and C flows'!L115/100)</f>
        <v>8.7615235736149657</v>
      </c>
      <c r="I254" s="85">
        <f>C$158*0.6*('Product half-life and C flows'!N115/100)</f>
        <v>19.805057331580798</v>
      </c>
      <c r="J254" s="85">
        <f>C$158*0.6*('Product half-life and C flows'!P115/100)</f>
        <v>9.8926360297606379</v>
      </c>
      <c r="K254" s="85">
        <f t="shared" si="57"/>
        <v>11.038827979547648</v>
      </c>
      <c r="L254" s="3"/>
      <c r="M254" s="90">
        <f>E$238*(0.4*M$41)*('Product half-life and C flows'!B34/100)</f>
        <v>5.8222991061275708</v>
      </c>
      <c r="N254" s="90">
        <f t="shared" si="53"/>
        <v>10.189710224502418</v>
      </c>
      <c r="O254" s="89">
        <f t="shared" si="58"/>
        <v>26.438132413138941</v>
      </c>
      <c r="P254" s="89">
        <f t="shared" si="59"/>
        <v>14.100337287007433</v>
      </c>
      <c r="Q254" s="91">
        <f>E$238*(0.6*Q$42)*('Product half-life and C flows'!L34/100)</f>
        <v>34.973266003909416</v>
      </c>
      <c r="R254" s="91">
        <f>E$238*0.6*('Product half-life and C flows'!N34/100)</f>
        <v>6.066252204004531</v>
      </c>
      <c r="S254" s="91">
        <f>E$238*0.6*('Product half-life and C flows'!P34/100)</f>
        <v>3.0300960059962687</v>
      </c>
      <c r="T254" s="89">
        <f t="shared" si="60"/>
        <v>25.116225792481988</v>
      </c>
      <c r="U254" s="17"/>
      <c r="V254">
        <f t="shared" si="36"/>
        <v>96</v>
      </c>
      <c r="W254" s="3">
        <f t="shared" si="49"/>
        <v>37.138525377454336</v>
      </c>
      <c r="X254" s="113">
        <f t="shared" si="37"/>
        <v>153.54650986796895</v>
      </c>
      <c r="Y254" s="98">
        <f t="shared" ref="Y254:Y285" si="61">D254+M254</f>
        <v>6.1289332166705615</v>
      </c>
      <c r="Z254" s="98">
        <f t="shared" ref="Z254:Z285" si="62">E254+N254</f>
        <v>10.189710224502418</v>
      </c>
      <c r="AA254" s="98">
        <f t="shared" ref="AA254:AA285" si="63">F254+O254</f>
        <v>49.501791410877075</v>
      </c>
      <c r="AB254" s="98">
        <f t="shared" ref="AB254:AB285" si="64">G254+P254</f>
        <v>26.400955419134434</v>
      </c>
      <c r="AC254" s="98">
        <f t="shared" ref="AC254:AC285" si="65">H254+Q254</f>
        <v>43.734789577524381</v>
      </c>
      <c r="AD254" s="98">
        <f t="shared" ref="AD254:AD285" si="66">I254+R254</f>
        <v>25.871309535585329</v>
      </c>
      <c r="AE254" s="98">
        <f t="shared" ref="AE254:AE285" si="67">J254+S254</f>
        <v>12.922732035756907</v>
      </c>
      <c r="AF254" s="98">
        <f t="shared" ref="AF254:AF285" si="68">K254+T254</f>
        <v>36.155053772029632</v>
      </c>
      <c r="AG254" s="3">
        <f t="shared" ref="AG254:AG285" si="69">SUM(Z254:AE254)</f>
        <v>168.62128820338054</v>
      </c>
    </row>
    <row r="255" spans="1:33" ht="14">
      <c r="A255">
        <f t="shared" si="54"/>
        <v>97</v>
      </c>
      <c r="B255" s="19">
        <f t="shared" si="54"/>
        <v>177</v>
      </c>
      <c r="C255" s="26">
        <f t="shared" si="35"/>
        <v>153.82489764135551</v>
      </c>
      <c r="D255" s="83">
        <f>C$158*(0.4*D$14)*('Product half-life and C flows'!B116/100)</f>
        <v>0.2961890270610314</v>
      </c>
      <c r="E255" s="85"/>
      <c r="F255" s="85">
        <f t="shared" si="55"/>
        <v>23.063658997738134</v>
      </c>
      <c r="G255" s="85">
        <f t="shared" si="56"/>
        <v>12.300618132127003</v>
      </c>
      <c r="H255" s="83">
        <f>C$158*(0.6*C$15)*('Product half-life and C flows'!L116/100)</f>
        <v>8.6276015211214556</v>
      </c>
      <c r="I255" s="85">
        <f>C$158*0.6*('Product half-life and C flows'!N116/100)</f>
        <v>19.894427981278135</v>
      </c>
      <c r="J255" s="85">
        <f>C$158*0.6*('Product half-life and C flows'!P116/100)</f>
        <v>9.9372767139251419</v>
      </c>
      <c r="K255" s="85">
        <f t="shared" si="57"/>
        <v>11.038827979547648</v>
      </c>
      <c r="L255" s="3"/>
      <c r="M255" s="90">
        <f>E$238*(0.4*M$41)*('Product half-life and C flows'!B35/100)</f>
        <v>5.6239702244752765</v>
      </c>
      <c r="N255" s="90">
        <f t="shared" si="53"/>
        <v>11.718333388083606</v>
      </c>
      <c r="O255" s="89">
        <f t="shared" si="58"/>
        <v>26.438132413138941</v>
      </c>
      <c r="P255" s="89">
        <f t="shared" si="59"/>
        <v>14.100337287007433</v>
      </c>
      <c r="Q255" s="91">
        <f>E$238*(0.6*Q$42)*('Product half-life and C flows'!L35/100)</f>
        <v>34.438690992349812</v>
      </c>
      <c r="R255" s="91">
        <f>E$238*0.6*('Product half-life and C flows'!N35/100)</f>
        <v>6.4229919283853123</v>
      </c>
      <c r="S255" s="91">
        <f>E$238*0.6*('Product half-life and C flows'!P35/100)</f>
        <v>3.2082876765161399</v>
      </c>
      <c r="T255" s="89">
        <f t="shared" si="60"/>
        <v>25.116225792481988</v>
      </c>
      <c r="U255" s="17"/>
      <c r="V255">
        <f t="shared" si="36"/>
        <v>97</v>
      </c>
      <c r="W255" s="3">
        <f t="shared" si="49"/>
        <v>37.234568989158973</v>
      </c>
      <c r="X255" s="113">
        <f t="shared" si="37"/>
        <v>153.82489764135551</v>
      </c>
      <c r="Y255" s="98">
        <f t="shared" si="61"/>
        <v>5.9201592515363082</v>
      </c>
      <c r="Z255" s="98">
        <f t="shared" si="62"/>
        <v>11.718333388083606</v>
      </c>
      <c r="AA255" s="98">
        <f t="shared" si="63"/>
        <v>49.501791410877075</v>
      </c>
      <c r="AB255" s="98">
        <f t="shared" si="64"/>
        <v>26.400955419134434</v>
      </c>
      <c r="AC255" s="98">
        <f t="shared" si="65"/>
        <v>43.066292513471268</v>
      </c>
      <c r="AD255" s="98">
        <f t="shared" si="66"/>
        <v>26.317419909663446</v>
      </c>
      <c r="AE255" s="98">
        <f t="shared" si="67"/>
        <v>13.145564390441281</v>
      </c>
      <c r="AF255" s="98">
        <f t="shared" si="68"/>
        <v>36.155053772029632</v>
      </c>
      <c r="AG255" s="3">
        <f t="shared" si="69"/>
        <v>170.15035703167109</v>
      </c>
    </row>
    <row r="256" spans="1:33" ht="14">
      <c r="A256">
        <f t="shared" ref="A256:B271" si="70">A255+1</f>
        <v>98</v>
      </c>
      <c r="B256" s="19">
        <f t="shared" si="70"/>
        <v>178</v>
      </c>
      <c r="C256" s="26">
        <f t="shared" si="35"/>
        <v>154.09809932824348</v>
      </c>
      <c r="D256" s="83">
        <f>C$158*(0.4*D$14)*('Product half-life and C flows'!B117/100)</f>
        <v>0.28609974146715422</v>
      </c>
      <c r="E256" s="85"/>
      <c r="F256" s="85">
        <f t="shared" si="55"/>
        <v>23.063658997738134</v>
      </c>
      <c r="G256" s="85">
        <f t="shared" si="56"/>
        <v>12.300618132127003</v>
      </c>
      <c r="H256" s="83">
        <f>C$158*(0.6*C$15)*('Product half-life and C flows'!L117/100)</f>
        <v>8.4957265002878373</v>
      </c>
      <c r="I256" s="85">
        <f>C$158*0.6*('Product half-life and C flows'!N117/100)</f>
        <v>19.982432578514437</v>
      </c>
      <c r="J256" s="85">
        <f>C$158*0.6*('Product half-life and C flows'!P117/100)</f>
        <v>9.9812350542030153</v>
      </c>
      <c r="K256" s="85">
        <f t="shared" si="57"/>
        <v>11.038827979547648</v>
      </c>
      <c r="L256" s="3"/>
      <c r="M256" s="90">
        <f>E$238*(0.4*M$41)*('Product half-life and C flows'!B36/100)</f>
        <v>5.4323971526122881</v>
      </c>
      <c r="N256" s="90">
        <f t="shared" si="53"/>
        <v>13.324187201714368</v>
      </c>
      <c r="O256" s="89">
        <f t="shared" si="58"/>
        <v>26.438132413138941</v>
      </c>
      <c r="P256" s="89">
        <f t="shared" si="59"/>
        <v>14.100337287007433</v>
      </c>
      <c r="Q256" s="91">
        <f>E$238*(0.6*Q$42)*('Product half-life and C flows'!L36/100)</f>
        <v>33.912287091916959</v>
      </c>
      <c r="R256" s="91">
        <f>E$238*0.6*('Product half-life and C flows'!N36/100)</f>
        <v>6.7742787979408305</v>
      </c>
      <c r="S256" s="91">
        <f>E$238*0.6*('Product half-life and C flows'!P36/100)</f>
        <v>3.3837556433270879</v>
      </c>
      <c r="T256" s="89">
        <f t="shared" si="60"/>
        <v>25.116225792481988</v>
      </c>
      <c r="U256" s="17"/>
      <c r="V256">
        <f t="shared" si="36"/>
        <v>98</v>
      </c>
      <c r="W256" s="3">
        <f t="shared" si="49"/>
        <v>37.327002514221753</v>
      </c>
      <c r="X256" s="113">
        <f t="shared" si="37"/>
        <v>154.09809932824348</v>
      </c>
      <c r="Y256" s="98">
        <f t="shared" si="61"/>
        <v>5.7184968940794425</v>
      </c>
      <c r="Z256" s="98">
        <f t="shared" si="62"/>
        <v>13.324187201714368</v>
      </c>
      <c r="AA256" s="98">
        <f t="shared" si="63"/>
        <v>49.501791410877075</v>
      </c>
      <c r="AB256" s="98">
        <f t="shared" si="64"/>
        <v>26.400955419134434</v>
      </c>
      <c r="AC256" s="98">
        <f t="shared" si="65"/>
        <v>42.408013592204796</v>
      </c>
      <c r="AD256" s="98">
        <f t="shared" si="66"/>
        <v>26.756711376455268</v>
      </c>
      <c r="AE256" s="98">
        <f t="shared" si="67"/>
        <v>13.364990697530104</v>
      </c>
      <c r="AF256" s="98">
        <f t="shared" si="68"/>
        <v>36.155053772029632</v>
      </c>
      <c r="AG256" s="3">
        <f t="shared" si="69"/>
        <v>171.75664969791603</v>
      </c>
    </row>
    <row r="257" spans="1:33" ht="14">
      <c r="A257">
        <f t="shared" si="70"/>
        <v>99</v>
      </c>
      <c r="B257" s="19">
        <f t="shared" si="70"/>
        <v>179</v>
      </c>
      <c r="C257" s="26">
        <f t="shared" si="35"/>
        <v>154.36620500878925</v>
      </c>
      <c r="D257" s="83">
        <f>C$158*(0.4*D$14)*('Product half-life and C flows'!B118/100)</f>
        <v>0.27635413397913039</v>
      </c>
      <c r="E257" s="85"/>
      <c r="F257" s="85">
        <f t="shared" si="55"/>
        <v>23.063658997738134</v>
      </c>
      <c r="G257" s="85">
        <f t="shared" si="56"/>
        <v>12.300618132127003</v>
      </c>
      <c r="H257" s="83">
        <f>C$158*(0.6*C$15)*('Product half-life and C flows'!L118/100)</f>
        <v>8.3658672217294363</v>
      </c>
      <c r="I257" s="85">
        <f>C$158*0.6*('Product half-life and C flows'!N118/100)</f>
        <v>20.06909200373908</v>
      </c>
      <c r="J257" s="85">
        <f>C$158*0.6*('Product half-life and C flows'!P118/100)</f>
        <v>10.024521480389147</v>
      </c>
      <c r="K257" s="85">
        <f t="shared" si="57"/>
        <v>11.038827979547648</v>
      </c>
      <c r="L257" s="3"/>
      <c r="M257" s="90">
        <f>E$238*(0.4*M$41)*('Product half-life and C flows'!B37/100)</f>
        <v>5.2473497628560972</v>
      </c>
      <c r="N257" s="90">
        <f t="shared" si="53"/>
        <v>14.999241888023334</v>
      </c>
      <c r="O257" s="89">
        <f t="shared" si="58"/>
        <v>26.438132413138941</v>
      </c>
      <c r="P257" s="89">
        <f t="shared" si="59"/>
        <v>14.100337287007433</v>
      </c>
      <c r="Q257" s="91">
        <f>E$238*(0.6*Q$42)*('Product half-life and C flows'!L37/100)</f>
        <v>33.393929405158516</v>
      </c>
      <c r="R257" s="91">
        <f>E$238*0.6*('Product half-life and C flows'!N37/100)</f>
        <v>7.1201961609043005</v>
      </c>
      <c r="S257" s="91">
        <f>E$238*0.6*('Product half-life and C flows'!P37/100)</f>
        <v>3.5565415389132369</v>
      </c>
      <c r="T257" s="89">
        <f t="shared" si="60"/>
        <v>25.116225792481988</v>
      </c>
      <c r="U257" s="17"/>
      <c r="V257">
        <f t="shared" si="36"/>
        <v>99</v>
      </c>
      <c r="W257" s="3">
        <f t="shared" si="49"/>
        <v>37.415955643833811</v>
      </c>
      <c r="X257" s="113">
        <f t="shared" si="37"/>
        <v>154.36620500878925</v>
      </c>
      <c r="Y257" s="98">
        <f t="shared" si="61"/>
        <v>5.5237038968352277</v>
      </c>
      <c r="Z257" s="98">
        <f t="shared" si="62"/>
        <v>14.999241888023334</v>
      </c>
      <c r="AA257" s="98">
        <f t="shared" si="63"/>
        <v>49.501791410877075</v>
      </c>
      <c r="AB257" s="98">
        <f t="shared" si="64"/>
        <v>26.400955419134434</v>
      </c>
      <c r="AC257" s="98">
        <f t="shared" si="65"/>
        <v>41.759796626887955</v>
      </c>
      <c r="AD257" s="98">
        <f t="shared" si="66"/>
        <v>27.189288164643379</v>
      </c>
      <c r="AE257" s="98">
        <f t="shared" si="67"/>
        <v>13.581063019302384</v>
      </c>
      <c r="AF257" s="98">
        <f t="shared" si="68"/>
        <v>36.155053772029632</v>
      </c>
      <c r="AG257" s="3">
        <f t="shared" si="69"/>
        <v>173.43213652886857</v>
      </c>
    </row>
    <row r="258" spans="1:33" ht="14">
      <c r="A258">
        <f t="shared" si="70"/>
        <v>100</v>
      </c>
      <c r="B258" s="19">
        <f t="shared" si="70"/>
        <v>180</v>
      </c>
      <c r="C258" s="26">
        <f t="shared" si="35"/>
        <v>154.62930346313073</v>
      </c>
      <c r="D258" s="83">
        <f>C$158*(0.4*D$14)*('Product half-life and C flows'!B119/100)</f>
        <v>0.26694049765900613</v>
      </c>
      <c r="E258" s="85"/>
      <c r="F258" s="85">
        <f t="shared" si="55"/>
        <v>23.063658997738134</v>
      </c>
      <c r="G258" s="85">
        <f t="shared" si="56"/>
        <v>12.300618132127003</v>
      </c>
      <c r="H258" s="83">
        <f>C$158*(0.6*C$15)*('Product half-life and C flows'!L119/100)</f>
        <v>8.2379928743275599</v>
      </c>
      <c r="I258" s="85">
        <f>C$158*0.6*('Product half-life and C flows'!N119/100)</f>
        <v>20.154426818238594</v>
      </c>
      <c r="J258" s="85">
        <f>C$158*0.6*('Product half-life and C flows'!P119/100)</f>
        <v>10.06714626285644</v>
      </c>
      <c r="K258" s="85">
        <f t="shared" si="57"/>
        <v>11.038827979547648</v>
      </c>
      <c r="L258" s="3"/>
      <c r="M258" s="90">
        <f>E$238*(0.4*M$41)*('Product half-life and C flows'!B38/100)</f>
        <v>5.0686057665178774</v>
      </c>
      <c r="N258" s="90">
        <f t="shared" si="53"/>
        <v>16.7355400849764</v>
      </c>
      <c r="O258" s="89">
        <f t="shared" si="58"/>
        <v>26.438132413138941</v>
      </c>
      <c r="P258" s="89">
        <f t="shared" si="59"/>
        <v>14.100337287007433</v>
      </c>
      <c r="Q258" s="91">
        <f>E$238*(0.6*Q$42)*('Product half-life and C flows'!L38/100)</f>
        <v>32.883494943710502</v>
      </c>
      <c r="R258" s="91">
        <f>E$238*0.6*('Product half-life and C flows'!N38/100)</f>
        <v>7.4608260915106088</v>
      </c>
      <c r="S258" s="91">
        <f>E$238*0.6*('Product half-life and C flows'!P38/100)</f>
        <v>3.7266863593959085</v>
      </c>
      <c r="T258" s="89">
        <f t="shared" si="60"/>
        <v>25.116225792481988</v>
      </c>
      <c r="U258" s="17"/>
      <c r="V258">
        <f t="shared" si="36"/>
        <v>100</v>
      </c>
      <c r="W258" s="3">
        <f t="shared" si="49"/>
        <v>37.50155388248421</v>
      </c>
      <c r="X258" s="113">
        <f t="shared" si="37"/>
        <v>154.62930346313073</v>
      </c>
      <c r="Y258" s="98">
        <f t="shared" si="61"/>
        <v>5.3355462641768838</v>
      </c>
      <c r="Z258" s="98">
        <f t="shared" si="62"/>
        <v>16.7355400849764</v>
      </c>
      <c r="AA258" s="98">
        <f t="shared" si="63"/>
        <v>49.501791410877075</v>
      </c>
      <c r="AB258" s="98">
        <f t="shared" si="64"/>
        <v>26.400955419134434</v>
      </c>
      <c r="AC258" s="98">
        <f t="shared" si="65"/>
        <v>41.121487818038062</v>
      </c>
      <c r="AD258" s="98">
        <f t="shared" si="66"/>
        <v>27.615252909749202</v>
      </c>
      <c r="AE258" s="98">
        <f t="shared" si="67"/>
        <v>13.793832622252349</v>
      </c>
      <c r="AF258" s="98">
        <f t="shared" si="68"/>
        <v>36.155053772029632</v>
      </c>
      <c r="AG258" s="3">
        <f t="shared" si="69"/>
        <v>175.16886026502755</v>
      </c>
    </row>
    <row r="259" spans="1:33" ht="14">
      <c r="A259">
        <f t="shared" si="70"/>
        <v>101</v>
      </c>
      <c r="B259" s="19">
        <f t="shared" si="70"/>
        <v>181</v>
      </c>
      <c r="C259" s="26">
        <f t="shared" si="35"/>
        <v>154.88748217879268</v>
      </c>
      <c r="D259" s="83">
        <f>C$158*(0.4*D$14)*('Product half-life and C flows'!B120/100)</f>
        <v>0.25784752435011182</v>
      </c>
      <c r="E259" s="85"/>
      <c r="F259" s="85">
        <f t="shared" si="55"/>
        <v>23.063658997738134</v>
      </c>
      <c r="G259" s="85">
        <f t="shared" si="56"/>
        <v>12.300618132127003</v>
      </c>
      <c r="H259" s="83">
        <f>C$158*(0.6*C$15)*('Product half-life and C flows'!L120/100)</f>
        <v>8.1120731179190688</v>
      </c>
      <c r="I259" s="85">
        <f>C$158*0.6*('Product half-life and C flows'!N120/100)</f>
        <v>20.238457269015196</v>
      </c>
      <c r="J259" s="85">
        <f>C$158*0.6*('Product half-life and C flows'!P120/100)</f>
        <v>10.109119514992603</v>
      </c>
      <c r="K259" s="85">
        <f t="shared" si="57"/>
        <v>11.038827979547648</v>
      </c>
      <c r="L259" s="3"/>
      <c r="M259" s="90">
        <f>E$238*(0.4*M$41)*('Product half-life and C flows'!B39/100)</f>
        <v>4.8959504468775812</v>
      </c>
      <c r="N259" s="90">
        <f t="shared" si="53"/>
        <v>18.5252835435601</v>
      </c>
      <c r="O259" s="89">
        <f t="shared" si="58"/>
        <v>26.438132413138941</v>
      </c>
      <c r="P259" s="89">
        <f t="shared" si="59"/>
        <v>14.100337287007433</v>
      </c>
      <c r="Q259" s="91">
        <f>E$238*(0.6*Q$42)*('Product half-life and C flows'!L39/100)</f>
        <v>32.380862599116504</v>
      </c>
      <c r="R259" s="91">
        <f>E$238*0.6*('Product half-life and C flows'!N39/100)</f>
        <v>7.7962494094696693</v>
      </c>
      <c r="S259" s="91">
        <f>E$238*0.6*('Product half-life and C flows'!P39/100)</f>
        <v>3.8942304742605742</v>
      </c>
      <c r="T259" s="89">
        <f t="shared" si="60"/>
        <v>25.116225792481988</v>
      </c>
      <c r="U259" s="17"/>
      <c r="V259">
        <f t="shared" si="36"/>
        <v>101</v>
      </c>
      <c r="W259" s="3">
        <f t="shared" si="49"/>
        <v>37.583918644559809</v>
      </c>
      <c r="X259" s="113">
        <f t="shared" si="37"/>
        <v>154.88748217879268</v>
      </c>
      <c r="Y259" s="98">
        <f t="shared" si="61"/>
        <v>5.1537979712276929</v>
      </c>
      <c r="Z259" s="98">
        <f t="shared" si="62"/>
        <v>18.5252835435601</v>
      </c>
      <c r="AA259" s="98">
        <f t="shared" si="63"/>
        <v>49.501791410877075</v>
      </c>
      <c r="AB259" s="98">
        <f t="shared" si="64"/>
        <v>26.400955419134434</v>
      </c>
      <c r="AC259" s="98">
        <f t="shared" si="65"/>
        <v>40.492935717035571</v>
      </c>
      <c r="AD259" s="98">
        <f t="shared" si="66"/>
        <v>28.034706678484866</v>
      </c>
      <c r="AE259" s="98">
        <f t="shared" si="67"/>
        <v>14.003349989253177</v>
      </c>
      <c r="AF259" s="98">
        <f t="shared" si="68"/>
        <v>36.155053772029632</v>
      </c>
      <c r="AG259" s="3">
        <f t="shared" si="69"/>
        <v>176.95902275834521</v>
      </c>
    </row>
    <row r="260" spans="1:33" ht="14">
      <c r="A260">
        <f t="shared" si="70"/>
        <v>102</v>
      </c>
      <c r="B260" s="19">
        <f t="shared" si="70"/>
        <v>182</v>
      </c>
      <c r="C260" s="26">
        <f t="shared" si="35"/>
        <v>155.14082735862848</v>
      </c>
      <c r="D260" s="83">
        <f>C$158*(0.4*D$14)*('Product half-life and C flows'!B121/100)</f>
        <v>0.24906429109310674</v>
      </c>
      <c r="E260" s="85"/>
      <c r="F260" s="85">
        <f t="shared" si="55"/>
        <v>23.063658997738134</v>
      </c>
      <c r="G260" s="85">
        <f t="shared" si="56"/>
        <v>12.300618132127003</v>
      </c>
      <c r="H260" s="83">
        <f>C$158*(0.6*C$15)*('Product half-life and C flows'!L121/100)</f>
        <v>7.9880780760977173</v>
      </c>
      <c r="I260" s="85">
        <f>C$158*0.6*('Product half-life and C flows'!N121/100)</f>
        <v>20.321203293590642</v>
      </c>
      <c r="J260" s="85">
        <f>C$158*0.6*('Product half-life and C flows'!P121/100)</f>
        <v>10.15045119559972</v>
      </c>
      <c r="K260" s="85">
        <f t="shared" si="57"/>
        <v>11.038827979547648</v>
      </c>
      <c r="L260" s="3"/>
      <c r="M260" s="90">
        <f>E$238*(0.4*M$41)*('Product half-life and C flows'!B40/100)</f>
        <v>4.7291764012548878</v>
      </c>
      <c r="N260" s="90">
        <f t="shared" si="53"/>
        <v>20.360901524976995</v>
      </c>
      <c r="O260" s="89">
        <f t="shared" si="58"/>
        <v>26.438132413138941</v>
      </c>
      <c r="P260" s="89">
        <f t="shared" si="59"/>
        <v>14.100337287007433</v>
      </c>
      <c r="Q260" s="91">
        <f>E$238*(0.6*Q$42)*('Product half-life and C flows'!L40/100)</f>
        <v>31.885913114092773</v>
      </c>
      <c r="R260" s="91">
        <f>E$238*0.6*('Product half-life and C flows'!N40/100)</f>
        <v>8.1265456991421736</v>
      </c>
      <c r="S260" s="91">
        <f>E$238*0.6*('Product half-life and C flows'!P40/100)</f>
        <v>4.0592136359351505</v>
      </c>
      <c r="T260" s="89">
        <f t="shared" si="60"/>
        <v>25.116225792481988</v>
      </c>
      <c r="U260" s="17"/>
      <c r="V260">
        <f t="shared" si="36"/>
        <v>102</v>
      </c>
      <c r="W260" s="3">
        <f t="shared" si="49"/>
        <v>37.66316735217984</v>
      </c>
      <c r="X260" s="113">
        <f t="shared" si="37"/>
        <v>155.14082735862848</v>
      </c>
      <c r="Y260" s="98">
        <f t="shared" si="61"/>
        <v>4.9782406923479945</v>
      </c>
      <c r="Z260" s="98">
        <f t="shared" si="62"/>
        <v>20.360901524976995</v>
      </c>
      <c r="AA260" s="98">
        <f t="shared" si="63"/>
        <v>49.501791410877075</v>
      </c>
      <c r="AB260" s="98">
        <f t="shared" si="64"/>
        <v>26.400955419134434</v>
      </c>
      <c r="AC260" s="98">
        <f t="shared" si="65"/>
        <v>39.873991190190488</v>
      </c>
      <c r="AD260" s="98">
        <f t="shared" si="66"/>
        <v>28.447748992732816</v>
      </c>
      <c r="AE260" s="98">
        <f t="shared" si="67"/>
        <v>14.209664831534869</v>
      </c>
      <c r="AF260" s="98">
        <f t="shared" si="68"/>
        <v>36.155053772029632</v>
      </c>
      <c r="AG260" s="3">
        <f t="shared" si="69"/>
        <v>178.79505336944666</v>
      </c>
    </row>
    <row r="261" spans="1:33" ht="14">
      <c r="A261">
        <f t="shared" si="70"/>
        <v>103</v>
      </c>
      <c r="B261" s="19">
        <f t="shared" si="70"/>
        <v>183</v>
      </c>
      <c r="C261" s="26">
        <f t="shared" si="35"/>
        <v>155.3894239292618</v>
      </c>
      <c r="D261" s="83">
        <f>C$158*(0.4*D$14)*('Product half-life and C flows'!B122/100)</f>
        <v>0.24058024700474451</v>
      </c>
      <c r="E261" s="85"/>
      <c r="F261" s="85">
        <f t="shared" si="55"/>
        <v>23.063658997738134</v>
      </c>
      <c r="G261" s="85">
        <f t="shared" si="56"/>
        <v>12.300618132127003</v>
      </c>
      <c r="H261" s="83">
        <f>C$158*(0.6*C$15)*('Product half-life and C flows'!L122/100)</f>
        <v>7.8659783291255101</v>
      </c>
      <c r="I261" s="85">
        <f>C$158*0.6*('Product half-life and C flows'!N122/100)</f>
        <v>20.402684524736763</v>
      </c>
      <c r="J261" s="85">
        <f>C$158*0.6*('Product half-life and C flows'!P122/100)</f>
        <v>10.191151111257122</v>
      </c>
      <c r="K261" s="85">
        <f t="shared" si="57"/>
        <v>11.038827979547648</v>
      </c>
      <c r="L261" s="3"/>
      <c r="M261" s="90">
        <f>E$238*(0.4*M$41)*('Product half-life and C flows'!B41/100)</f>
        <v>4.5680832918661585</v>
      </c>
      <c r="N261" s="90">
        <f t="shared" si="53"/>
        <v>22.235103667138301</v>
      </c>
      <c r="O261" s="89">
        <f t="shared" si="58"/>
        <v>26.438132413138941</v>
      </c>
      <c r="P261" s="89">
        <f t="shared" si="59"/>
        <v>14.100337287007433</v>
      </c>
      <c r="Q261" s="91">
        <f>E$238*(0.6*Q$42)*('Product half-life and C flows'!L41/100)</f>
        <v>31.398529054232615</v>
      </c>
      <c r="R261" s="91">
        <f>E$238*0.6*('Product half-life and C flows'!N41/100)</f>
        <v>8.4517933284221876</v>
      </c>
      <c r="S261" s="91">
        <f>E$238*0.6*('Product half-life and C flows'!P41/100)</f>
        <v>4.2216749892218717</v>
      </c>
      <c r="T261" s="89">
        <f t="shared" si="60"/>
        <v>25.116225792481988</v>
      </c>
      <c r="U261" s="17"/>
      <c r="V261">
        <f t="shared" si="36"/>
        <v>103</v>
      </c>
      <c r="W261" s="3">
        <f t="shared" si="49"/>
        <v>37.739413533850168</v>
      </c>
      <c r="X261" s="113">
        <f t="shared" si="37"/>
        <v>155.3894239292618</v>
      </c>
      <c r="Y261" s="98">
        <f t="shared" si="61"/>
        <v>4.8086635388709027</v>
      </c>
      <c r="Z261" s="98">
        <f t="shared" si="62"/>
        <v>22.235103667138301</v>
      </c>
      <c r="AA261" s="98">
        <f t="shared" si="63"/>
        <v>49.501791410877075</v>
      </c>
      <c r="AB261" s="98">
        <f t="shared" si="64"/>
        <v>26.400955419134434</v>
      </c>
      <c r="AC261" s="98">
        <f t="shared" si="65"/>
        <v>39.264507383358122</v>
      </c>
      <c r="AD261" s="98">
        <f t="shared" si="66"/>
        <v>28.854477853158951</v>
      </c>
      <c r="AE261" s="98">
        <f t="shared" si="67"/>
        <v>14.412826100478995</v>
      </c>
      <c r="AF261" s="98">
        <f t="shared" si="68"/>
        <v>36.155053772029632</v>
      </c>
      <c r="AG261" s="3">
        <f t="shared" si="69"/>
        <v>180.66966183414587</v>
      </c>
    </row>
    <row r="262" spans="1:33" ht="14">
      <c r="A262">
        <f t="shared" si="70"/>
        <v>104</v>
      </c>
      <c r="B262" s="19">
        <f t="shared" si="70"/>
        <v>184</v>
      </c>
      <c r="C262" s="26">
        <f t="shared" si="35"/>
        <v>155.63335554999506</v>
      </c>
      <c r="D262" s="83">
        <f>C$158*(0.4*D$14)*('Product half-life and C flows'!B123/100)</f>
        <v>0.23238520060359549</v>
      </c>
      <c r="E262" s="85"/>
      <c r="F262" s="85">
        <f t="shared" si="55"/>
        <v>23.063658997738134</v>
      </c>
      <c r="G262" s="85">
        <f t="shared" si="56"/>
        <v>12.300618132127003</v>
      </c>
      <c r="H262" s="83">
        <f>C$158*(0.6*C$15)*('Product half-life and C flows'!L123/100)</f>
        <v>7.7457449069524174</v>
      </c>
      <c r="I262" s="85">
        <f>C$158*0.6*('Product half-life and C flows'!N123/100)</f>
        <v>20.482920295133606</v>
      </c>
      <c r="J262" s="85">
        <f>C$158*0.6*('Product half-life and C flows'!P123/100)</f>
        <v>10.231228918648153</v>
      </c>
      <c r="K262" s="85">
        <f t="shared" si="57"/>
        <v>11.038827979547648</v>
      </c>
      <c r="L262" s="3"/>
      <c r="M262" s="90">
        <f>E$238*(0.4*M$41)*('Product half-life and C flows'!B42/100)</f>
        <v>4.4124776051681218</v>
      </c>
      <c r="N262" s="90">
        <f t="shared" si="53"/>
        <v>24.140919721338808</v>
      </c>
      <c r="O262" s="89">
        <f t="shared" si="58"/>
        <v>26.438132413138941</v>
      </c>
      <c r="P262" s="89">
        <f t="shared" si="59"/>
        <v>14.100337287007433</v>
      </c>
      <c r="Q262" s="91">
        <f>E$238*(0.6*Q$42)*('Product half-life and C flows'!L42/100)</f>
        <v>30.918594780143223</v>
      </c>
      <c r="R262" s="91">
        <f>E$238*0.6*('Product half-life and C flows'!N42/100)</f>
        <v>8.772069467331173</v>
      </c>
      <c r="S262" s="91">
        <f>E$238*0.6*('Product half-life and C flows'!P42/100)</f>
        <v>4.3816530805850009</v>
      </c>
      <c r="T262" s="89">
        <f t="shared" si="60"/>
        <v>25.116225792481988</v>
      </c>
      <c r="U262" s="17"/>
      <c r="V262">
        <f t="shared" si="36"/>
        <v>104</v>
      </c>
      <c r="W262" s="3">
        <f t="shared" si="49"/>
        <v>37.812766923564119</v>
      </c>
      <c r="X262" s="113">
        <f t="shared" si="37"/>
        <v>155.63335554999506</v>
      </c>
      <c r="Y262" s="98">
        <f t="shared" si="61"/>
        <v>4.6448628057717176</v>
      </c>
      <c r="Z262" s="98">
        <f t="shared" si="62"/>
        <v>24.140919721338808</v>
      </c>
      <c r="AA262" s="98">
        <f t="shared" si="63"/>
        <v>49.501791410877075</v>
      </c>
      <c r="AB262" s="98">
        <f t="shared" si="64"/>
        <v>26.400955419134434</v>
      </c>
      <c r="AC262" s="98">
        <f t="shared" si="65"/>
        <v>38.664339687095641</v>
      </c>
      <c r="AD262" s="98">
        <f t="shared" si="66"/>
        <v>29.254989762464781</v>
      </c>
      <c r="AE262" s="98">
        <f t="shared" si="67"/>
        <v>14.612881999233153</v>
      </c>
      <c r="AF262" s="98">
        <f t="shared" si="68"/>
        <v>36.155053772029632</v>
      </c>
      <c r="AG262" s="3">
        <f t="shared" si="69"/>
        <v>182.57587800014392</v>
      </c>
    </row>
    <row r="263" spans="1:33" ht="14">
      <c r="A263">
        <f t="shared" si="70"/>
        <v>105</v>
      </c>
      <c r="B263" s="19">
        <f t="shared" si="70"/>
        <v>185</v>
      </c>
      <c r="C263" s="26">
        <f t="shared" si="35"/>
        <v>155.87270462215298</v>
      </c>
      <c r="D263" s="83">
        <f>C$158*(0.4*D$14)*('Product half-life and C flows'!B124/100)</f>
        <v>0.22446930756750083</v>
      </c>
      <c r="E263" s="85"/>
      <c r="F263" s="85">
        <f t="shared" si="55"/>
        <v>23.063658997738134</v>
      </c>
      <c r="G263" s="85">
        <f t="shared" si="56"/>
        <v>12.300618132127003</v>
      </c>
      <c r="H263" s="83">
        <f>C$158*(0.6*C$15)*('Product half-life and C flows'!L124/100)</f>
        <v>7.6273492823427773</v>
      </c>
      <c r="I263" s="85">
        <f>C$158*0.6*('Product half-life and C flows'!N124/100)</f>
        <v>20.561929641956439</v>
      </c>
      <c r="J263" s="85">
        <f>C$158*0.6*('Product half-life and C flows'!P124/100)</f>
        <v>10.270694126851366</v>
      </c>
      <c r="K263" s="85">
        <f t="shared" si="57"/>
        <v>11.038827979547648</v>
      </c>
      <c r="L263" s="3"/>
      <c r="M263" s="90">
        <f>E$238*(0.4*M$41)*('Product half-life and C flows'!B43/100)</f>
        <v>4.2621724193991888</v>
      </c>
      <c r="N263" s="90">
        <f t="shared" si="53"/>
        <v>26.071728237167552</v>
      </c>
      <c r="O263" s="89">
        <f t="shared" si="58"/>
        <v>26.438132413138941</v>
      </c>
      <c r="P263" s="89">
        <f t="shared" si="59"/>
        <v>14.100337287007433</v>
      </c>
      <c r="Q263" s="91">
        <f>E$238*(0.6*Q$42)*('Product half-life and C flows'!L43/100)</f>
        <v>30.445996420008523</v>
      </c>
      <c r="R263" s="91">
        <f>E$238*0.6*('Product half-life and C flows'!N43/100)</f>
        <v>9.0874501063277293</v>
      </c>
      <c r="S263" s="91">
        <f>E$238*0.6*('Product half-life and C flows'!P43/100)</f>
        <v>4.5391858672965668</v>
      </c>
      <c r="T263" s="89">
        <f t="shared" si="60"/>
        <v>25.116225792481988</v>
      </c>
      <c r="U263" s="17"/>
      <c r="V263">
        <f t="shared" si="36"/>
        <v>105</v>
      </c>
      <c r="W263" s="3">
        <f t="shared" si="49"/>
        <v>37.883333560016261</v>
      </c>
      <c r="X263" s="113">
        <f t="shared" si="37"/>
        <v>155.87270462215298</v>
      </c>
      <c r="Y263" s="98">
        <f t="shared" si="61"/>
        <v>4.4866417269666901</v>
      </c>
      <c r="Z263" s="98">
        <f t="shared" si="62"/>
        <v>26.071728237167552</v>
      </c>
      <c r="AA263" s="98">
        <f t="shared" si="63"/>
        <v>49.501791410877075</v>
      </c>
      <c r="AB263" s="98">
        <f t="shared" si="64"/>
        <v>26.400955419134434</v>
      </c>
      <c r="AC263" s="98">
        <f t="shared" si="65"/>
        <v>38.073345702351304</v>
      </c>
      <c r="AD263" s="98">
        <f t="shared" si="66"/>
        <v>29.649379748284169</v>
      </c>
      <c r="AE263" s="98">
        <f t="shared" si="67"/>
        <v>14.809879994147932</v>
      </c>
      <c r="AF263" s="98">
        <f t="shared" si="68"/>
        <v>36.155053772029632</v>
      </c>
      <c r="AG263" s="3">
        <f t="shared" si="69"/>
        <v>184.50708051196244</v>
      </c>
    </row>
    <row r="264" spans="1:33" ht="14">
      <c r="A264">
        <f t="shared" si="70"/>
        <v>106</v>
      </c>
      <c r="B264" s="19">
        <f t="shared" si="70"/>
        <v>186</v>
      </c>
      <c r="C264" s="26">
        <f t="shared" si="35"/>
        <v>156.10755229882932</v>
      </c>
      <c r="D264" s="83">
        <f>C$158*(0.4*D$14)*('Product half-life and C flows'!B125/100)</f>
        <v>0.21682305890805392</v>
      </c>
      <c r="E264" s="85"/>
      <c r="F264" s="85">
        <f t="shared" si="55"/>
        <v>23.063658997738134</v>
      </c>
      <c r="G264" s="85">
        <f t="shared" si="56"/>
        <v>12.300618132127003</v>
      </c>
      <c r="H264" s="83">
        <f>C$158*(0.6*C$15)*('Product half-life and C flows'!L125/100)</f>
        <v>7.5107633641067792</v>
      </c>
      <c r="I264" s="85">
        <f>C$158*0.6*('Product half-life and C flows'!N125/100)</f>
        <v>20.639731311392598</v>
      </c>
      <c r="J264" s="85">
        <f>C$158*0.6*('Product half-life and C flows'!P125/100)</f>
        <v>10.309556099596698</v>
      </c>
      <c r="K264" s="85">
        <f t="shared" si="57"/>
        <v>11.038827979547648</v>
      </c>
      <c r="L264" s="3"/>
      <c r="M264" s="90">
        <f>E$238*(0.4*M$41)*('Product half-life and C flows'!B44/100)</f>
        <v>4.11698718003918</v>
      </c>
      <c r="N264" s="90">
        <f t="shared" si="53"/>
        <v>28.021275991399175</v>
      </c>
      <c r="O264" s="89">
        <f t="shared" si="58"/>
        <v>26.438132413138941</v>
      </c>
      <c r="P264" s="89">
        <f t="shared" si="59"/>
        <v>14.100337287007433</v>
      </c>
      <c r="Q264" s="91">
        <f>E$238*(0.6*Q$42)*('Product half-life and C flows'!L44/100)</f>
        <v>29.980621842571278</v>
      </c>
      <c r="R264" s="91">
        <f>E$238*0.6*('Product half-life and C flows'!N44/100)</f>
        <v>9.3980100743375203</v>
      </c>
      <c r="S264" s="91">
        <f>E$238*0.6*('Product half-life and C flows'!P44/100)</f>
        <v>4.6943107264423167</v>
      </c>
      <c r="T264" s="89">
        <f t="shared" si="60"/>
        <v>25.116225792481988</v>
      </c>
      <c r="U264" s="17"/>
      <c r="V264">
        <f t="shared" si="36"/>
        <v>106</v>
      </c>
      <c r="W264" s="3">
        <f t="shared" si="49"/>
        <v>37.951215885630624</v>
      </c>
      <c r="X264" s="113">
        <f t="shared" si="37"/>
        <v>156.10755229882932</v>
      </c>
      <c r="Y264" s="98">
        <f t="shared" si="61"/>
        <v>4.3338102389472342</v>
      </c>
      <c r="Z264" s="98">
        <f t="shared" si="62"/>
        <v>28.021275991399175</v>
      </c>
      <c r="AA264" s="98">
        <f t="shared" si="63"/>
        <v>49.501791410877075</v>
      </c>
      <c r="AB264" s="98">
        <f t="shared" si="64"/>
        <v>26.400955419134434</v>
      </c>
      <c r="AC264" s="98">
        <f t="shared" si="65"/>
        <v>37.491385206678061</v>
      </c>
      <c r="AD264" s="98">
        <f t="shared" si="66"/>
        <v>30.037741385730119</v>
      </c>
      <c r="AE264" s="98">
        <f t="shared" si="67"/>
        <v>15.003866826039015</v>
      </c>
      <c r="AF264" s="98">
        <f t="shared" si="68"/>
        <v>36.155053772029632</v>
      </c>
      <c r="AG264" s="3">
        <f t="shared" si="69"/>
        <v>186.45701623985786</v>
      </c>
    </row>
    <row r="265" spans="1:33" ht="14">
      <c r="A265">
        <f t="shared" si="70"/>
        <v>107</v>
      </c>
      <c r="B265" s="19">
        <f t="shared" si="70"/>
        <v>187</v>
      </c>
      <c r="C265" s="26">
        <f t="shared" si="35"/>
        <v>156.33797849500814</v>
      </c>
      <c r="D265" s="83">
        <f>C$158*(0.4*D$14)*('Product half-life and C flows'!B126/100)</f>
        <v>0.20943726954790115</v>
      </c>
      <c r="E265" s="85"/>
      <c r="F265" s="85">
        <f t="shared" si="55"/>
        <v>23.063658997738134</v>
      </c>
      <c r="G265" s="85">
        <f t="shared" si="56"/>
        <v>12.300618132127003</v>
      </c>
      <c r="H265" s="83">
        <f>C$158*(0.6*C$15)*('Product half-life and C flows'!L126/100)</f>
        <v>7.3959594904353851</v>
      </c>
      <c r="I265" s="85">
        <f>C$158*0.6*('Product half-life and C flows'!N126/100)</f>
        <v>20.716343763089302</v>
      </c>
      <c r="J265" s="85">
        <f>C$158*0.6*('Product half-life and C flows'!P126/100)</f>
        <v>10.347824057487163</v>
      </c>
      <c r="K265" s="85">
        <f t="shared" si="57"/>
        <v>11.038827979547648</v>
      </c>
      <c r="L265" s="3"/>
      <c r="M265" s="90">
        <f>E$238*(0.4*M$41)*('Product half-life and C flows'!B45/100)</f>
        <v>3.9767474829176974</v>
      </c>
      <c r="N265" s="90">
        <f t="shared" si="53"/>
        <v>29.983689709930267</v>
      </c>
      <c r="O265" s="89">
        <f t="shared" si="58"/>
        <v>26.438132413138941</v>
      </c>
      <c r="P265" s="89">
        <f t="shared" si="59"/>
        <v>14.100337287007433</v>
      </c>
      <c r="Q265" s="91">
        <f>E$238*(0.6*Q$42)*('Product half-life and C flows'!L45/100)</f>
        <v>29.522360630528194</v>
      </c>
      <c r="R265" s="91">
        <f>E$238*0.6*('Product half-life and C flows'!N45/100)</f>
        <v>9.7038230565076038</v>
      </c>
      <c r="S265" s="91">
        <f>E$238*0.6*('Product half-life and C flows'!P45/100)</f>
        <v>4.8470644637900113</v>
      </c>
      <c r="T265" s="89">
        <f t="shared" si="60"/>
        <v>25.116225792481988</v>
      </c>
      <c r="U265" s="17"/>
      <c r="V265">
        <f t="shared" si="36"/>
        <v>107</v>
      </c>
      <c r="W265" s="3">
        <f t="shared" si="49"/>
        <v>38.016512845137939</v>
      </c>
      <c r="X265" s="113">
        <f t="shared" si="37"/>
        <v>156.33797849500814</v>
      </c>
      <c r="Y265" s="98">
        <f t="shared" si="61"/>
        <v>4.1861847524655982</v>
      </c>
      <c r="Z265" s="98">
        <f t="shared" si="62"/>
        <v>29.983689709930267</v>
      </c>
      <c r="AA265" s="98">
        <f t="shared" si="63"/>
        <v>49.501791410877075</v>
      </c>
      <c r="AB265" s="98">
        <f t="shared" si="64"/>
        <v>26.400955419134434</v>
      </c>
      <c r="AC265" s="98">
        <f t="shared" si="65"/>
        <v>36.918320120963578</v>
      </c>
      <c r="AD265" s="98">
        <f t="shared" si="66"/>
        <v>30.420166819596908</v>
      </c>
      <c r="AE265" s="98">
        <f t="shared" si="67"/>
        <v>15.194888521277175</v>
      </c>
      <c r="AF265" s="98">
        <f t="shared" si="68"/>
        <v>36.155053772029632</v>
      </c>
      <c r="AG265" s="3">
        <f t="shared" si="69"/>
        <v>188.41981200177943</v>
      </c>
    </row>
    <row r="266" spans="1:33" ht="14">
      <c r="A266">
        <f t="shared" si="70"/>
        <v>108</v>
      </c>
      <c r="B266" s="19">
        <f t="shared" si="70"/>
        <v>188</v>
      </c>
      <c r="C266" s="26">
        <f t="shared" si="35"/>
        <v>156.56406189803187</v>
      </c>
      <c r="D266" s="83">
        <f>C$158*(0.4*D$14)*('Product half-life and C flows'!B127/100)</f>
        <v>0.20230306728714284</v>
      </c>
      <c r="E266" s="85"/>
      <c r="F266" s="85">
        <f t="shared" si="55"/>
        <v>23.063658997738134</v>
      </c>
      <c r="G266" s="85">
        <f t="shared" si="56"/>
        <v>12.300618132127003</v>
      </c>
      <c r="H266" s="83">
        <f>C$158*(0.6*C$15)*('Product half-life and C flows'!L127/100)</f>
        <v>7.2829104223371424</v>
      </c>
      <c r="I266" s="85">
        <f>C$158*0.6*('Product half-life and C flows'!N127/100)</f>
        <v>20.79178517453353</v>
      </c>
      <c r="J266" s="85">
        <f>C$158*0.6*('Product half-life and C flows'!P127/100)</f>
        <v>10.385507080186576</v>
      </c>
      <c r="K266" s="85">
        <f t="shared" si="57"/>
        <v>11.038827979547648</v>
      </c>
      <c r="L266" s="3"/>
      <c r="M266" s="90">
        <f>E$238*(0.4*M$41)*('Product half-life and C flows'!B46/100)</f>
        <v>3.8412848647106408</v>
      </c>
      <c r="N266" s="90">
        <f t="shared" si="53"/>
        <v>31.953481416457699</v>
      </c>
      <c r="O266" s="89">
        <f t="shared" si="58"/>
        <v>26.438132413138941</v>
      </c>
      <c r="P266" s="89">
        <f t="shared" si="59"/>
        <v>14.100337287007433</v>
      </c>
      <c r="Q266" s="91">
        <f>E$238*(0.6*Q$42)*('Product half-life and C flows'!L46/100)</f>
        <v>29.071104054331744</v>
      </c>
      <c r="R266" s="91">
        <f>E$238*0.6*('Product half-life and C flows'!N46/100)</f>
        <v>10.004961611689369</v>
      </c>
      <c r="S266" s="91">
        <f>E$238*0.6*('Product half-life and C flows'!P46/100)</f>
        <v>4.9974833225221618</v>
      </c>
      <c r="T266" s="89">
        <f t="shared" si="60"/>
        <v>25.116225792481988</v>
      </c>
      <c r="U266" s="17"/>
      <c r="V266">
        <f t="shared" si="36"/>
        <v>108</v>
      </c>
      <c r="W266" s="3">
        <f t="shared" si="49"/>
        <v>38.079319983466355</v>
      </c>
      <c r="X266" s="113">
        <f t="shared" si="37"/>
        <v>156.56406189803187</v>
      </c>
      <c r="Y266" s="98">
        <f t="shared" si="61"/>
        <v>4.0435879319977834</v>
      </c>
      <c r="Z266" s="98">
        <f t="shared" si="62"/>
        <v>31.953481416457699</v>
      </c>
      <c r="AA266" s="98">
        <f t="shared" si="63"/>
        <v>49.501791410877075</v>
      </c>
      <c r="AB266" s="98">
        <f t="shared" si="64"/>
        <v>26.400955419134434</v>
      </c>
      <c r="AC266" s="98">
        <f t="shared" si="65"/>
        <v>36.354014476668887</v>
      </c>
      <c r="AD266" s="98">
        <f t="shared" si="66"/>
        <v>30.796746786222897</v>
      </c>
      <c r="AE266" s="98">
        <f t="shared" si="67"/>
        <v>15.382990402708739</v>
      </c>
      <c r="AF266" s="98">
        <f t="shared" si="68"/>
        <v>36.155053772029632</v>
      </c>
      <c r="AG266" s="3">
        <f t="shared" si="69"/>
        <v>190.38997991206975</v>
      </c>
    </row>
    <row r="267" spans="1:33" ht="14">
      <c r="A267">
        <f t="shared" si="70"/>
        <v>109</v>
      </c>
      <c r="B267" s="19">
        <f t="shared" si="70"/>
        <v>189</v>
      </c>
      <c r="C267" s="26">
        <f t="shared" si="35"/>
        <v>156.78587997838801</v>
      </c>
      <c r="D267" s="83">
        <f>C$158*(0.4*D$14)*('Product half-life and C flows'!B128/100)</f>
        <v>0.19541188214557878</v>
      </c>
      <c r="E267" s="85"/>
      <c r="F267" s="85">
        <f t="shared" si="55"/>
        <v>23.063658997738134</v>
      </c>
      <c r="G267" s="85">
        <f t="shared" si="56"/>
        <v>12.300618132127003</v>
      </c>
      <c r="H267" s="83">
        <f>C$158*(0.6*C$15)*('Product half-life and C flows'!L128/100)</f>
        <v>7.1715893371753152</v>
      </c>
      <c r="I267" s="85">
        <f>C$158*0.6*('Product half-life and C flows'!N128/100)</f>
        <v>20.866073445364858</v>
      </c>
      <c r="J267" s="85">
        <f>C$158*0.6*('Product half-life and C flows'!P128/100)</f>
        <v>10.422614108573852</v>
      </c>
      <c r="K267" s="85">
        <f t="shared" si="57"/>
        <v>11.038827979547648</v>
      </c>
      <c r="L267" s="3"/>
      <c r="M267" s="90">
        <f>E$238*(0.4*M$41)*('Product half-life and C flows'!B47/100)</f>
        <v>3.7104366005731686</v>
      </c>
      <c r="N267" s="90">
        <f t="shared" si="53"/>
        <v>33.925548553733627</v>
      </c>
      <c r="O267" s="89">
        <f t="shared" si="58"/>
        <v>26.438132413138941</v>
      </c>
      <c r="P267" s="89">
        <f t="shared" si="59"/>
        <v>14.100337287007433</v>
      </c>
      <c r="Q267" s="91">
        <f>E$238*(0.6*Q$42)*('Product half-life and C flows'!L47/100)</f>
        <v>28.626745046392429</v>
      </c>
      <c r="R267" s="91">
        <f>E$238*0.6*('Product half-life and C flows'!N47/100)</f>
        <v>10.301497189654203</v>
      </c>
      <c r="S267" s="91">
        <f>E$238*0.6*('Product half-life and C flows'!P47/100)</f>
        <v>5.1456029918352657</v>
      </c>
      <c r="T267" s="89">
        <f t="shared" si="60"/>
        <v>25.116225792481988</v>
      </c>
      <c r="U267" s="17"/>
      <c r="V267">
        <f t="shared" si="36"/>
        <v>109</v>
      </c>
      <c r="W267" s="3">
        <f t="shared" si="49"/>
        <v>38.139729542737612</v>
      </c>
      <c r="X267" s="113">
        <f t="shared" si="37"/>
        <v>156.78587997838801</v>
      </c>
      <c r="Y267" s="98">
        <f t="shared" si="61"/>
        <v>3.9058484827187474</v>
      </c>
      <c r="Z267" s="98">
        <f t="shared" si="62"/>
        <v>33.925548553733627</v>
      </c>
      <c r="AA267" s="98">
        <f t="shared" si="63"/>
        <v>49.501791410877075</v>
      </c>
      <c r="AB267" s="98">
        <f t="shared" si="64"/>
        <v>26.400955419134434</v>
      </c>
      <c r="AC267" s="98">
        <f t="shared" si="65"/>
        <v>35.798334383567742</v>
      </c>
      <c r="AD267" s="98">
        <f t="shared" si="66"/>
        <v>31.167570635019061</v>
      </c>
      <c r="AE267" s="98">
        <f t="shared" si="67"/>
        <v>15.568217100409118</v>
      </c>
      <c r="AF267" s="98">
        <f t="shared" si="68"/>
        <v>36.155053772029632</v>
      </c>
      <c r="AG267" s="3">
        <f t="shared" si="69"/>
        <v>192.36241750274104</v>
      </c>
    </row>
    <row r="268" spans="1:33" ht="14">
      <c r="A268">
        <f t="shared" si="70"/>
        <v>110</v>
      </c>
      <c r="B268" s="19">
        <f t="shared" si="70"/>
        <v>190</v>
      </c>
      <c r="C268" s="26">
        <f t="shared" si="35"/>
        <v>157.00350900079047</v>
      </c>
      <c r="D268" s="83">
        <f>C$158*(0.4*D$14)*('Product half-life and C flows'!B129/100)</f>
        <v>0.18875543606799494</v>
      </c>
      <c r="E268" s="85"/>
      <c r="F268" s="85">
        <f t="shared" si="55"/>
        <v>23.063658997738134</v>
      </c>
      <c r="G268" s="85">
        <f t="shared" si="56"/>
        <v>12.300618132127003</v>
      </c>
      <c r="H268" s="83">
        <f>C$158*(0.6*C$15)*('Product half-life and C flows'!L129/100)</f>
        <v>7.061969822303789</v>
      </c>
      <c r="I268" s="85">
        <f>C$158*0.6*('Product half-life and C flows'!N129/100)</f>
        <v>20.939226201622461</v>
      </c>
      <c r="J268" s="85">
        <f>C$158*0.6*('Product half-life and C flows'!P129/100)</f>
        <v>10.459153946864362</v>
      </c>
      <c r="K268" s="85">
        <f t="shared" si="57"/>
        <v>11.038827979547648</v>
      </c>
      <c r="L268" s="3"/>
      <c r="M268" s="90">
        <f>E$238*(0.4*M$41)*('Product half-life and C flows'!B48/100)</f>
        <v>3.5840455086660308</v>
      </c>
      <c r="N268" s="90">
        <f t="shared" si="53"/>
        <v>35.895169859521509</v>
      </c>
      <c r="O268" s="89">
        <f t="shared" si="58"/>
        <v>26.438132413138941</v>
      </c>
      <c r="P268" s="89">
        <f t="shared" si="59"/>
        <v>14.100337287007433</v>
      </c>
      <c r="Q268" s="91">
        <f>E$238*(0.6*Q$42)*('Product half-life and C flows'!L48/100)</f>
        <v>28.18917817567527</v>
      </c>
      <c r="R268" s="91">
        <f>E$238*0.6*('Product half-life and C flows'!N48/100)</f>
        <v>10.593500148046122</v>
      </c>
      <c r="S268" s="91">
        <f>E$238*0.6*('Product half-life and C flows'!P48/100)</f>
        <v>5.2914586154076524</v>
      </c>
      <c r="T268" s="89">
        <f t="shared" si="60"/>
        <v>25.116225792481988</v>
      </c>
      <c r="U268" s="17"/>
      <c r="V268">
        <f t="shared" si="36"/>
        <v>110</v>
      </c>
      <c r="W268" s="3">
        <f t="shared" si="49"/>
        <v>38.197830558185984</v>
      </c>
      <c r="X268" s="113">
        <f t="shared" si="37"/>
        <v>157.00350900079047</v>
      </c>
      <c r="Y268" s="98">
        <f t="shared" si="61"/>
        <v>3.7728009447340258</v>
      </c>
      <c r="Z268" s="98">
        <f t="shared" si="62"/>
        <v>35.895169859521509</v>
      </c>
      <c r="AA268" s="98">
        <f t="shared" si="63"/>
        <v>49.501791410877075</v>
      </c>
      <c r="AB268" s="98">
        <f t="shared" si="64"/>
        <v>26.400955419134434</v>
      </c>
      <c r="AC268" s="98">
        <f t="shared" si="65"/>
        <v>35.251147997979061</v>
      </c>
      <c r="AD268" s="98">
        <f t="shared" si="66"/>
        <v>31.532726349668582</v>
      </c>
      <c r="AE268" s="98">
        <f t="shared" si="67"/>
        <v>15.750612562272014</v>
      </c>
      <c r="AF268" s="98">
        <f t="shared" si="68"/>
        <v>36.155053772029632</v>
      </c>
      <c r="AG268" s="3">
        <f t="shared" si="69"/>
        <v>194.33240359945268</v>
      </c>
    </row>
    <row r="269" spans="1:33" ht="14">
      <c r="A269">
        <f t="shared" si="70"/>
        <v>111</v>
      </c>
      <c r="B269" s="19">
        <f t="shared" si="70"/>
        <v>191</v>
      </c>
      <c r="C269" s="26">
        <f t="shared" si="35"/>
        <v>157.21702403553022</v>
      </c>
      <c r="D269" s="83">
        <f>C$158*(0.4*D$14)*('Product half-life and C flows'!B130/100)</f>
        <v>0.1823257329801275</v>
      </c>
      <c r="E269" s="85"/>
      <c r="F269" s="85">
        <f t="shared" si="55"/>
        <v>23.063658997738134</v>
      </c>
      <c r="G269" s="85">
        <f t="shared" si="56"/>
        <v>12.300618132127003</v>
      </c>
      <c r="H269" s="83">
        <f>C$158*(0.6*C$15)*('Product half-life and C flows'!L130/100)</f>
        <v>6.9540258688002856</v>
      </c>
      <c r="I269" s="85">
        <f>C$158*0.6*('Product half-life and C flows'!N130/100)</f>
        <v>21.011260799927129</v>
      </c>
      <c r="J269" s="85">
        <f>C$158*0.6*('Product half-life and C flows'!P130/100)</f>
        <v>10.495135264698863</v>
      </c>
      <c r="K269" s="85">
        <f t="shared" si="57"/>
        <v>11.038827979547648</v>
      </c>
      <c r="L269" s="3"/>
      <c r="M269" s="90">
        <f>E$238*(0.4*M$41)*('Product half-life and C flows'!B49/100)</f>
        <v>3.4619597613404456</v>
      </c>
      <c r="N269" s="90">
        <f t="shared" si="53"/>
        <v>37.85799783686052</v>
      </c>
      <c r="O269" s="89">
        <f t="shared" si="58"/>
        <v>26.438132413138941</v>
      </c>
      <c r="P269" s="89">
        <f t="shared" si="59"/>
        <v>14.100337287007433</v>
      </c>
      <c r="Q269" s="91">
        <f>E$238*(0.6*Q$42)*('Product half-life and C flows'!L49/100)</f>
        <v>27.758299622684738</v>
      </c>
      <c r="R269" s="91">
        <f>E$238*0.6*('Product half-life and C flows'!N49/100)</f>
        <v>10.881039769075139</v>
      </c>
      <c r="S269" s="91">
        <f>E$238*0.6*('Product half-life and C flows'!P49/100)</f>
        <v>5.4350847997378304</v>
      </c>
      <c r="T269" s="89">
        <f t="shared" si="60"/>
        <v>25.116225792481988</v>
      </c>
      <c r="U269" s="17"/>
      <c r="V269">
        <f t="shared" si="36"/>
        <v>111</v>
      </c>
      <c r="W269" s="3">
        <f t="shared" si="49"/>
        <v>38.253708952839823</v>
      </c>
      <c r="X269" s="113">
        <f t="shared" si="37"/>
        <v>157.21702403553022</v>
      </c>
      <c r="Y269" s="98">
        <f t="shared" si="61"/>
        <v>3.6442854943205729</v>
      </c>
      <c r="Z269" s="98">
        <f t="shared" si="62"/>
        <v>37.85799783686052</v>
      </c>
      <c r="AA269" s="98">
        <f t="shared" si="63"/>
        <v>49.501791410877075</v>
      </c>
      <c r="AB269" s="98">
        <f t="shared" si="64"/>
        <v>26.400955419134434</v>
      </c>
      <c r="AC269" s="98">
        <f t="shared" si="65"/>
        <v>34.712325491485025</v>
      </c>
      <c r="AD269" s="98">
        <f t="shared" si="66"/>
        <v>31.892300569002266</v>
      </c>
      <c r="AE269" s="98">
        <f t="shared" si="67"/>
        <v>15.930220064436693</v>
      </c>
      <c r="AF269" s="98">
        <f t="shared" si="68"/>
        <v>36.155053772029632</v>
      </c>
      <c r="AG269" s="3">
        <f t="shared" si="69"/>
        <v>196.295590791796</v>
      </c>
    </row>
    <row r="270" spans="1:33" ht="14">
      <c r="A270">
        <f t="shared" si="70"/>
        <v>112</v>
      </c>
      <c r="B270" s="19">
        <f t="shared" si="70"/>
        <v>192</v>
      </c>
      <c r="C270" s="26">
        <f t="shared" ref="C270:C318" si="71">B$8*(1-EXP(-B$9*$B270))^3</f>
        <v>157.42649897007195</v>
      </c>
      <c r="D270" s="83">
        <f>C$158*(0.4*D$14)*('Product half-life and C flows'!B131/100)</f>
        <v>0.17611504918335599</v>
      </c>
      <c r="E270" s="85"/>
      <c r="F270" s="85">
        <f t="shared" si="55"/>
        <v>23.063658997738134</v>
      </c>
      <c r="G270" s="85">
        <f t="shared" si="56"/>
        <v>12.300618132127003</v>
      </c>
      <c r="H270" s="83">
        <f>C$158*(0.6*C$15)*('Product half-life and C flows'!L131/100)</f>
        <v>6.8477318652953185</v>
      </c>
      <c r="I270" s="85">
        <f>C$158*0.6*('Product half-life and C flows'!N131/100)</f>
        <v>21.082194331599446</v>
      </c>
      <c r="J270" s="85">
        <f>C$158*0.6*('Product half-life and C flows'!P131/100)</f>
        <v>10.530566599200519</v>
      </c>
      <c r="K270" s="85">
        <f t="shared" si="57"/>
        <v>11.038827979547648</v>
      </c>
      <c r="L270" s="3"/>
      <c r="M270" s="90">
        <f>E$238*(0.4*M$41)*('Product half-life and C flows'!B50/100)</f>
        <v>3.3440327027547245</v>
      </c>
      <c r="N270" s="90">
        <f t="shared" si="53"/>
        <v>39.810048534318845</v>
      </c>
      <c r="O270" s="89">
        <f t="shared" si="58"/>
        <v>26.438132413138941</v>
      </c>
      <c r="P270" s="89">
        <f t="shared" si="59"/>
        <v>14.100337287007433</v>
      </c>
      <c r="Q270" s="91">
        <f>E$238*(0.6*Q$42)*('Product half-life and C flows'!L50/100)</f>
        <v>27.334007154831919</v>
      </c>
      <c r="R270" s="91">
        <f>E$238*0.6*('Product half-life and C flows'!N50/100)</f>
        <v>11.164184275955586</v>
      </c>
      <c r="S270" s="91">
        <f>E$238*0.6*('Product half-life and C flows'!P50/100)</f>
        <v>5.5765156223554362</v>
      </c>
      <c r="T270" s="89">
        <f t="shared" si="60"/>
        <v>25.116225792481988</v>
      </c>
      <c r="U270" s="17"/>
      <c r="V270">
        <f t="shared" ref="V270:V318" si="72">A270</f>
        <v>112</v>
      </c>
      <c r="W270" s="3">
        <f t="shared" si="49"/>
        <v>38.307447630826985</v>
      </c>
      <c r="X270" s="113">
        <f t="shared" ref="X270:X318" si="73">C270</f>
        <v>157.42649897007195</v>
      </c>
      <c r="Y270" s="98">
        <f t="shared" si="61"/>
        <v>3.5201477519380804</v>
      </c>
      <c r="Z270" s="98">
        <f t="shared" si="62"/>
        <v>39.810048534318845</v>
      </c>
      <c r="AA270" s="98">
        <f t="shared" si="63"/>
        <v>49.501791410877075</v>
      </c>
      <c r="AB270" s="98">
        <f t="shared" si="64"/>
        <v>26.400955419134434</v>
      </c>
      <c r="AC270" s="98">
        <f t="shared" si="65"/>
        <v>34.181739020127239</v>
      </c>
      <c r="AD270" s="98">
        <f t="shared" si="66"/>
        <v>32.24637860755503</v>
      </c>
      <c r="AE270" s="98">
        <f t="shared" si="67"/>
        <v>16.107082221555956</v>
      </c>
      <c r="AF270" s="98">
        <f t="shared" si="68"/>
        <v>36.155053772029632</v>
      </c>
      <c r="AG270" s="3">
        <f t="shared" si="69"/>
        <v>198.24799521356857</v>
      </c>
    </row>
    <row r="271" spans="1:33" ht="14">
      <c r="A271">
        <f t="shared" si="70"/>
        <v>113</v>
      </c>
      <c r="B271" s="19">
        <f t="shared" si="70"/>
        <v>193</v>
      </c>
      <c r="C271" s="26">
        <f t="shared" si="71"/>
        <v>157.63200652087528</v>
      </c>
      <c r="D271" s="83">
        <f>C$158*(0.4*D$14)*('Product half-life and C flows'!B132/100)</f>
        <v>0.17011592407658943</v>
      </c>
      <c r="E271" s="85"/>
      <c r="F271" s="85">
        <f t="shared" si="55"/>
        <v>23.063658997738134</v>
      </c>
      <c r="G271" s="85">
        <f t="shared" si="56"/>
        <v>12.300618132127003</v>
      </c>
      <c r="H271" s="83">
        <f>C$158*(0.6*C$15)*('Product half-life and C flows'!L132/100)</f>
        <v>6.7430625918955105</v>
      </c>
      <c r="I271" s="85">
        <f>C$158*0.6*('Product half-life and C flows'!N132/100)</f>
        <v>21.152043626714917</v>
      </c>
      <c r="J271" s="85">
        <f>C$158*0.6*('Product half-life and C flows'!P132/100)</f>
        <v>10.565456357000453</v>
      </c>
      <c r="K271" s="85">
        <f t="shared" si="57"/>
        <v>11.038827979547648</v>
      </c>
      <c r="L271" s="3"/>
      <c r="M271" s="90">
        <f>E$238*(0.4*M$41)*('Product half-life and C flows'!B51/100)</f>
        <v>3.2301226727035282</v>
      </c>
      <c r="N271" s="90">
        <f t="shared" ref="N271:N302" si="74">C$8*(1-EXP(-C$9*$B110))^3</f>
        <v>41.747689244282668</v>
      </c>
      <c r="O271" s="89">
        <f t="shared" si="58"/>
        <v>26.438132413138941</v>
      </c>
      <c r="P271" s="89">
        <f t="shared" si="59"/>
        <v>14.100337287007433</v>
      </c>
      <c r="Q271" s="91">
        <f>E$238*(0.6*Q$42)*('Product half-life and C flows'!L51/100)</f>
        <v>26.916200102178291</v>
      </c>
      <c r="R271" s="91">
        <f>E$238*0.6*('Product half-life and C flows'!N51/100)</f>
        <v>11.443000849093108</v>
      </c>
      <c r="S271" s="91">
        <f>E$238*0.6*('Product half-life and C flows'!P51/100)</f>
        <v>5.7157846399066461</v>
      </c>
      <c r="T271" s="89">
        <f t="shared" si="60"/>
        <v>25.116225792481988</v>
      </c>
      <c r="U271" s="17"/>
      <c r="V271">
        <f t="shared" si="72"/>
        <v>113</v>
      </c>
      <c r="W271" s="3">
        <f t="shared" si="49"/>
        <v>38.359126569184305</v>
      </c>
      <c r="X271" s="113">
        <f t="shared" si="73"/>
        <v>157.63200652087528</v>
      </c>
      <c r="Y271" s="98">
        <f t="shared" si="61"/>
        <v>3.4002385967801176</v>
      </c>
      <c r="Z271" s="98">
        <f t="shared" si="62"/>
        <v>41.747689244282668</v>
      </c>
      <c r="AA271" s="98">
        <f t="shared" si="63"/>
        <v>49.501791410877075</v>
      </c>
      <c r="AB271" s="98">
        <f t="shared" si="64"/>
        <v>26.400955419134434</v>
      </c>
      <c r="AC271" s="98">
        <f t="shared" si="65"/>
        <v>33.659262694073803</v>
      </c>
      <c r="AD271" s="98">
        <f t="shared" si="66"/>
        <v>32.595044475808024</v>
      </c>
      <c r="AE271" s="98">
        <f t="shared" si="67"/>
        <v>16.281240996907101</v>
      </c>
      <c r="AF271" s="98">
        <f t="shared" si="68"/>
        <v>36.155053772029632</v>
      </c>
      <c r="AG271" s="3">
        <f t="shared" si="69"/>
        <v>200.18598424108313</v>
      </c>
    </row>
    <row r="272" spans="1:33" ht="14">
      <c r="A272">
        <f t="shared" ref="A272:B287" si="75">A271+1</f>
        <v>114</v>
      </c>
      <c r="B272" s="19">
        <f t="shared" si="75"/>
        <v>194</v>
      </c>
      <c r="C272" s="26">
        <f t="shared" si="71"/>
        <v>157.83361824541831</v>
      </c>
      <c r="D272" s="83">
        <f>C$158*(0.4*D$14)*('Product half-life and C flows'!B133/100)</f>
        <v>0.16432115119419854</v>
      </c>
      <c r="E272" s="85"/>
      <c r="F272" s="85">
        <f t="shared" si="55"/>
        <v>23.063658997738134</v>
      </c>
      <c r="G272" s="85">
        <f t="shared" si="56"/>
        <v>12.300618132127003</v>
      </c>
      <c r="H272" s="83">
        <f>C$158*(0.6*C$15)*('Product half-life and C flows'!L133/100)</f>
        <v>6.6399932141997944</v>
      </c>
      <c r="I272" s="85">
        <f>C$158*0.6*('Product half-life and C flows'!N133/100)</f>
        <v>21.220825258097193</v>
      </c>
      <c r="J272" s="85">
        <f>C$158*0.6*('Product half-life and C flows'!P133/100)</f>
        <v>10.59981281623236</v>
      </c>
      <c r="K272" s="85">
        <f t="shared" si="57"/>
        <v>11.038827979547648</v>
      </c>
      <c r="L272" s="3"/>
      <c r="M272" s="90">
        <f>E$238*(0.4*M$41)*('Product half-life and C flows'!B52/100)</f>
        <v>3.1200928364481562</v>
      </c>
      <c r="N272" s="90">
        <f t="shared" si="74"/>
        <v>43.667624633970696</v>
      </c>
      <c r="O272" s="89">
        <f t="shared" si="58"/>
        <v>26.438132413138941</v>
      </c>
      <c r="P272" s="89">
        <f t="shared" si="59"/>
        <v>14.100337287007433</v>
      </c>
      <c r="Q272" s="91">
        <f>E$238*(0.6*Q$42)*('Product half-life and C flows'!L52/100)</f>
        <v>26.504779333550204</v>
      </c>
      <c r="R272" s="91">
        <f>E$238*0.6*('Product half-life and C flows'!N52/100)</f>
        <v>11.717555642024248</v>
      </c>
      <c r="S272" s="91">
        <f>E$238*0.6*('Product half-life and C flows'!P52/100)</f>
        <v>5.8529248961160079</v>
      </c>
      <c r="T272" s="89">
        <f t="shared" si="60"/>
        <v>25.116225792481988</v>
      </c>
      <c r="U272" s="17"/>
      <c r="V272">
        <f t="shared" si="72"/>
        <v>114</v>
      </c>
      <c r="W272" s="3">
        <f t="shared" si="49"/>
        <v>38.408822908068679</v>
      </c>
      <c r="X272" s="113">
        <f t="shared" si="73"/>
        <v>157.83361824541831</v>
      </c>
      <c r="Y272" s="98">
        <f t="shared" si="61"/>
        <v>3.2844139876423548</v>
      </c>
      <c r="Z272" s="98">
        <f t="shared" si="62"/>
        <v>43.667624633970696</v>
      </c>
      <c r="AA272" s="98">
        <f t="shared" si="63"/>
        <v>49.501791410877075</v>
      </c>
      <c r="AB272" s="98">
        <f t="shared" si="64"/>
        <v>26.400955419134434</v>
      </c>
      <c r="AC272" s="98">
        <f t="shared" si="65"/>
        <v>33.144772547749994</v>
      </c>
      <c r="AD272" s="98">
        <f t="shared" si="66"/>
        <v>32.938380900121444</v>
      </c>
      <c r="AE272" s="98">
        <f t="shared" si="67"/>
        <v>16.452737712348366</v>
      </c>
      <c r="AF272" s="98">
        <f t="shared" si="68"/>
        <v>36.155053772029632</v>
      </c>
      <c r="AG272" s="3">
        <f t="shared" si="69"/>
        <v>202.10626262420203</v>
      </c>
    </row>
    <row r="273" spans="1:33" ht="14">
      <c r="A273">
        <f t="shared" si="75"/>
        <v>115</v>
      </c>
      <c r="B273" s="19">
        <f t="shared" si="75"/>
        <v>195</v>
      </c>
      <c r="C273" s="26">
        <f t="shared" si="71"/>
        <v>158.03140455440482</v>
      </c>
      <c r="D273" s="83">
        <f>C$158*(0.4*D$14)*('Product half-life and C flows'!B134/100)</f>
        <v>0.15872376954922865</v>
      </c>
      <c r="E273" s="85"/>
      <c r="F273" s="85">
        <f t="shared" si="55"/>
        <v>23.063658997738134</v>
      </c>
      <c r="G273" s="85">
        <f t="shared" si="56"/>
        <v>12.300618132127003</v>
      </c>
      <c r="H273" s="83">
        <f>C$158*(0.6*C$15)*('Product half-life and C flows'!L134/100)</f>
        <v>6.5384992774070501</v>
      </c>
      <c r="I273" s="85">
        <f>C$158*0.6*('Product half-life and C flows'!N134/100)</f>
        <v>21.288555545250215</v>
      </c>
      <c r="J273" s="85">
        <f>C$158*0.6*('Product half-life and C flows'!P134/100)</f>
        <v>10.633644128496607</v>
      </c>
      <c r="K273" s="85">
        <f t="shared" si="57"/>
        <v>11.038827979547648</v>
      </c>
      <c r="L273" s="3"/>
      <c r="M273" s="90">
        <f>E$238*(0.4*M$41)*('Product half-life and C flows'!B53/100)</f>
        <v>3.0138110203434403</v>
      </c>
      <c r="N273" s="90">
        <f t="shared" si="74"/>
        <v>45.566881743001851</v>
      </c>
      <c r="O273" s="89">
        <f t="shared" si="58"/>
        <v>26.438132413138941</v>
      </c>
      <c r="P273" s="89">
        <f t="shared" si="59"/>
        <v>14.100337287007433</v>
      </c>
      <c r="Q273" s="91">
        <f>E$238*(0.6*Q$42)*('Product half-life and C flows'!L53/100)</f>
        <v>26.099647233018512</v>
      </c>
      <c r="R273" s="91">
        <f>E$238*0.6*('Product half-life and C flows'!N53/100)</f>
        <v>11.9879137971124</v>
      </c>
      <c r="S273" s="91">
        <f>E$238*0.6*('Product half-life and C flows'!P53/100)</f>
        <v>5.9879689296265726</v>
      </c>
      <c r="T273" s="89">
        <f t="shared" si="60"/>
        <v>25.116225792481988</v>
      </c>
      <c r="U273" s="17"/>
      <c r="V273">
        <f t="shared" si="72"/>
        <v>115</v>
      </c>
      <c r="W273" s="3">
        <f t="shared" si="49"/>
        <v>38.456611039283139</v>
      </c>
      <c r="X273" s="113">
        <f t="shared" si="73"/>
        <v>158.03140455440482</v>
      </c>
      <c r="Y273" s="98">
        <f t="shared" si="61"/>
        <v>3.1725347898926688</v>
      </c>
      <c r="Z273" s="98">
        <f t="shared" si="62"/>
        <v>45.566881743001851</v>
      </c>
      <c r="AA273" s="98">
        <f t="shared" si="63"/>
        <v>49.501791410877075</v>
      </c>
      <c r="AB273" s="98">
        <f t="shared" si="64"/>
        <v>26.400955419134434</v>
      </c>
      <c r="AC273" s="98">
        <f t="shared" si="65"/>
        <v>32.638146510425564</v>
      </c>
      <c r="AD273" s="98">
        <f t="shared" si="66"/>
        <v>33.276469342362617</v>
      </c>
      <c r="AE273" s="98">
        <f t="shared" si="67"/>
        <v>16.621613058123181</v>
      </c>
      <c r="AF273" s="98">
        <f t="shared" si="68"/>
        <v>36.155053772029632</v>
      </c>
      <c r="AG273" s="3">
        <f t="shared" si="69"/>
        <v>204.00585748392473</v>
      </c>
    </row>
    <row r="274" spans="1:33" ht="14">
      <c r="A274">
        <f t="shared" si="75"/>
        <v>116</v>
      </c>
      <c r="B274" s="19">
        <f t="shared" si="75"/>
        <v>196</v>
      </c>
      <c r="C274" s="26">
        <f t="shared" si="71"/>
        <v>158.22543472413426</v>
      </c>
      <c r="D274" s="83">
        <f>C$158*(0.4*D$14)*('Product half-life and C flows'!B135/100)</f>
        <v>0.15331705527149517</v>
      </c>
      <c r="E274" s="85"/>
      <c r="F274" s="85">
        <f t="shared" si="55"/>
        <v>23.063658997738134</v>
      </c>
      <c r="G274" s="85">
        <f t="shared" si="56"/>
        <v>12.300618132127003</v>
      </c>
      <c r="H274" s="83">
        <f>C$158*(0.6*C$15)*('Product half-life and C flows'!L135/100)</f>
        <v>6.4385567005138391</v>
      </c>
      <c r="I274" s="85">
        <f>C$158*0.6*('Product half-life and C flows'!N135/100)</f>
        <v>21.355250558230285</v>
      </c>
      <c r="J274" s="85">
        <f>C$158*0.6*('Product half-life and C flows'!P135/100)</f>
        <v>10.666958320794345</v>
      </c>
      <c r="K274" s="85">
        <f t="shared" si="57"/>
        <v>11.038827979547648</v>
      </c>
      <c r="L274" s="3"/>
      <c r="M274" s="90">
        <f>E$238*(0.4*M$41)*('Product half-life and C flows'!B54/100)</f>
        <v>2.9111495530637863</v>
      </c>
      <c r="N274" s="90">
        <f t="shared" si="74"/>
        <v>47.44279421141578</v>
      </c>
      <c r="O274" s="89">
        <f t="shared" si="58"/>
        <v>26.438132413138941</v>
      </c>
      <c r="P274" s="89">
        <f t="shared" si="59"/>
        <v>14.100337287007433</v>
      </c>
      <c r="Q274" s="91">
        <f>E$238*(0.6*Q$42)*('Product half-life and C flows'!L54/100)</f>
        <v>25.700707676737633</v>
      </c>
      <c r="R274" s="91">
        <f>E$238*0.6*('Product half-life and C flows'!N54/100)</f>
        <v>12.254139461003838</v>
      </c>
      <c r="S274" s="91">
        <f>E$238*0.6*('Product half-life and C flows'!P54/100)</f>
        <v>6.1209487817201982</v>
      </c>
      <c r="T274" s="89">
        <f t="shared" si="60"/>
        <v>25.116225792481988</v>
      </c>
      <c r="U274" s="17"/>
      <c r="V274">
        <f t="shared" si="72"/>
        <v>116</v>
      </c>
      <c r="W274" s="3">
        <f t="shared" si="49"/>
        <v>38.502562693045697</v>
      </c>
      <c r="X274" s="113">
        <f t="shared" si="73"/>
        <v>158.22543472413426</v>
      </c>
      <c r="Y274" s="98">
        <f t="shared" si="61"/>
        <v>3.0644666083352816</v>
      </c>
      <c r="Z274" s="98">
        <f t="shared" si="62"/>
        <v>47.44279421141578</v>
      </c>
      <c r="AA274" s="98">
        <f t="shared" si="63"/>
        <v>49.501791410877075</v>
      </c>
      <c r="AB274" s="98">
        <f t="shared" si="64"/>
        <v>26.400955419134434</v>
      </c>
      <c r="AC274" s="98">
        <f t="shared" si="65"/>
        <v>32.139264377251472</v>
      </c>
      <c r="AD274" s="98">
        <f t="shared" si="66"/>
        <v>33.609390019234127</v>
      </c>
      <c r="AE274" s="98">
        <f t="shared" si="67"/>
        <v>16.787907102514545</v>
      </c>
      <c r="AF274" s="98">
        <f t="shared" si="68"/>
        <v>36.155053772029632</v>
      </c>
      <c r="AG274" s="3">
        <f t="shared" si="69"/>
        <v>205.88210254042744</v>
      </c>
    </row>
    <row r="275" spans="1:33" ht="14">
      <c r="A275">
        <f t="shared" si="75"/>
        <v>117</v>
      </c>
      <c r="B275" s="19">
        <f t="shared" si="75"/>
        <v>197</v>
      </c>
      <c r="C275" s="26">
        <f t="shared" si="71"/>
        <v>158.41577690901786</v>
      </c>
      <c r="D275" s="83">
        <f>C$158*(0.4*D$14)*('Product half-life and C flows'!B136/100)</f>
        <v>0.14809451353051575</v>
      </c>
      <c r="E275" s="85"/>
      <c r="F275" s="85">
        <f t="shared" si="55"/>
        <v>23.063658997738134</v>
      </c>
      <c r="G275" s="85">
        <f t="shared" si="56"/>
        <v>12.300618132127003</v>
      </c>
      <c r="H275" s="83">
        <f>C$158*(0.6*C$15)*('Product half-life and C flows'!L136/100)</f>
        <v>6.3401417706008125</v>
      </c>
      <c r="I275" s="85">
        <f>C$158*0.6*('Product half-life and C flows'!N136/100)</f>
        <v>21.420926121458912</v>
      </c>
      <c r="J275" s="85">
        <f>C$158*0.6*('Product half-life and C flows'!P136/100)</f>
        <v>10.699763297432021</v>
      </c>
      <c r="K275" s="85">
        <f t="shared" si="57"/>
        <v>11.038827979547648</v>
      </c>
      <c r="L275" s="3"/>
      <c r="M275" s="90">
        <f>E$238*(0.4*M$41)*('Product half-life and C flows'!B55/100)</f>
        <v>2.8119851122376383</v>
      </c>
      <c r="N275" s="90">
        <f t="shared" si="74"/>
        <v>49.292986041673906</v>
      </c>
      <c r="O275" s="89">
        <f t="shared" si="58"/>
        <v>26.438132413138941</v>
      </c>
      <c r="P275" s="89">
        <f t="shared" si="59"/>
        <v>14.100337287007433</v>
      </c>
      <c r="Q275" s="91">
        <f>E$238*(0.6*Q$42)*('Product half-life and C flows'!L55/100)</f>
        <v>25.307866010138742</v>
      </c>
      <c r="R275" s="91">
        <f>E$238*0.6*('Product half-life and C flows'!N55/100)</f>
        <v>12.5162957998475</v>
      </c>
      <c r="S275" s="91">
        <f>E$238*0.6*('Product half-life and C flows'!P55/100)</f>
        <v>6.2518960039198292</v>
      </c>
      <c r="T275" s="89">
        <f t="shared" si="60"/>
        <v>25.116225792481988</v>
      </c>
      <c r="U275" s="17"/>
      <c r="V275">
        <f t="shared" si="72"/>
        <v>117</v>
      </c>
      <c r="W275" s="3">
        <f t="shared" si="49"/>
        <v>38.54674702294178</v>
      </c>
      <c r="X275" s="113">
        <f t="shared" si="73"/>
        <v>158.41577690901786</v>
      </c>
      <c r="Y275" s="98">
        <f t="shared" si="61"/>
        <v>2.9600796257681541</v>
      </c>
      <c r="Z275" s="98">
        <f t="shared" si="62"/>
        <v>49.292986041673906</v>
      </c>
      <c r="AA275" s="98">
        <f t="shared" si="63"/>
        <v>49.501791410877075</v>
      </c>
      <c r="AB275" s="98">
        <f t="shared" si="64"/>
        <v>26.400955419134434</v>
      </c>
      <c r="AC275" s="98">
        <f t="shared" si="65"/>
        <v>31.648007780739555</v>
      </c>
      <c r="AD275" s="98">
        <f t="shared" si="66"/>
        <v>33.93722192130641</v>
      </c>
      <c r="AE275" s="98">
        <f t="shared" si="67"/>
        <v>16.95165930135185</v>
      </c>
      <c r="AF275" s="98">
        <f t="shared" si="68"/>
        <v>36.155053772029632</v>
      </c>
      <c r="AG275" s="3">
        <f t="shared" si="69"/>
        <v>207.73262187508323</v>
      </c>
    </row>
    <row r="276" spans="1:33" ht="14">
      <c r="A276">
        <f t="shared" si="75"/>
        <v>118</v>
      </c>
      <c r="B276" s="19">
        <f t="shared" si="75"/>
        <v>198</v>
      </c>
      <c r="C276" s="26">
        <f t="shared" si="71"/>
        <v>158.60249815422287</v>
      </c>
      <c r="D276" s="83">
        <f>C$158*(0.4*D$14)*('Product half-life and C flows'!B137/100)</f>
        <v>0.14304987073357706</v>
      </c>
      <c r="E276" s="85"/>
      <c r="F276" s="85">
        <f t="shared" si="55"/>
        <v>23.063658997738134</v>
      </c>
      <c r="G276" s="85">
        <f t="shared" si="56"/>
        <v>12.300618132127003</v>
      </c>
      <c r="H276" s="83">
        <f>C$158*(0.6*C$15)*('Product half-life and C flows'!L137/100)</f>
        <v>6.2432311372064468</v>
      </c>
      <c r="I276" s="85">
        <f>C$158*0.6*('Product half-life and C flows'!N137/100)</f>
        <v>21.485597817477419</v>
      </c>
      <c r="J276" s="85">
        <f>C$158*0.6*('Product half-life and C flows'!P137/100)</f>
        <v>10.732066841896808</v>
      </c>
      <c r="K276" s="85">
        <f t="shared" si="57"/>
        <v>11.038827979547648</v>
      </c>
      <c r="L276" s="3"/>
      <c r="M276" s="90">
        <f>E$238*(0.4*M$41)*('Product half-life and C flows'!B56/100)</f>
        <v>2.716198576306144</v>
      </c>
      <c r="N276" s="90">
        <f t="shared" si="74"/>
        <v>51.115355146144822</v>
      </c>
      <c r="O276" s="89">
        <f t="shared" si="58"/>
        <v>26.438132413138941</v>
      </c>
      <c r="P276" s="89">
        <f t="shared" si="59"/>
        <v>14.100337287007433</v>
      </c>
      <c r="Q276" s="91">
        <f>E$238*(0.6*Q$42)*('Product half-life and C flows'!L56/100)</f>
        <v>24.921029025471462</v>
      </c>
      <c r="R276" s="91">
        <f>E$238*0.6*('Product half-life and C flows'!N56/100)</f>
        <v>12.774445014282133</v>
      </c>
      <c r="S276" s="91">
        <f>E$238*0.6*('Product half-life and C flows'!P56/100)</f>
        <v>6.3808416654755895</v>
      </c>
      <c r="T276" s="89">
        <f t="shared" si="60"/>
        <v>25.116225792481988</v>
      </c>
      <c r="U276" s="17"/>
      <c r="V276">
        <f t="shared" si="72"/>
        <v>118</v>
      </c>
      <c r="W276" s="3">
        <f t="shared" si="49"/>
        <v>38.589230689012595</v>
      </c>
      <c r="X276" s="113">
        <f t="shared" si="73"/>
        <v>158.60249815422287</v>
      </c>
      <c r="Y276" s="98">
        <f t="shared" si="61"/>
        <v>2.8592484470397213</v>
      </c>
      <c r="Z276" s="98">
        <f t="shared" si="62"/>
        <v>51.115355146144822</v>
      </c>
      <c r="AA276" s="98">
        <f t="shared" si="63"/>
        <v>49.501791410877075</v>
      </c>
      <c r="AB276" s="98">
        <f t="shared" si="64"/>
        <v>26.400955419134434</v>
      </c>
      <c r="AC276" s="98">
        <f t="shared" si="65"/>
        <v>31.164260162677909</v>
      </c>
      <c r="AD276" s="98">
        <f t="shared" si="66"/>
        <v>34.260042831759549</v>
      </c>
      <c r="AE276" s="98">
        <f t="shared" si="67"/>
        <v>17.112908507372396</v>
      </c>
      <c r="AF276" s="98">
        <f t="shared" si="68"/>
        <v>36.155053772029632</v>
      </c>
      <c r="AG276" s="3">
        <f t="shared" si="69"/>
        <v>209.55531347796617</v>
      </c>
    </row>
    <row r="277" spans="1:33" ht="14">
      <c r="A277">
        <f t="shared" si="75"/>
        <v>119</v>
      </c>
      <c r="B277" s="19">
        <f t="shared" si="75"/>
        <v>199</v>
      </c>
      <c r="C277" s="26">
        <f t="shared" si="71"/>
        <v>158.78566440842806</v>
      </c>
      <c r="D277" s="83">
        <f>C$158*(0.4*D$14)*('Product half-life and C flows'!B138/100)</f>
        <v>0.13817706698956517</v>
      </c>
      <c r="E277" s="85"/>
      <c r="F277" s="85">
        <f t="shared" si="55"/>
        <v>23.063658997738134</v>
      </c>
      <c r="G277" s="85">
        <f t="shared" si="56"/>
        <v>12.300618132127003</v>
      </c>
      <c r="H277" s="83">
        <f>C$158*(0.6*C$15)*('Product half-life and C flows'!L138/100)</f>
        <v>6.147801806786795</v>
      </c>
      <c r="I277" s="85">
        <f>C$158*0.6*('Product half-life and C flows'!N138/100)</f>
        <v>21.549280990644135</v>
      </c>
      <c r="J277" s="85">
        <f>C$158*0.6*('Product half-life and C flows'!P138/100)</f>
        <v>10.76387661870336</v>
      </c>
      <c r="K277" s="85">
        <f t="shared" si="57"/>
        <v>11.038827979547648</v>
      </c>
      <c r="L277" s="3"/>
      <c r="M277" s="90">
        <f>E$238*(0.4*M$41)*('Product half-life and C flows'!B57/100)</f>
        <v>2.6236748814280486</v>
      </c>
      <c r="N277" s="90">
        <f t="shared" si="74"/>
        <v>52.908056886839212</v>
      </c>
      <c r="O277" s="89">
        <f t="shared" si="58"/>
        <v>26.438132413138941</v>
      </c>
      <c r="P277" s="89">
        <f t="shared" si="59"/>
        <v>14.100337287007433</v>
      </c>
      <c r="Q277" s="91">
        <f>E$238*(0.6*Q$42)*('Product half-life and C flows'!L57/100)</f>
        <v>24.540104939688916</v>
      </c>
      <c r="R277" s="91">
        <f>E$238*0.6*('Product half-life and C flows'!N57/100)</f>
        <v>13.028648354194349</v>
      </c>
      <c r="S277" s="91">
        <f>E$238*0.6*('Product half-life and C flows'!P57/100)</f>
        <v>6.5078163607364372</v>
      </c>
      <c r="T277" s="89">
        <f t="shared" si="60"/>
        <v>25.116225792481988</v>
      </c>
      <c r="U277" s="17"/>
      <c r="V277">
        <f t="shared" si="72"/>
        <v>119</v>
      </c>
      <c r="W277" s="3">
        <f t="shared" si="49"/>
        <v>38.630077938942755</v>
      </c>
      <c r="X277" s="113">
        <f t="shared" si="73"/>
        <v>158.78566440842806</v>
      </c>
      <c r="Y277" s="98">
        <f t="shared" si="61"/>
        <v>2.7618519484176138</v>
      </c>
      <c r="Z277" s="98">
        <f t="shared" si="62"/>
        <v>52.908056886839212</v>
      </c>
      <c r="AA277" s="98">
        <f t="shared" si="63"/>
        <v>49.501791410877075</v>
      </c>
      <c r="AB277" s="98">
        <f t="shared" si="64"/>
        <v>26.400955419134434</v>
      </c>
      <c r="AC277" s="98">
        <f t="shared" si="65"/>
        <v>30.687906746475711</v>
      </c>
      <c r="AD277" s="98">
        <f t="shared" si="66"/>
        <v>34.577929344838481</v>
      </c>
      <c r="AE277" s="98">
        <f t="shared" si="67"/>
        <v>17.271692979439798</v>
      </c>
      <c r="AF277" s="98">
        <f t="shared" si="68"/>
        <v>36.155053772029632</v>
      </c>
      <c r="AG277" s="3">
        <f t="shared" si="69"/>
        <v>211.3483327876047</v>
      </c>
    </row>
    <row r="278" spans="1:33" ht="14">
      <c r="A278">
        <f t="shared" si="75"/>
        <v>120</v>
      </c>
      <c r="B278" s="19">
        <f t="shared" si="75"/>
        <v>200</v>
      </c>
      <c r="C278" s="26">
        <f t="shared" si="71"/>
        <v>158.96534053667563</v>
      </c>
      <c r="D278" s="83">
        <f>C$158*(0.4*D$14)*('Product half-life and C flows'!B139/100)</f>
        <v>0.13347024882950306</v>
      </c>
      <c r="E278" s="85"/>
      <c r="F278" s="85">
        <f t="shared" si="55"/>
        <v>23.063658997738134</v>
      </c>
      <c r="G278" s="85">
        <f t="shared" si="56"/>
        <v>12.300618132127003</v>
      </c>
      <c r="H278" s="83">
        <f>C$158*(0.6*C$15)*('Product half-life and C flows'!L139/100)</f>
        <v>6.0538311372599098</v>
      </c>
      <c r="I278" s="85">
        <f>C$158*0.6*('Product half-life and C flows'!N139/100)</f>
        <v>21.611990750775075</v>
      </c>
      <c r="J278" s="85">
        <f>C$158*0.6*('Product half-life and C flows'!P139/100)</f>
        <v>10.795200175212321</v>
      </c>
      <c r="K278" s="85">
        <f t="shared" si="57"/>
        <v>11.038827979547648</v>
      </c>
      <c r="L278" s="3"/>
      <c r="M278" s="90">
        <f>E$238*(0.4*M$41)*('Product half-life and C flows'!B58/100)</f>
        <v>2.5343028832589387</v>
      </c>
      <c r="N278" s="90">
        <f t="shared" si="74"/>
        <v>54.669487775772701</v>
      </c>
      <c r="O278" s="89">
        <f t="shared" si="58"/>
        <v>26.438132413138941</v>
      </c>
      <c r="P278" s="89">
        <f t="shared" si="59"/>
        <v>14.100337287007433</v>
      </c>
      <c r="Q278" s="91">
        <f>E$238*(0.6*Q$42)*('Product half-life and C flows'!L58/100)</f>
        <v>24.165003372670785</v>
      </c>
      <c r="R278" s="91">
        <f>E$238*0.6*('Product half-life and C flows'!N58/100)</f>
        <v>13.278966133251116</v>
      </c>
      <c r="S278" s="91">
        <f>E$238*0.6*('Product half-life and C flows'!P58/100)</f>
        <v>6.632850216409147</v>
      </c>
      <c r="T278" s="89">
        <f t="shared" si="60"/>
        <v>25.116225792481988</v>
      </c>
      <c r="U278" s="17"/>
      <c r="V278">
        <f t="shared" si="72"/>
        <v>120</v>
      </c>
      <c r="W278" s="3">
        <f t="shared" si="49"/>
        <v>38.669350687319792</v>
      </c>
      <c r="X278" s="113">
        <f t="shared" si="73"/>
        <v>158.96534053667563</v>
      </c>
      <c r="Y278" s="98">
        <f t="shared" si="61"/>
        <v>2.6677731320884419</v>
      </c>
      <c r="Z278" s="98">
        <f t="shared" si="62"/>
        <v>54.669487775772701</v>
      </c>
      <c r="AA278" s="98">
        <f t="shared" si="63"/>
        <v>49.501791410877075</v>
      </c>
      <c r="AB278" s="98">
        <f t="shared" si="64"/>
        <v>26.400955419134434</v>
      </c>
      <c r="AC278" s="98">
        <f t="shared" si="65"/>
        <v>30.218834509930694</v>
      </c>
      <c r="AD278" s="98">
        <f t="shared" si="66"/>
        <v>34.890956884026188</v>
      </c>
      <c r="AE278" s="98">
        <f t="shared" si="67"/>
        <v>17.428050391621468</v>
      </c>
      <c r="AF278" s="98">
        <f t="shared" si="68"/>
        <v>36.155053772029632</v>
      </c>
      <c r="AG278" s="3">
        <f t="shared" si="69"/>
        <v>213.11007639136258</v>
      </c>
    </row>
    <row r="279" spans="1:33" ht="14">
      <c r="A279">
        <f t="shared" si="75"/>
        <v>121</v>
      </c>
      <c r="B279" s="19">
        <f t="shared" si="75"/>
        <v>201</v>
      </c>
      <c r="C279" s="26">
        <f t="shared" si="71"/>
        <v>159.14159033330424</v>
      </c>
      <c r="D279" s="83">
        <f>C$158*(0.4*D$14)*('Product half-life and C flows'!B140/100)</f>
        <v>0.12892376217505586</v>
      </c>
      <c r="E279" s="85"/>
      <c r="F279" s="85">
        <f t="shared" si="55"/>
        <v>23.063658997738134</v>
      </c>
      <c r="G279" s="85">
        <f t="shared" si="56"/>
        <v>12.300618132127003</v>
      </c>
      <c r="H279" s="83">
        <f>C$158*(0.6*C$15)*('Product half-life and C flows'!L140/100)</f>
        <v>5.9612968326336579</v>
      </c>
      <c r="I279" s="85">
        <f>C$158*0.6*('Product half-life and C flows'!N140/100)</f>
        <v>21.673741976728994</v>
      </c>
      <c r="J279" s="85">
        <f>C$158*0.6*('Product half-life and C flows'!P140/100)</f>
        <v>10.826044943421071</v>
      </c>
      <c r="K279" s="85">
        <f t="shared" si="57"/>
        <v>11.038827979547648</v>
      </c>
      <c r="L279" s="3"/>
      <c r="M279" s="90">
        <f>E$238*(0.4*M$41)*('Product half-life and C flows'!B59/100)</f>
        <v>2.4479752234387906</v>
      </c>
      <c r="N279" s="90">
        <f t="shared" si="74"/>
        <v>56.398269471480361</v>
      </c>
      <c r="O279" s="89">
        <f t="shared" si="58"/>
        <v>26.438132413138941</v>
      </c>
      <c r="P279" s="89">
        <f t="shared" si="59"/>
        <v>14.100337287007433</v>
      </c>
      <c r="Q279" s="91">
        <f>E$238*(0.6*Q$42)*('Product half-life and C flows'!L59/100)</f>
        <v>23.795635325779212</v>
      </c>
      <c r="R279" s="91">
        <f>E$238*0.6*('Product half-life and C flows'!N59/100)</f>
        <v>13.525457743210094</v>
      </c>
      <c r="S279" s="91">
        <f>E$238*0.6*('Product half-life and C flows'!P59/100)</f>
        <v>6.7559728987063385</v>
      </c>
      <c r="T279" s="89">
        <f t="shared" si="60"/>
        <v>25.116225792481988</v>
      </c>
      <c r="U279" s="17"/>
      <c r="V279">
        <f t="shared" si="72"/>
        <v>121</v>
      </c>
      <c r="W279" s="3">
        <f t="shared" si="49"/>
        <v>38.707108592946952</v>
      </c>
      <c r="X279" s="113">
        <f t="shared" si="73"/>
        <v>159.14159033330424</v>
      </c>
      <c r="Y279" s="98">
        <f t="shared" si="61"/>
        <v>2.5768989856138464</v>
      </c>
      <c r="Z279" s="98">
        <f t="shared" si="62"/>
        <v>56.398269471480361</v>
      </c>
      <c r="AA279" s="98">
        <f t="shared" si="63"/>
        <v>49.501791410877075</v>
      </c>
      <c r="AB279" s="98">
        <f t="shared" si="64"/>
        <v>26.400955419134434</v>
      </c>
      <c r="AC279" s="98">
        <f t="shared" si="65"/>
        <v>29.756932158412869</v>
      </c>
      <c r="AD279" s="98">
        <f t="shared" si="66"/>
        <v>35.199199719939088</v>
      </c>
      <c r="AE279" s="98">
        <f t="shared" si="67"/>
        <v>17.58201784212741</v>
      </c>
      <c r="AF279" s="98">
        <f t="shared" si="68"/>
        <v>36.155053772029632</v>
      </c>
      <c r="AG279" s="3">
        <f t="shared" si="69"/>
        <v>214.83916602197124</v>
      </c>
    </row>
    <row r="280" spans="1:33" ht="14">
      <c r="A280">
        <f t="shared" si="75"/>
        <v>122</v>
      </c>
      <c r="B280" s="19">
        <f t="shared" si="75"/>
        <v>202</v>
      </c>
      <c r="C280" s="26">
        <f t="shared" si="71"/>
        <v>159.31447653494916</v>
      </c>
      <c r="D280" s="83">
        <f>C$158*(0.4*D$14)*('Product half-life and C flows'!B141/100)</f>
        <v>0.12453214554655334</v>
      </c>
      <c r="E280" s="85"/>
      <c r="F280" s="85">
        <f t="shared" si="55"/>
        <v>23.063658997738134</v>
      </c>
      <c r="G280" s="85">
        <f t="shared" si="56"/>
        <v>12.300618132127003</v>
      </c>
      <c r="H280" s="83">
        <f>C$158*(0.6*C$15)*('Product half-life and C flows'!L141/100)</f>
        <v>5.8701769377156596</v>
      </c>
      <c r="I280" s="85">
        <f>C$158*0.6*('Product half-life and C flows'!N141/100)</f>
        <v>21.734549319937603</v>
      </c>
      <c r="J280" s="85">
        <f>C$158*0.6*('Product half-life and C flows'!P141/100)</f>
        <v>10.856418241727068</v>
      </c>
      <c r="K280" s="85">
        <f t="shared" si="57"/>
        <v>11.038827979547648</v>
      </c>
      <c r="L280" s="3"/>
      <c r="M280" s="90">
        <f>E$238*(0.4*M$41)*('Product half-life and C flows'!B60/100)</f>
        <v>2.3645882006274448</v>
      </c>
      <c r="N280" s="90">
        <f t="shared" si="74"/>
        <v>58.093233179167008</v>
      </c>
      <c r="O280" s="89">
        <f t="shared" si="58"/>
        <v>26.438132413138941</v>
      </c>
      <c r="P280" s="89">
        <f t="shared" si="59"/>
        <v>14.100337287007433</v>
      </c>
      <c r="Q280" s="91">
        <f>E$238*(0.6*Q$42)*('Product half-life and C flows'!L60/100)</f>
        <v>23.431913160742507</v>
      </c>
      <c r="R280" s="91">
        <f>E$238*0.6*('Product half-life and C flows'!N60/100)</f>
        <v>13.768181668011259</v>
      </c>
      <c r="S280" s="91">
        <f>E$238*0.6*('Product half-life and C flows'!P60/100)</f>
        <v>6.8772136203852412</v>
      </c>
      <c r="T280" s="89">
        <f t="shared" si="60"/>
        <v>25.116225792481988</v>
      </c>
      <c r="U280" s="17"/>
      <c r="V280">
        <f t="shared" si="72"/>
        <v>122</v>
      </c>
      <c r="W280" s="3">
        <f t="shared" si="49"/>
        <v>38.743409134198195</v>
      </c>
      <c r="X280" s="113">
        <f t="shared" si="73"/>
        <v>159.31447653494916</v>
      </c>
      <c r="Y280" s="98">
        <f t="shared" si="61"/>
        <v>2.4891203461739981</v>
      </c>
      <c r="Z280" s="98">
        <f t="shared" si="62"/>
        <v>58.093233179167008</v>
      </c>
      <c r="AA280" s="98">
        <f t="shared" si="63"/>
        <v>49.501791410877075</v>
      </c>
      <c r="AB280" s="98">
        <f t="shared" si="64"/>
        <v>26.400955419134434</v>
      </c>
      <c r="AC280" s="98">
        <f t="shared" si="65"/>
        <v>29.302090098458166</v>
      </c>
      <c r="AD280" s="98">
        <f t="shared" si="66"/>
        <v>35.502730987948866</v>
      </c>
      <c r="AE280" s="98">
        <f t="shared" si="67"/>
        <v>17.733631862112311</v>
      </c>
      <c r="AF280" s="98">
        <f t="shared" si="68"/>
        <v>36.155053772029632</v>
      </c>
      <c r="AG280" s="3">
        <f t="shared" si="69"/>
        <v>216.53443295769787</v>
      </c>
    </row>
    <row r="281" spans="1:33" ht="14">
      <c r="A281">
        <f t="shared" si="75"/>
        <v>123</v>
      </c>
      <c r="B281" s="19">
        <f t="shared" si="75"/>
        <v>203</v>
      </c>
      <c r="C281" s="26">
        <f t="shared" si="71"/>
        <v>159.48406083359615</v>
      </c>
      <c r="D281" s="83">
        <f>C$158*(0.4*D$14)*('Product half-life and C flows'!B142/100)</f>
        <v>0.12029012350237225</v>
      </c>
      <c r="E281" s="85"/>
      <c r="F281" s="85">
        <f t="shared" si="55"/>
        <v>23.063658997738134</v>
      </c>
      <c r="G281" s="85">
        <f t="shared" si="56"/>
        <v>12.300618132127003</v>
      </c>
      <c r="H281" s="83">
        <f>C$158*(0.6*C$15)*('Product half-life and C flows'!L142/100)</f>
        <v>5.7804498329040719</v>
      </c>
      <c r="I281" s="85">
        <f>C$158*0.6*('Product half-life and C flows'!N142/100)</f>
        <v>21.794427207881867</v>
      </c>
      <c r="J281" s="85">
        <f>C$158*0.6*('Product half-life and C flows'!P142/100)</f>
        <v>10.886327276664266</v>
      </c>
      <c r="K281" s="85">
        <f t="shared" si="57"/>
        <v>11.038827979547648</v>
      </c>
      <c r="L281" s="3"/>
      <c r="M281" s="90">
        <f>E$238*(0.4*M$41)*('Product half-life and C flows'!B61/100)</f>
        <v>2.2840416459330792</v>
      </c>
      <c r="N281" s="90">
        <f t="shared" si="74"/>
        <v>59.753404538120442</v>
      </c>
      <c r="O281" s="89">
        <f t="shared" si="58"/>
        <v>26.438132413138941</v>
      </c>
      <c r="P281" s="89">
        <f t="shared" si="59"/>
        <v>14.100337287007433</v>
      </c>
      <c r="Q281" s="91">
        <f>E$238*(0.6*Q$42)*('Product half-life and C flows'!L61/100)</f>
        <v>23.073750578861603</v>
      </c>
      <c r="R281" s="91">
        <f>E$238*0.6*('Product half-life and C flows'!N61/100)</f>
        <v>14.007195497653115</v>
      </c>
      <c r="S281" s="91">
        <f>E$238*0.6*('Product half-life and C flows'!P61/100)</f>
        <v>6.9966011476788754</v>
      </c>
      <c r="T281" s="89">
        <f t="shared" si="60"/>
        <v>25.116225792481988</v>
      </c>
      <c r="U281" s="17"/>
      <c r="V281">
        <f t="shared" si="72"/>
        <v>123</v>
      </c>
      <c r="W281" s="3">
        <f t="shared" si="49"/>
        <v>38.778307682411629</v>
      </c>
      <c r="X281" s="113">
        <f t="shared" si="73"/>
        <v>159.48406083359615</v>
      </c>
      <c r="Y281" s="98">
        <f t="shared" si="61"/>
        <v>2.4043317694354513</v>
      </c>
      <c r="Z281" s="98">
        <f t="shared" si="62"/>
        <v>59.753404538120442</v>
      </c>
      <c r="AA281" s="98">
        <f t="shared" si="63"/>
        <v>49.501791410877075</v>
      </c>
      <c r="AB281" s="98">
        <f t="shared" si="64"/>
        <v>26.400955419134434</v>
      </c>
      <c r="AC281" s="98">
        <f t="shared" si="65"/>
        <v>28.854200411765675</v>
      </c>
      <c r="AD281" s="98">
        <f t="shared" si="66"/>
        <v>35.801622705534982</v>
      </c>
      <c r="AE281" s="98">
        <f t="shared" si="67"/>
        <v>17.882928424343142</v>
      </c>
      <c r="AF281" s="98">
        <f t="shared" si="68"/>
        <v>36.155053772029632</v>
      </c>
      <c r="AG281" s="3">
        <f t="shared" si="69"/>
        <v>218.19490290977572</v>
      </c>
    </row>
    <row r="282" spans="1:33" ht="14">
      <c r="A282">
        <f t="shared" si="75"/>
        <v>124</v>
      </c>
      <c r="B282" s="19">
        <f t="shared" si="75"/>
        <v>204</v>
      </c>
      <c r="C282" s="26">
        <f t="shared" si="71"/>
        <v>159.65040388967657</v>
      </c>
      <c r="D282" s="83">
        <f>C$158*(0.4*D$14)*('Product half-life and C flows'!B143/100)</f>
        <v>0.11619260030179779</v>
      </c>
      <c r="E282" s="85"/>
      <c r="F282" s="85">
        <f t="shared" si="55"/>
        <v>23.063658997738134</v>
      </c>
      <c r="G282" s="85">
        <f t="shared" si="56"/>
        <v>12.300618132127003</v>
      </c>
      <c r="H282" s="83">
        <f>C$158*(0.6*C$15)*('Product half-life and C flows'!L143/100)</f>
        <v>5.6920942290580081</v>
      </c>
      <c r="I282" s="85">
        <f>C$158*0.6*('Product half-life and C flows'!N143/100)</f>
        <v>21.853389847515142</v>
      </c>
      <c r="J282" s="85">
        <f>C$158*0.6*('Product half-life and C flows'!P143/100)</f>
        <v>10.915779144612953</v>
      </c>
      <c r="K282" s="85">
        <f t="shared" si="57"/>
        <v>11.038827979547648</v>
      </c>
      <c r="L282" s="3"/>
      <c r="M282" s="90">
        <f>E$238*(0.4*M$41)*('Product half-life and C flows'!B62/100)</f>
        <v>2.2062388025840609</v>
      </c>
      <c r="N282" s="90">
        <f t="shared" si="74"/>
        <v>61.377989059788973</v>
      </c>
      <c r="O282" s="89">
        <f t="shared" si="58"/>
        <v>26.438132413138941</v>
      </c>
      <c r="P282" s="89">
        <f t="shared" si="59"/>
        <v>14.100337287007433</v>
      </c>
      <c r="Q282" s="91">
        <f>E$238*(0.6*Q$42)*('Product half-life and C flows'!L62/100)</f>
        <v>22.721062600534392</v>
      </c>
      <c r="R282" s="91">
        <f>E$238*0.6*('Product half-life and C flows'!N62/100)</f>
        <v>14.242555941856807</v>
      </c>
      <c r="S282" s="91">
        <f>E$238*0.6*('Product half-life and C flows'!P62/100)</f>
        <v>7.1141638071212787</v>
      </c>
      <c r="T282" s="89">
        <f t="shared" si="60"/>
        <v>25.116225792481988</v>
      </c>
      <c r="U282" s="17"/>
      <c r="V282">
        <f t="shared" si="72"/>
        <v>124</v>
      </c>
      <c r="W282" s="3">
        <f t="shared" si="49"/>
        <v>38.811857573323095</v>
      </c>
      <c r="X282" s="113">
        <f t="shared" si="73"/>
        <v>159.65040388967657</v>
      </c>
      <c r="Y282" s="98">
        <f t="shared" si="61"/>
        <v>2.3224314028858588</v>
      </c>
      <c r="Z282" s="98">
        <f t="shared" si="62"/>
        <v>61.377989059788973</v>
      </c>
      <c r="AA282" s="98">
        <f t="shared" si="63"/>
        <v>49.501791410877075</v>
      </c>
      <c r="AB282" s="98">
        <f t="shared" si="64"/>
        <v>26.400955419134434</v>
      </c>
      <c r="AC282" s="98">
        <f t="shared" si="65"/>
        <v>28.413156829592399</v>
      </c>
      <c r="AD282" s="98">
        <f t="shared" si="66"/>
        <v>36.095945789371953</v>
      </c>
      <c r="AE282" s="98">
        <f t="shared" si="67"/>
        <v>18.029942951734231</v>
      </c>
      <c r="AF282" s="98">
        <f t="shared" si="68"/>
        <v>36.155053772029632</v>
      </c>
      <c r="AG282" s="3">
        <f t="shared" si="69"/>
        <v>219.81978146049906</v>
      </c>
    </row>
    <row r="283" spans="1:33" ht="14">
      <c r="A283">
        <f t="shared" si="75"/>
        <v>125</v>
      </c>
      <c r="B283" s="19">
        <f t="shared" si="75"/>
        <v>205</v>
      </c>
      <c r="C283" s="26">
        <f t="shared" si="71"/>
        <v>159.81356534519131</v>
      </c>
      <c r="D283" s="83">
        <f>C$158*(0.4*D$14)*('Product half-life and C flows'!B144/100)</f>
        <v>0.11223465378375042</v>
      </c>
      <c r="E283" s="85"/>
      <c r="F283" s="85">
        <f t="shared" si="55"/>
        <v>23.063658997738134</v>
      </c>
      <c r="G283" s="85">
        <f t="shared" si="56"/>
        <v>12.300618132127003</v>
      </c>
      <c r="H283" s="83">
        <f>C$158*(0.6*C$15)*('Product half-life and C flows'!L144/100)</f>
        <v>5.605089162446359</v>
      </c>
      <c r="I283" s="85">
        <f>C$158*0.6*('Product half-life and C flows'!N144/100)</f>
        <v>21.911451228633982</v>
      </c>
      <c r="J283" s="85">
        <f>C$158*0.6*('Product half-life and C flows'!P144/100)</f>
        <v>10.944780833483504</v>
      </c>
      <c r="K283" s="85">
        <f t="shared" si="57"/>
        <v>11.038827979547648</v>
      </c>
      <c r="L283" s="3"/>
      <c r="M283" s="90">
        <f>E$238*(0.4*M$41)*('Product half-life and C flows'!B63/100)</f>
        <v>2.1310862096995944</v>
      </c>
      <c r="N283" s="90">
        <f t="shared" si="74"/>
        <v>62.966358162848096</v>
      </c>
      <c r="O283" s="89">
        <f t="shared" si="58"/>
        <v>26.438132413138941</v>
      </c>
      <c r="P283" s="89">
        <f t="shared" si="59"/>
        <v>14.100337287007433</v>
      </c>
      <c r="Q283" s="91">
        <f>E$238*(0.6*Q$42)*('Product half-life and C flows'!L63/100)</f>
        <v>22.373765545092972</v>
      </c>
      <c r="R283" s="91">
        <f>E$238*0.6*('Product half-life and C flows'!N63/100)</f>
        <v>14.474318843521383</v>
      </c>
      <c r="S283" s="91">
        <f>E$238*0.6*('Product half-life and C flows'!P63/100)</f>
        <v>7.2299294922684192</v>
      </c>
      <c r="T283" s="89">
        <f t="shared" si="60"/>
        <v>25.116225792481988</v>
      </c>
      <c r="U283" s="17"/>
      <c r="V283">
        <f t="shared" si="72"/>
        <v>125</v>
      </c>
      <c r="W283" s="3">
        <f t="shared" si="49"/>
        <v>38.844110176548128</v>
      </c>
      <c r="X283" s="113">
        <f t="shared" si="73"/>
        <v>159.81356534519131</v>
      </c>
      <c r="Y283" s="98">
        <f t="shared" si="61"/>
        <v>2.243320863483345</v>
      </c>
      <c r="Z283" s="98">
        <f t="shared" si="62"/>
        <v>62.966358162848096</v>
      </c>
      <c r="AA283" s="98">
        <f t="shared" si="63"/>
        <v>49.501791410877075</v>
      </c>
      <c r="AB283" s="98">
        <f t="shared" si="64"/>
        <v>26.400955419134434</v>
      </c>
      <c r="AC283" s="98">
        <f t="shared" si="65"/>
        <v>27.97885470753933</v>
      </c>
      <c r="AD283" s="98">
        <f t="shared" si="66"/>
        <v>36.385770072155367</v>
      </c>
      <c r="AE283" s="98">
        <f t="shared" si="67"/>
        <v>18.174710325751924</v>
      </c>
      <c r="AF283" s="98">
        <f t="shared" si="68"/>
        <v>36.155053772029632</v>
      </c>
      <c r="AG283" s="3">
        <f t="shared" si="69"/>
        <v>221.40844009830624</v>
      </c>
    </row>
    <row r="284" spans="1:33" ht="14">
      <c r="A284">
        <f t="shared" si="75"/>
        <v>126</v>
      </c>
      <c r="B284" s="19">
        <f t="shared" si="75"/>
        <v>206</v>
      </c>
      <c r="C284" s="26">
        <f t="shared" si="71"/>
        <v>159.97360383685276</v>
      </c>
      <c r="D284" s="83">
        <f>C$158*(0.4*D$14)*('Product half-life and C flows'!B145/100)</f>
        <v>0.10841152945402693</v>
      </c>
      <c r="E284" s="85"/>
      <c r="F284" s="85">
        <f t="shared" si="55"/>
        <v>23.063658997738134</v>
      </c>
      <c r="G284" s="85">
        <f t="shared" si="56"/>
        <v>12.300618132127003</v>
      </c>
      <c r="H284" s="83">
        <f>C$158*(0.6*C$15)*('Product half-life and C flows'!L145/100)</f>
        <v>5.5194139897738248</v>
      </c>
      <c r="I284" s="85">
        <f>C$158*0.6*('Product half-life and C flows'!N145/100)</f>
        <v>21.968625127197456</v>
      </c>
      <c r="J284" s="85">
        <f>C$158*0.6*('Product half-life and C flows'!P145/100)</f>
        <v>10.973339224374348</v>
      </c>
      <c r="K284" s="85">
        <f t="shared" si="57"/>
        <v>11.038827979547648</v>
      </c>
      <c r="L284" s="3"/>
      <c r="M284" s="90">
        <f>E$238*(0.4*M$41)*('Product half-life and C flows'!B64/100)</f>
        <v>2.05849359001959</v>
      </c>
      <c r="N284" s="90">
        <f t="shared" si="74"/>
        <v>64.518035837226023</v>
      </c>
      <c r="O284" s="89">
        <f t="shared" si="58"/>
        <v>26.438132413138941</v>
      </c>
      <c r="P284" s="89">
        <f t="shared" si="59"/>
        <v>14.100337287007433</v>
      </c>
      <c r="Q284" s="91">
        <f>E$238*(0.6*Q$42)*('Product half-life and C flows'!L64/100)</f>
        <v>22.031777010949114</v>
      </c>
      <c r="R284" s="91">
        <f>E$238*0.6*('Product half-life and C flows'!N64/100)</f>
        <v>14.702539191973385</v>
      </c>
      <c r="S284" s="91">
        <f>E$238*0.6*('Product half-life and C flows'!P64/100)</f>
        <v>7.3439256703163718</v>
      </c>
      <c r="T284" s="89">
        <f t="shared" si="60"/>
        <v>25.116225792481988</v>
      </c>
      <c r="U284" s="17"/>
      <c r="V284">
        <f t="shared" si="72"/>
        <v>126</v>
      </c>
      <c r="W284" s="3">
        <f t="shared" si="49"/>
        <v>38.875114963124162</v>
      </c>
      <c r="X284" s="113">
        <f t="shared" si="73"/>
        <v>159.97360383685276</v>
      </c>
      <c r="Y284" s="98">
        <f t="shared" si="61"/>
        <v>2.1669051194736171</v>
      </c>
      <c r="Z284" s="98">
        <f t="shared" si="62"/>
        <v>64.518035837226023</v>
      </c>
      <c r="AA284" s="98">
        <f t="shared" si="63"/>
        <v>49.501791410877075</v>
      </c>
      <c r="AB284" s="98">
        <f t="shared" si="64"/>
        <v>26.400955419134434</v>
      </c>
      <c r="AC284" s="98">
        <f t="shared" si="65"/>
        <v>27.551191000722937</v>
      </c>
      <c r="AD284" s="98">
        <f t="shared" si="66"/>
        <v>36.671164319170842</v>
      </c>
      <c r="AE284" s="98">
        <f t="shared" si="67"/>
        <v>18.31726489469072</v>
      </c>
      <c r="AF284" s="98">
        <f t="shared" si="68"/>
        <v>36.155053772029632</v>
      </c>
      <c r="AG284" s="3">
        <f t="shared" si="69"/>
        <v>222.96040288182201</v>
      </c>
    </row>
    <row r="285" spans="1:33" ht="14">
      <c r="A285">
        <f t="shared" si="75"/>
        <v>127</v>
      </c>
      <c r="B285" s="19">
        <f t="shared" si="75"/>
        <v>207</v>
      </c>
      <c r="C285" s="26">
        <f t="shared" si="71"/>
        <v>160.13057700923375</v>
      </c>
      <c r="D285" s="83">
        <f>C$158*(0.4*D$14)*('Product half-life and C flows'!B146/100)</f>
        <v>0.10471863477395059</v>
      </c>
      <c r="E285" s="85"/>
      <c r="F285" s="85">
        <f t="shared" si="55"/>
        <v>23.063658997738134</v>
      </c>
      <c r="G285" s="85">
        <f t="shared" si="56"/>
        <v>12.300618132127003</v>
      </c>
      <c r="H285" s="83">
        <f>C$158*(0.6*C$15)*('Product half-life and C flows'!L146/100)</f>
        <v>5.4350483832829743</v>
      </c>
      <c r="I285" s="85">
        <f>C$158*0.6*('Product half-life and C flows'!N146/100)</f>
        <v>22.024925108595681</v>
      </c>
      <c r="J285" s="85">
        <f>C$158*0.6*('Product half-life and C flows'!P146/100)</f>
        <v>11.001461093204631</v>
      </c>
      <c r="K285" s="85">
        <f t="shared" si="57"/>
        <v>11.038827979547648</v>
      </c>
      <c r="L285" s="3"/>
      <c r="M285" s="90">
        <f>E$238*(0.4*M$41)*('Product half-life and C flows'!B65/100)</f>
        <v>1.9883737414588492</v>
      </c>
      <c r="N285" s="90">
        <f t="shared" si="74"/>
        <v>66.032685957059485</v>
      </c>
      <c r="O285" s="89">
        <f t="shared" si="58"/>
        <v>26.438132413138941</v>
      </c>
      <c r="P285" s="89">
        <f t="shared" si="59"/>
        <v>14.100337287007433</v>
      </c>
      <c r="Q285" s="91">
        <f>E$238*(0.6*Q$42)*('Product half-life and C flows'!L65/100)</f>
        <v>21.695015856043241</v>
      </c>
      <c r="R285" s="91">
        <f>E$238*0.6*('Product half-life and C flows'!N65/100)</f>
        <v>14.927271136013905</v>
      </c>
      <c r="S285" s="91">
        <f>E$238*0.6*('Product half-life and C flows'!P65/100)</f>
        <v>7.4561793886183292</v>
      </c>
      <c r="T285" s="89">
        <f t="shared" si="60"/>
        <v>25.116225792481988</v>
      </c>
      <c r="U285" s="17"/>
      <c r="V285">
        <f t="shared" si="72"/>
        <v>127</v>
      </c>
      <c r="W285" s="3">
        <f t="shared" si="49"/>
        <v>38.904919571130222</v>
      </c>
      <c r="X285" s="113">
        <f t="shared" si="73"/>
        <v>160.13057700923375</v>
      </c>
      <c r="Y285" s="98">
        <f t="shared" si="61"/>
        <v>2.0930923762327995</v>
      </c>
      <c r="Z285" s="98">
        <f t="shared" si="62"/>
        <v>66.032685957059485</v>
      </c>
      <c r="AA285" s="98">
        <f t="shared" si="63"/>
        <v>49.501791410877075</v>
      </c>
      <c r="AB285" s="98">
        <f t="shared" si="64"/>
        <v>26.400955419134434</v>
      </c>
      <c r="AC285" s="98">
        <f t="shared" si="65"/>
        <v>27.130064239326217</v>
      </c>
      <c r="AD285" s="98">
        <f t="shared" si="66"/>
        <v>36.952196244609588</v>
      </c>
      <c r="AE285" s="98">
        <f t="shared" si="67"/>
        <v>18.45764048182296</v>
      </c>
      <c r="AF285" s="98">
        <f t="shared" si="68"/>
        <v>36.155053772029632</v>
      </c>
      <c r="AG285" s="3">
        <f t="shared" si="69"/>
        <v>224.47533375282975</v>
      </c>
    </row>
    <row r="286" spans="1:33" ht="14">
      <c r="A286">
        <f t="shared" si="75"/>
        <v>128</v>
      </c>
      <c r="B286" s="19">
        <f t="shared" si="75"/>
        <v>208</v>
      </c>
      <c r="C286" s="26">
        <f t="shared" si="71"/>
        <v>160.28454152791318</v>
      </c>
      <c r="D286" s="83">
        <f>C$158*(0.4*D$14)*('Product half-life and C flows'!B147/100)</f>
        <v>0.10115153364357148</v>
      </c>
      <c r="E286" s="85"/>
      <c r="F286" s="85">
        <f t="shared" si="55"/>
        <v>23.063658997738134</v>
      </c>
      <c r="G286" s="85">
        <f t="shared" si="56"/>
        <v>12.300618132127003</v>
      </c>
      <c r="H286" s="83">
        <f>C$158*(0.6*C$15)*('Product half-life and C flows'!L147/100)</f>
        <v>5.3519723259311736</v>
      </c>
      <c r="I286" s="85">
        <f>C$158*0.6*('Product half-life and C flows'!N147/100)</f>
        <v>22.080364530868447</v>
      </c>
      <c r="J286" s="85">
        <f>C$158*0.6*('Product half-life and C flows'!P147/100)</f>
        <v>11.029153112321898</v>
      </c>
      <c r="K286" s="85">
        <f t="shared" si="57"/>
        <v>11.038827979547648</v>
      </c>
      <c r="L286" s="3"/>
      <c r="M286" s="90">
        <f>E$238*(0.4*M$41)*('Product half-life and C flows'!B66/100)</f>
        <v>1.9206424323553204</v>
      </c>
      <c r="N286" s="90">
        <f t="shared" si="74"/>
        <v>67.510100252580912</v>
      </c>
      <c r="O286" s="89">
        <f t="shared" si="58"/>
        <v>26.438132413138941</v>
      </c>
      <c r="P286" s="89">
        <f t="shared" si="59"/>
        <v>14.100337287007433</v>
      </c>
      <c r="Q286" s="91">
        <f>E$238*(0.6*Q$42)*('Product half-life and C flows'!L66/100)</f>
        <v>21.363402178592185</v>
      </c>
      <c r="R286" s="91">
        <f>E$238*0.6*('Product half-life and C flows'!N66/100)</f>
        <v>15.148567996766241</v>
      </c>
      <c r="S286" s="91">
        <f>E$238*0.6*('Product half-life and C flows'!P66/100)</f>
        <v>7.5667172811020151</v>
      </c>
      <c r="T286" s="89">
        <f t="shared" si="60"/>
        <v>25.116225792481988</v>
      </c>
      <c r="U286" s="17"/>
      <c r="V286">
        <f t="shared" si="72"/>
        <v>128</v>
      </c>
      <c r="W286" s="3">
        <f t="shared" si="49"/>
        <v>38.933569869404479</v>
      </c>
      <c r="X286" s="113">
        <f t="shared" si="73"/>
        <v>160.28454152791318</v>
      </c>
      <c r="Y286" s="98">
        <f t="shared" ref="Y286:Y318" si="76">D286+M286</f>
        <v>2.0217939659988917</v>
      </c>
      <c r="Z286" s="98">
        <f t="shared" ref="Z286:Z318" si="77">E286+N286</f>
        <v>67.510100252580912</v>
      </c>
      <c r="AA286" s="98">
        <f t="shared" ref="AA286:AA318" si="78">F286+O286</f>
        <v>49.501791410877075</v>
      </c>
      <c r="AB286" s="98">
        <f t="shared" ref="AB286:AB318" si="79">G286+P286</f>
        <v>26.400955419134434</v>
      </c>
      <c r="AC286" s="98">
        <f t="shared" ref="AC286:AC318" si="80">H286+Q286</f>
        <v>26.715374504523361</v>
      </c>
      <c r="AD286" s="98">
        <f t="shared" ref="AD286:AD318" si="81">I286+R286</f>
        <v>37.22893252763469</v>
      </c>
      <c r="AE286" s="98">
        <f t="shared" ref="AE286:AE318" si="82">J286+S286</f>
        <v>18.595870393423915</v>
      </c>
      <c r="AF286" s="98">
        <f t="shared" ref="AF286:AF318" si="83">K286+T286</f>
        <v>36.155053772029632</v>
      </c>
      <c r="AG286" s="3">
        <f t="shared" ref="AG286:AG318" si="84">SUM(Z286:AE286)</f>
        <v>225.95302450817439</v>
      </c>
    </row>
    <row r="287" spans="1:33" ht="14">
      <c r="A287">
        <f t="shared" si="75"/>
        <v>129</v>
      </c>
      <c r="B287" s="19">
        <f t="shared" si="75"/>
        <v>209</v>
      </c>
      <c r="C287" s="26">
        <f t="shared" si="71"/>
        <v>160.43555309260927</v>
      </c>
      <c r="D287" s="83">
        <f>C$158*(0.4*D$14)*('Product half-life and C flows'!B148/100)</f>
        <v>9.7705941072789376E-2</v>
      </c>
      <c r="E287" s="85"/>
      <c r="F287" s="85">
        <f t="shared" si="55"/>
        <v>23.063658997738134</v>
      </c>
      <c r="G287" s="85">
        <f t="shared" si="56"/>
        <v>12.300618132127003</v>
      </c>
      <c r="H287" s="83">
        <f>C$158*(0.6*C$15)*('Product half-life and C flows'!L148/100)</f>
        <v>5.2701661066412298</v>
      </c>
      <c r="I287" s="85">
        <f>C$158*0.6*('Product half-life and C flows'!N148/100)</f>
        <v>22.134956547874605</v>
      </c>
      <c r="J287" s="85">
        <f>C$158*0.6*('Product half-life and C flows'!P148/100)</f>
        <v>11.056421852085213</v>
      </c>
      <c r="K287" s="85">
        <f t="shared" si="57"/>
        <v>11.038827979547648</v>
      </c>
      <c r="L287" s="3"/>
      <c r="M287" s="90">
        <f>E$238*(0.4*M$41)*('Product half-life and C flows'!B67/100)</f>
        <v>1.8552183002865841</v>
      </c>
      <c r="N287" s="90">
        <f t="shared" si="74"/>
        <v>68.950186942718261</v>
      </c>
      <c r="O287" s="89">
        <f t="shared" si="58"/>
        <v>26.438132413138941</v>
      </c>
      <c r="P287" s="89">
        <f t="shared" si="59"/>
        <v>14.100337287007433</v>
      </c>
      <c r="Q287" s="91">
        <f>E$238*(0.6*Q$42)*('Product half-life and C flows'!L67/100)</f>
        <v>21.036857298131295</v>
      </c>
      <c r="R287" s="91">
        <f>E$238*0.6*('Product half-life and C flows'!N67/100)</f>
        <v>15.366482280327142</v>
      </c>
      <c r="S287" s="91">
        <f>E$238*0.6*('Product half-life and C flows'!P67/100)</f>
        <v>7.6755655745889779</v>
      </c>
      <c r="T287" s="89">
        <f t="shared" si="60"/>
        <v>25.116225792481988</v>
      </c>
      <c r="U287" s="17"/>
      <c r="V287">
        <f t="shared" si="72"/>
        <v>129</v>
      </c>
      <c r="W287" s="3">
        <f t="shared" ref="W287:W318" si="85">D$8*(1-EXP(-D$9*$B207))^3</f>
        <v>38.961110019383533</v>
      </c>
      <c r="X287" s="113">
        <f t="shared" si="73"/>
        <v>160.43555309260927</v>
      </c>
      <c r="Y287" s="98">
        <f t="shared" si="76"/>
        <v>1.9529242413593735</v>
      </c>
      <c r="Z287" s="98">
        <f t="shared" si="77"/>
        <v>68.950186942718261</v>
      </c>
      <c r="AA287" s="98">
        <f t="shared" si="78"/>
        <v>49.501791410877075</v>
      </c>
      <c r="AB287" s="98">
        <f t="shared" si="79"/>
        <v>26.400955419134434</v>
      </c>
      <c r="AC287" s="98">
        <f t="shared" si="80"/>
        <v>26.307023404772526</v>
      </c>
      <c r="AD287" s="98">
        <f t="shared" si="81"/>
        <v>37.501438828201749</v>
      </c>
      <c r="AE287" s="98">
        <f t="shared" si="82"/>
        <v>18.731987426674191</v>
      </c>
      <c r="AF287" s="98">
        <f t="shared" si="83"/>
        <v>36.155053772029632</v>
      </c>
      <c r="AG287" s="3">
        <f t="shared" si="84"/>
        <v>227.39338343237824</v>
      </c>
    </row>
    <row r="288" spans="1:33" ht="14">
      <c r="A288">
        <f t="shared" ref="A288:B303" si="86">A287+1</f>
        <v>130</v>
      </c>
      <c r="B288" s="19">
        <f t="shared" si="86"/>
        <v>210</v>
      </c>
      <c r="C288" s="26">
        <f t="shared" si="71"/>
        <v>160.58366645029093</v>
      </c>
      <c r="D288" s="83">
        <f>C$158*(0.4*D$14)*('Product half-life and C flows'!B149/100)</f>
        <v>9.4377718033997512E-2</v>
      </c>
      <c r="E288" s="85"/>
      <c r="F288" s="85">
        <f t="shared" si="55"/>
        <v>23.063658997738134</v>
      </c>
      <c r="G288" s="85">
        <f t="shared" si="56"/>
        <v>12.300618132127003</v>
      </c>
      <c r="H288" s="83">
        <f>C$158*(0.6*C$15)*('Product half-life and C flows'!L149/100)</f>
        <v>5.1896103156246314</v>
      </c>
      <c r="I288" s="85">
        <f>C$158*0.6*('Product half-life and C flows'!N149/100)</f>
        <v>22.188714112413013</v>
      </c>
      <c r="J288" s="85">
        <f>C$158*0.6*('Product half-life and C flows'!P149/100)</f>
        <v>11.083273782424079</v>
      </c>
      <c r="K288" s="85">
        <f t="shared" si="57"/>
        <v>11.038827979547648</v>
      </c>
      <c r="L288" s="3"/>
      <c r="M288" s="90">
        <f>E$238*(0.4*M$41)*('Product half-life and C flows'!B68/100)</f>
        <v>1.7920227543330147</v>
      </c>
      <c r="N288" s="90">
        <f t="shared" si="74"/>
        <v>70.352960023466522</v>
      </c>
      <c r="O288" s="89">
        <f t="shared" si="58"/>
        <v>26.438132413138941</v>
      </c>
      <c r="P288" s="89">
        <f t="shared" si="59"/>
        <v>14.100337287007433</v>
      </c>
      <c r="Q288" s="91">
        <f>E$238*(0.6*Q$42)*('Product half-life and C flows'!L68/100)</f>
        <v>20.715303736846245</v>
      </c>
      <c r="R288" s="91">
        <f>E$238*0.6*('Product half-life and C flows'!N68/100)</f>
        <v>15.581065690224698</v>
      </c>
      <c r="S288" s="91">
        <f>E$238*0.6*('Product half-life and C flows'!P68/100)</f>
        <v>7.7827500950173265</v>
      </c>
      <c r="T288" s="89">
        <f t="shared" si="60"/>
        <v>25.116225792481988</v>
      </c>
      <c r="U288" s="17"/>
      <c r="V288">
        <f t="shared" si="72"/>
        <v>130</v>
      </c>
      <c r="W288" s="3">
        <f t="shared" si="85"/>
        <v>38.987582535090162</v>
      </c>
      <c r="X288" s="113">
        <f t="shared" si="73"/>
        <v>160.58366645029093</v>
      </c>
      <c r="Y288" s="98">
        <f t="shared" si="76"/>
        <v>1.8864004723670122</v>
      </c>
      <c r="Z288" s="98">
        <f t="shared" si="77"/>
        <v>70.352960023466522</v>
      </c>
      <c r="AA288" s="98">
        <f t="shared" si="78"/>
        <v>49.501791410877075</v>
      </c>
      <c r="AB288" s="98">
        <f t="shared" si="79"/>
        <v>26.400955419134434</v>
      </c>
      <c r="AC288" s="98">
        <f t="shared" si="80"/>
        <v>25.904914052470875</v>
      </c>
      <c r="AD288" s="98">
        <f t="shared" si="81"/>
        <v>37.769779802637714</v>
      </c>
      <c r="AE288" s="98">
        <f t="shared" si="82"/>
        <v>18.866023877441407</v>
      </c>
      <c r="AF288" s="98">
        <f t="shared" si="83"/>
        <v>36.155053772029632</v>
      </c>
      <c r="AG288" s="3">
        <f t="shared" si="84"/>
        <v>228.79642458602802</v>
      </c>
    </row>
    <row r="289" spans="1:33" ht="14">
      <c r="A289">
        <f t="shared" si="86"/>
        <v>131</v>
      </c>
      <c r="B289" s="19">
        <f t="shared" si="86"/>
        <v>211</v>
      </c>
      <c r="C289" s="26">
        <f t="shared" si="71"/>
        <v>160.72893540825862</v>
      </c>
      <c r="D289" s="83">
        <f>C$158*(0.4*D$14)*('Product half-life and C flows'!B150/100)</f>
        <v>9.1162866490063707E-2</v>
      </c>
      <c r="E289" s="85"/>
      <c r="F289" s="85">
        <f t="shared" si="55"/>
        <v>23.063658997738134</v>
      </c>
      <c r="G289" s="85">
        <f t="shared" si="56"/>
        <v>12.300618132127003</v>
      </c>
      <c r="H289" s="83">
        <f>C$158*(0.6*C$15)*('Product half-life and C flows'!L150/100)</f>
        <v>5.1102858397762843</v>
      </c>
      <c r="I289" s="85">
        <f>C$158*0.6*('Product half-life and C flows'!N150/100)</f>
        <v>22.241649979295811</v>
      </c>
      <c r="J289" s="85">
        <f>C$158*0.6*('Product half-life and C flows'!P150/100)</f>
        <v>11.109715274373526</v>
      </c>
      <c r="K289" s="85">
        <f t="shared" si="57"/>
        <v>11.038827979547648</v>
      </c>
      <c r="L289" s="3"/>
      <c r="M289" s="90">
        <f>E$238*(0.4*M$41)*('Product half-life and C flows'!B69/100)</f>
        <v>1.7309798806702228</v>
      </c>
      <c r="N289" s="90">
        <f t="shared" si="74"/>
        <v>71.718529201659706</v>
      </c>
      <c r="O289" s="89">
        <f t="shared" si="58"/>
        <v>26.438132413138941</v>
      </c>
      <c r="P289" s="89">
        <f t="shared" si="59"/>
        <v>14.100337287007433</v>
      </c>
      <c r="Q289" s="91">
        <f>E$238*(0.6*Q$42)*('Product half-life and C flows'!L69/100)</f>
        <v>20.398665201190251</v>
      </c>
      <c r="R289" s="91">
        <f>E$238*0.6*('Product half-life and C flows'!N69/100)</f>
        <v>15.792369139685798</v>
      </c>
      <c r="S289" s="91">
        <f>E$238*0.6*('Product half-life and C flows'!P69/100)</f>
        <v>7.8882962735693267</v>
      </c>
      <c r="T289" s="89">
        <f t="shared" si="60"/>
        <v>25.116225792481988</v>
      </c>
      <c r="U289" s="17"/>
      <c r="V289">
        <f t="shared" si="72"/>
        <v>131</v>
      </c>
      <c r="W289" s="3">
        <f t="shared" si="85"/>
        <v>39.013028341298835</v>
      </c>
      <c r="X289" s="113">
        <f t="shared" si="73"/>
        <v>160.72893540825862</v>
      </c>
      <c r="Y289" s="98">
        <f t="shared" si="76"/>
        <v>1.8221427471602865</v>
      </c>
      <c r="Z289" s="98">
        <f t="shared" si="77"/>
        <v>71.718529201659706</v>
      </c>
      <c r="AA289" s="98">
        <f t="shared" si="78"/>
        <v>49.501791410877075</v>
      </c>
      <c r="AB289" s="98">
        <f t="shared" si="79"/>
        <v>26.400955419134434</v>
      </c>
      <c r="AC289" s="98">
        <f t="shared" si="80"/>
        <v>25.508951040966537</v>
      </c>
      <c r="AD289" s="98">
        <f t="shared" si="81"/>
        <v>38.034019118981611</v>
      </c>
      <c r="AE289" s="98">
        <f t="shared" si="82"/>
        <v>18.998011547942852</v>
      </c>
      <c r="AF289" s="98">
        <f t="shared" si="83"/>
        <v>36.155053772029632</v>
      </c>
      <c r="AG289" s="3">
        <f t="shared" si="84"/>
        <v>230.16225773956222</v>
      </c>
    </row>
    <row r="290" spans="1:33" ht="14">
      <c r="A290">
        <f t="shared" si="86"/>
        <v>132</v>
      </c>
      <c r="B290" s="19">
        <f t="shared" si="86"/>
        <v>212</v>
      </c>
      <c r="C290" s="26">
        <f t="shared" si="71"/>
        <v>160.87141284718754</v>
      </c>
      <c r="D290" s="83">
        <f>C$158*(0.4*D$14)*('Product half-life and C flows'!B151/100)</f>
        <v>8.8057524591677983E-2</v>
      </c>
      <c r="E290" s="85"/>
      <c r="F290" s="85">
        <f t="shared" si="55"/>
        <v>23.063658997738134</v>
      </c>
      <c r="G290" s="85">
        <f t="shared" si="56"/>
        <v>12.300618132127003</v>
      </c>
      <c r="H290" s="83">
        <f>C$158*(0.6*C$15)*('Product half-life and C flows'!L151/100)</f>
        <v>5.0321738581396263</v>
      </c>
      <c r="I290" s="85">
        <f>C$158*0.6*('Product half-life and C flows'!N151/100)</f>
        <v>22.293776708374676</v>
      </c>
      <c r="J290" s="85">
        <f>C$158*0.6*('Product half-life and C flows'!P151/100)</f>
        <v>11.135752601585747</v>
      </c>
      <c r="K290" s="85">
        <f t="shared" si="57"/>
        <v>11.038827979547648</v>
      </c>
      <c r="L290" s="3"/>
      <c r="M290" s="90">
        <f>E$238*(0.4*M$41)*('Product half-life and C flows'!B70/100)</f>
        <v>1.6720163513773629</v>
      </c>
      <c r="N290" s="90">
        <f t="shared" si="74"/>
        <v>73.047090459435708</v>
      </c>
      <c r="O290" s="89">
        <f t="shared" si="58"/>
        <v>26.438132413138941</v>
      </c>
      <c r="P290" s="89">
        <f t="shared" si="59"/>
        <v>14.100337287007433</v>
      </c>
      <c r="Q290" s="91">
        <f>E$238*(0.6*Q$42)*('Product half-life and C flows'!L70/100)</f>
        <v>20.086866563782241</v>
      </c>
      <c r="R290" s="91">
        <f>E$238*0.6*('Product half-life and C flows'!N70/100)</f>
        <v>16.000442763716077</v>
      </c>
      <c r="S290" s="91">
        <f>E$238*0.6*('Product half-life and C flows'!P70/100)</f>
        <v>7.9922291527053302</v>
      </c>
      <c r="T290" s="89">
        <f t="shared" si="60"/>
        <v>25.116225792481988</v>
      </c>
      <c r="U290" s="17"/>
      <c r="V290">
        <f t="shared" si="72"/>
        <v>132</v>
      </c>
      <c r="W290" s="3">
        <f t="shared" si="85"/>
        <v>39.037486829910158</v>
      </c>
      <c r="X290" s="113">
        <f t="shared" si="73"/>
        <v>160.87141284718754</v>
      </c>
      <c r="Y290" s="98">
        <f t="shared" si="76"/>
        <v>1.7600738759690409</v>
      </c>
      <c r="Z290" s="98">
        <f t="shared" si="77"/>
        <v>73.047090459435708</v>
      </c>
      <c r="AA290" s="98">
        <f t="shared" si="78"/>
        <v>49.501791410877075</v>
      </c>
      <c r="AB290" s="98">
        <f t="shared" si="79"/>
        <v>26.400955419134434</v>
      </c>
      <c r="AC290" s="98">
        <f t="shared" si="80"/>
        <v>25.119040421921866</v>
      </c>
      <c r="AD290" s="98">
        <f t="shared" si="81"/>
        <v>38.294219472090752</v>
      </c>
      <c r="AE290" s="98">
        <f t="shared" si="82"/>
        <v>19.127981754291078</v>
      </c>
      <c r="AF290" s="98">
        <f t="shared" si="83"/>
        <v>36.155053772029632</v>
      </c>
      <c r="AG290" s="3">
        <f t="shared" si="84"/>
        <v>231.4910789377509</v>
      </c>
    </row>
    <row r="291" spans="1:33" ht="14">
      <c r="A291">
        <f t="shared" si="86"/>
        <v>133</v>
      </c>
      <c r="B291" s="19">
        <f t="shared" si="86"/>
        <v>213</v>
      </c>
      <c r="C291" s="26">
        <f t="shared" si="71"/>
        <v>161.0111507341245</v>
      </c>
      <c r="D291" s="83">
        <f>C$158*(0.4*D$14)*('Product half-life and C flows'!B152/100)</f>
        <v>8.5057962038294715E-2</v>
      </c>
      <c r="E291" s="85"/>
      <c r="F291" s="85">
        <f t="shared" si="55"/>
        <v>23.063658997738134</v>
      </c>
      <c r="G291" s="85">
        <f t="shared" si="56"/>
        <v>12.300618132127003</v>
      </c>
      <c r="H291" s="83">
        <f>C$158*(0.6*C$15)*('Product half-life and C flows'!L152/100)</f>
        <v>4.955255837441066</v>
      </c>
      <c r="I291" s="85">
        <f>C$158*0.6*('Product half-life and C flows'!N152/100)</f>
        <v>22.345106667520849</v>
      </c>
      <c r="J291" s="85">
        <f>C$158*0.6*('Product half-life and C flows'!P152/100)</f>
        <v>11.1613919418186</v>
      </c>
      <c r="K291" s="85">
        <f t="shared" si="57"/>
        <v>11.038827979547648</v>
      </c>
      <c r="L291" s="3"/>
      <c r="M291" s="90">
        <f>E$238*(0.4*M$41)*('Product half-life and C flows'!B71/100)</f>
        <v>1.6150613363517636</v>
      </c>
      <c r="N291" s="90">
        <f t="shared" si="74"/>
        <v>74.338917231292029</v>
      </c>
      <c r="O291" s="89">
        <f t="shared" si="58"/>
        <v>26.438132413138941</v>
      </c>
      <c r="P291" s="89">
        <f t="shared" si="59"/>
        <v>14.100337287007433</v>
      </c>
      <c r="Q291" s="91">
        <f>E$238*(0.6*Q$42)*('Product half-life and C flows'!L71/100)</f>
        <v>19.779833845581713</v>
      </c>
      <c r="R291" s="91">
        <f>E$238*0.6*('Product half-life and C flows'!N71/100)</f>
        <v>16.205335930995226</v>
      </c>
      <c r="S291" s="91">
        <f>E$238*0.6*('Product half-life and C flows'!P71/100)</f>
        <v>8.0945733921055059</v>
      </c>
      <c r="T291" s="89">
        <f t="shared" si="60"/>
        <v>25.116225792481988</v>
      </c>
      <c r="U291" s="17"/>
      <c r="V291">
        <f t="shared" si="72"/>
        <v>133</v>
      </c>
      <c r="W291" s="3">
        <f t="shared" si="85"/>
        <v>39.060995914567414</v>
      </c>
      <c r="X291" s="113">
        <f t="shared" si="73"/>
        <v>161.0111507341245</v>
      </c>
      <c r="Y291" s="98">
        <f t="shared" si="76"/>
        <v>1.7001192983900584</v>
      </c>
      <c r="Z291" s="98">
        <f t="shared" si="77"/>
        <v>74.338917231292029</v>
      </c>
      <c r="AA291" s="98">
        <f t="shared" si="78"/>
        <v>49.501791410877075</v>
      </c>
      <c r="AB291" s="98">
        <f t="shared" si="79"/>
        <v>26.400955419134434</v>
      </c>
      <c r="AC291" s="98">
        <f t="shared" si="80"/>
        <v>24.735089683022778</v>
      </c>
      <c r="AD291" s="98">
        <f t="shared" si="81"/>
        <v>38.550442598516071</v>
      </c>
      <c r="AE291" s="98">
        <f t="shared" si="82"/>
        <v>19.255965333924106</v>
      </c>
      <c r="AF291" s="98">
        <f t="shared" si="83"/>
        <v>36.155053772029632</v>
      </c>
      <c r="AG291" s="3">
        <f t="shared" si="84"/>
        <v>232.7831616767665</v>
      </c>
    </row>
    <row r="292" spans="1:33" ht="14">
      <c r="A292">
        <f t="shared" si="86"/>
        <v>134</v>
      </c>
      <c r="B292" s="19">
        <f t="shared" si="86"/>
        <v>214</v>
      </c>
      <c r="C292" s="26">
        <f t="shared" si="71"/>
        <v>161.14820013543206</v>
      </c>
      <c r="D292" s="83">
        <f>C$158*(0.4*D$14)*('Product half-life and C flows'!B153/100)</f>
        <v>8.21605755970993E-2</v>
      </c>
      <c r="E292" s="85"/>
      <c r="F292" s="85">
        <f t="shared" si="55"/>
        <v>23.063658997738134</v>
      </c>
      <c r="G292" s="85">
        <f t="shared" si="56"/>
        <v>12.300618132127003</v>
      </c>
      <c r="H292" s="83">
        <f>C$158*(0.6*C$15)*('Product half-life and C flows'!L153/100)</f>
        <v>4.8795135276926782</v>
      </c>
      <c r="I292" s="85">
        <f>C$158*0.6*('Product half-life and C flows'!N153/100)</f>
        <v>22.395652035559607</v>
      </c>
      <c r="J292" s="85">
        <f>C$158*0.6*('Product half-life and C flows'!P153/100)</f>
        <v>11.186639378401395</v>
      </c>
      <c r="K292" s="85">
        <f t="shared" si="57"/>
        <v>11.038827979547648</v>
      </c>
      <c r="L292" s="3"/>
      <c r="M292" s="90">
        <f>E$238*(0.4*M$41)*('Product half-life and C flows'!B72/100)</f>
        <v>1.5600464182240783</v>
      </c>
      <c r="N292" s="90">
        <f t="shared" si="74"/>
        <v>75.59435217302817</v>
      </c>
      <c r="O292" s="89">
        <f t="shared" si="58"/>
        <v>26.438132413138941</v>
      </c>
      <c r="P292" s="89">
        <f t="shared" si="59"/>
        <v>14.100337287007433</v>
      </c>
      <c r="Q292" s="91">
        <f>E$238*(0.6*Q$42)*('Product half-life and C flows'!L72/100)</f>
        <v>19.477494198336096</v>
      </c>
      <c r="R292" s="91">
        <f>E$238*0.6*('Product half-life and C flows'!N72/100)</f>
        <v>16.407097255590472</v>
      </c>
      <c r="S292" s="91">
        <f>E$238*0.6*('Product half-life and C flows'!P72/100)</f>
        <v>8.1953532745207109</v>
      </c>
      <c r="T292" s="89">
        <f t="shared" si="60"/>
        <v>25.116225792481988</v>
      </c>
      <c r="U292" s="17"/>
      <c r="V292">
        <f t="shared" si="72"/>
        <v>134</v>
      </c>
      <c r="W292" s="3">
        <f t="shared" si="85"/>
        <v>39.083592083549917</v>
      </c>
      <c r="X292" s="113">
        <f t="shared" si="73"/>
        <v>161.14820013543206</v>
      </c>
      <c r="Y292" s="98">
        <f t="shared" si="76"/>
        <v>1.6422069938211776</v>
      </c>
      <c r="Z292" s="98">
        <f t="shared" si="77"/>
        <v>75.59435217302817</v>
      </c>
      <c r="AA292" s="98">
        <f t="shared" si="78"/>
        <v>49.501791410877075</v>
      </c>
      <c r="AB292" s="98">
        <f t="shared" si="79"/>
        <v>26.400955419134434</v>
      </c>
      <c r="AC292" s="98">
        <f t="shared" si="80"/>
        <v>24.357007726028776</v>
      </c>
      <c r="AD292" s="98">
        <f t="shared" si="81"/>
        <v>38.802749291150079</v>
      </c>
      <c r="AE292" s="98">
        <f t="shared" si="82"/>
        <v>19.381992652922108</v>
      </c>
      <c r="AF292" s="98">
        <f t="shared" si="83"/>
        <v>36.155053772029632</v>
      </c>
      <c r="AG292" s="3">
        <f t="shared" si="84"/>
        <v>234.03884867314065</v>
      </c>
    </row>
    <row r="293" spans="1:33" ht="14">
      <c r="A293">
        <f t="shared" si="86"/>
        <v>135</v>
      </c>
      <c r="B293" s="19">
        <f t="shared" si="86"/>
        <v>215</v>
      </c>
      <c r="C293" s="26">
        <f t="shared" si="71"/>
        <v>161.28261122967328</v>
      </c>
      <c r="D293" s="83">
        <f>C$158*(0.4*D$14)*('Product half-life and C flows'!B154/100)</f>
        <v>7.9361884774614311E-2</v>
      </c>
      <c r="E293" s="85"/>
      <c r="F293" s="85">
        <f t="shared" si="55"/>
        <v>23.063658997738134</v>
      </c>
      <c r="G293" s="85">
        <f t="shared" si="56"/>
        <v>12.300618132127003</v>
      </c>
      <c r="H293" s="83">
        <f>C$158*(0.6*C$15)*('Product half-life and C flows'!L154/100)</f>
        <v>4.8049289578621099</v>
      </c>
      <c r="I293" s="85">
        <f>C$158*0.6*('Product half-life and C flows'!N154/100)</f>
        <v>22.445424805159874</v>
      </c>
      <c r="J293" s="85">
        <f>C$158*0.6*('Product half-life and C flows'!P154/100)</f>
        <v>11.211500901678251</v>
      </c>
      <c r="K293" s="85">
        <f t="shared" si="57"/>
        <v>11.038827979547648</v>
      </c>
      <c r="L293" s="3"/>
      <c r="M293" s="90">
        <f>E$238*(0.4*M$41)*('Product half-life and C flows'!B73/100)</f>
        <v>1.5069055101717201</v>
      </c>
      <c r="N293" s="90">
        <f t="shared" si="74"/>
        <v>76.813799499943926</v>
      </c>
      <c r="O293" s="89">
        <f t="shared" si="58"/>
        <v>26.438132413138941</v>
      </c>
      <c r="P293" s="89">
        <f t="shared" si="59"/>
        <v>14.100337287007433</v>
      </c>
      <c r="Q293" s="91">
        <f>E$238*(0.6*Q$42)*('Product half-life and C flows'!L73/100)</f>
        <v>19.179775887296348</v>
      </c>
      <c r="R293" s="91">
        <f>E$238*0.6*('Product half-life and C flows'!N73/100)</f>
        <v>16.605774608490993</v>
      </c>
      <c r="S293" s="91">
        <f>E$238*0.6*('Product half-life and C flows'!P73/100)</f>
        <v>8.2945927115339604</v>
      </c>
      <c r="T293" s="89">
        <f t="shared" si="60"/>
        <v>25.116225792481988</v>
      </c>
      <c r="U293" s="17"/>
      <c r="V293">
        <f t="shared" si="72"/>
        <v>135</v>
      </c>
      <c r="W293" s="3">
        <f t="shared" si="85"/>
        <v>39.105310450978791</v>
      </c>
      <c r="X293" s="113">
        <f t="shared" si="73"/>
        <v>161.28261122967328</v>
      </c>
      <c r="Y293" s="98">
        <f t="shared" si="76"/>
        <v>1.5862673949463344</v>
      </c>
      <c r="Z293" s="98">
        <f t="shared" si="77"/>
        <v>76.813799499943926</v>
      </c>
      <c r="AA293" s="98">
        <f t="shared" si="78"/>
        <v>49.501791410877075</v>
      </c>
      <c r="AB293" s="98">
        <f t="shared" si="79"/>
        <v>26.400955419134434</v>
      </c>
      <c r="AC293" s="98">
        <f t="shared" si="80"/>
        <v>23.984704845158458</v>
      </c>
      <c r="AD293" s="98">
        <f t="shared" si="81"/>
        <v>39.051199413650863</v>
      </c>
      <c r="AE293" s="98">
        <f t="shared" si="82"/>
        <v>19.506093613212212</v>
      </c>
      <c r="AF293" s="98">
        <f t="shared" si="83"/>
        <v>36.155053772029632</v>
      </c>
      <c r="AG293" s="3">
        <f t="shared" si="84"/>
        <v>235.25854420197697</v>
      </c>
    </row>
    <row r="294" spans="1:33" ht="14">
      <c r="A294">
        <f t="shared" si="86"/>
        <v>136</v>
      </c>
      <c r="B294" s="19">
        <f t="shared" si="86"/>
        <v>216</v>
      </c>
      <c r="C294" s="26">
        <f t="shared" si="71"/>
        <v>161.41443332043016</v>
      </c>
      <c r="D294" s="83">
        <f>C$158*(0.4*D$14)*('Product half-life and C flows'!B155/100)</f>
        <v>7.665852763574757E-2</v>
      </c>
      <c r="E294" s="85"/>
      <c r="F294" s="85">
        <f t="shared" si="55"/>
        <v>23.063658997738134</v>
      </c>
      <c r="G294" s="85">
        <f t="shared" si="56"/>
        <v>12.300618132127003</v>
      </c>
      <c r="H294" s="83">
        <f>C$158*(0.6*C$15)*('Product half-life and C flows'!L155/100)</f>
        <v>4.731484431608683</v>
      </c>
      <c r="I294" s="85">
        <f>C$158*0.6*('Product half-life and C flows'!N155/100)</f>
        <v>22.49443678567966</v>
      </c>
      <c r="J294" s="85">
        <f>C$158*0.6*('Product half-life and C flows'!P155/100)</f>
        <v>11.235982410429393</v>
      </c>
      <c r="K294" s="85">
        <f t="shared" si="57"/>
        <v>11.038827979547648</v>
      </c>
      <c r="L294" s="3"/>
      <c r="M294" s="90">
        <f>E$238*(0.4*M$41)*('Product half-life and C flows'!B74/100)</f>
        <v>1.4555747765318927</v>
      </c>
      <c r="N294" s="90">
        <f t="shared" si="74"/>
        <v>77.997717870301713</v>
      </c>
      <c r="O294" s="89">
        <f t="shared" si="58"/>
        <v>26.438132413138941</v>
      </c>
      <c r="P294" s="89">
        <f t="shared" si="59"/>
        <v>14.100337287007433</v>
      </c>
      <c r="Q294" s="91">
        <f>E$238*(0.6*Q$42)*('Product half-life and C flows'!L74/100)</f>
        <v>18.886608274196782</v>
      </c>
      <c r="R294" s="91">
        <f>E$238*0.6*('Product half-life and C flows'!N74/100)</f>
        <v>16.801415128966106</v>
      </c>
      <c r="S294" s="91">
        <f>E$238*0.6*('Product half-life and C flows'!P74/100)</f>
        <v>8.3923152492338158</v>
      </c>
      <c r="T294" s="89">
        <f t="shared" si="60"/>
        <v>25.116225792481988</v>
      </c>
      <c r="U294" s="17"/>
      <c r="V294">
        <f t="shared" si="72"/>
        <v>136</v>
      </c>
      <c r="W294" s="3">
        <f t="shared" si="85"/>
        <v>39.126184806372201</v>
      </c>
      <c r="X294" s="113">
        <f t="shared" si="73"/>
        <v>161.41443332043016</v>
      </c>
      <c r="Y294" s="98">
        <f t="shared" si="76"/>
        <v>1.5322333041676404</v>
      </c>
      <c r="Z294" s="98">
        <f t="shared" si="77"/>
        <v>77.997717870301713</v>
      </c>
      <c r="AA294" s="98">
        <f t="shared" si="78"/>
        <v>49.501791410877075</v>
      </c>
      <c r="AB294" s="98">
        <f t="shared" si="79"/>
        <v>26.400955419134434</v>
      </c>
      <c r="AC294" s="98">
        <f t="shared" si="80"/>
        <v>23.618092705805466</v>
      </c>
      <c r="AD294" s="98">
        <f t="shared" si="81"/>
        <v>39.295851914645766</v>
      </c>
      <c r="AE294" s="98">
        <f t="shared" si="82"/>
        <v>19.628297659663211</v>
      </c>
      <c r="AF294" s="98">
        <f t="shared" si="83"/>
        <v>36.155053772029632</v>
      </c>
      <c r="AG294" s="3">
        <f t="shared" si="84"/>
        <v>236.44270698042769</v>
      </c>
    </row>
    <row r="295" spans="1:33" ht="14">
      <c r="A295">
        <f t="shared" si="86"/>
        <v>137</v>
      </c>
      <c r="B295" s="19">
        <f t="shared" si="86"/>
        <v>217</v>
      </c>
      <c r="C295" s="26">
        <f t="shared" si="71"/>
        <v>161.54371484905107</v>
      </c>
      <c r="D295" s="83">
        <f>C$158*(0.4*D$14)*('Product half-life and C flows'!B156/100)</f>
        <v>7.4047256765257863E-2</v>
      </c>
      <c r="E295" s="85"/>
      <c r="F295" s="85">
        <f t="shared" si="55"/>
        <v>23.063658997738134</v>
      </c>
      <c r="G295" s="85">
        <f t="shared" si="56"/>
        <v>12.300618132127003</v>
      </c>
      <c r="H295" s="83">
        <f>C$158*(0.6*C$15)*('Product half-life and C flows'!L156/100)</f>
        <v>4.6591625230846523</v>
      </c>
      <c r="I295" s="85">
        <f>C$158*0.6*('Product half-life and C flows'!N156/100)</f>
        <v>22.542699605968032</v>
      </c>
      <c r="J295" s="85">
        <f>C$158*0.6*('Product half-life and C flows'!P156/100)</f>
        <v>11.260089713270736</v>
      </c>
      <c r="K295" s="85">
        <f t="shared" si="57"/>
        <v>11.038827979547648</v>
      </c>
      <c r="L295" s="3"/>
      <c r="M295" s="90">
        <f>E$238*(0.4*M$41)*('Product half-life and C flows'!B75/100)</f>
        <v>1.4059925561188193</v>
      </c>
      <c r="N295" s="90">
        <f t="shared" si="74"/>
        <v>79.146613789176996</v>
      </c>
      <c r="O295" s="89">
        <f t="shared" si="58"/>
        <v>26.438132413138941</v>
      </c>
      <c r="P295" s="89">
        <f t="shared" si="59"/>
        <v>14.100337287007433</v>
      </c>
      <c r="Q295" s="91">
        <f>E$238*(0.6*Q$42)*('Product half-life and C flows'!L75/100)</f>
        <v>18.597921800495072</v>
      </c>
      <c r="R295" s="91">
        <f>E$238*0.6*('Product half-life and C flows'!N75/100)</f>
        <v>16.994065235749712</v>
      </c>
      <c r="S295" s="91">
        <f>E$238*0.6*('Product half-life and C flows'!P75/100)</f>
        <v>8.4885440738010516</v>
      </c>
      <c r="T295" s="89">
        <f t="shared" si="60"/>
        <v>25.116225792481988</v>
      </c>
      <c r="U295" s="17"/>
      <c r="V295">
        <f t="shared" si="72"/>
        <v>137</v>
      </c>
      <c r="W295" s="3">
        <f t="shared" si="85"/>
        <v>39.14624766258747</v>
      </c>
      <c r="X295" s="113">
        <f t="shared" si="73"/>
        <v>161.54371484905107</v>
      </c>
      <c r="Y295" s="98">
        <f t="shared" si="76"/>
        <v>1.4800398128840773</v>
      </c>
      <c r="Z295" s="98">
        <f t="shared" si="77"/>
        <v>79.146613789176996</v>
      </c>
      <c r="AA295" s="98">
        <f t="shared" si="78"/>
        <v>49.501791410877075</v>
      </c>
      <c r="AB295" s="98">
        <f t="shared" si="79"/>
        <v>26.400955419134434</v>
      </c>
      <c r="AC295" s="98">
        <f t="shared" si="80"/>
        <v>23.257084323579726</v>
      </c>
      <c r="AD295" s="98">
        <f t="shared" si="81"/>
        <v>39.536764841717741</v>
      </c>
      <c r="AE295" s="98">
        <f t="shared" si="82"/>
        <v>19.748633787071789</v>
      </c>
      <c r="AF295" s="98">
        <f t="shared" si="83"/>
        <v>36.155053772029632</v>
      </c>
      <c r="AG295" s="3">
        <f t="shared" si="84"/>
        <v>237.59184357155777</v>
      </c>
    </row>
    <row r="296" spans="1:33" ht="14">
      <c r="A296">
        <f t="shared" si="86"/>
        <v>138</v>
      </c>
      <c r="B296" s="19">
        <f t="shared" si="86"/>
        <v>218</v>
      </c>
      <c r="C296" s="26">
        <f t="shared" si="71"/>
        <v>161.67050340732089</v>
      </c>
      <c r="D296" s="83">
        <f>C$158*(0.4*D$14)*('Product half-life and C flows'!B157/100)</f>
        <v>7.1524935366788597E-2</v>
      </c>
      <c r="E296" s="85"/>
      <c r="F296" s="85">
        <f t="shared" si="55"/>
        <v>23.063658997738134</v>
      </c>
      <c r="G296" s="85">
        <f t="shared" si="56"/>
        <v>12.300618132127003</v>
      </c>
      <c r="H296" s="83">
        <f>C$158*(0.6*C$15)*('Product half-life and C flows'!L157/100)</f>
        <v>4.5879460728006629</v>
      </c>
      <c r="I296" s="85">
        <f>C$158*0.6*('Product half-life and C flows'!N157/100)</f>
        <v>22.590224717124215</v>
      </c>
      <c r="J296" s="85">
        <f>C$158*0.6*('Product half-life and C flows'!P157/100)</f>
        <v>11.283828530032066</v>
      </c>
      <c r="K296" s="85">
        <f t="shared" si="57"/>
        <v>11.038827979547648</v>
      </c>
      <c r="L296" s="3"/>
      <c r="M296" s="90">
        <f>E$238*(0.4*M$41)*('Product half-life and C flows'!B76/100)</f>
        <v>1.358099288153072</v>
      </c>
      <c r="N296" s="90">
        <f t="shared" si="74"/>
        <v>80.261035507330135</v>
      </c>
      <c r="O296" s="89">
        <f t="shared" si="58"/>
        <v>26.438132413138941</v>
      </c>
      <c r="P296" s="89">
        <f t="shared" si="59"/>
        <v>14.100337287007433</v>
      </c>
      <c r="Q296" s="91">
        <f>E$238*(0.6*Q$42)*('Product half-life and C flows'!L76/100)</f>
        <v>18.313647970868377</v>
      </c>
      <c r="R296" s="91">
        <f>E$238*0.6*('Product half-life and C flows'!N76/100)</f>
        <v>17.183770638053925</v>
      </c>
      <c r="S296" s="91">
        <f>E$238*0.6*('Product half-life and C flows'!P76/100)</f>
        <v>8.5833020170099505</v>
      </c>
      <c r="T296" s="89">
        <f t="shared" si="60"/>
        <v>25.116225792481988</v>
      </c>
      <c r="U296" s="17"/>
      <c r="V296">
        <f t="shared" si="72"/>
        <v>138</v>
      </c>
      <c r="W296" s="3">
        <f t="shared" si="85"/>
        <v>39.165530302188394</v>
      </c>
      <c r="X296" s="113">
        <f t="shared" si="73"/>
        <v>161.67050340732089</v>
      </c>
      <c r="Y296" s="98">
        <f t="shared" si="76"/>
        <v>1.4296242235198606</v>
      </c>
      <c r="Z296" s="98">
        <f t="shared" si="77"/>
        <v>80.261035507330135</v>
      </c>
      <c r="AA296" s="98">
        <f t="shared" si="78"/>
        <v>49.501791410877075</v>
      </c>
      <c r="AB296" s="98">
        <f t="shared" si="79"/>
        <v>26.400955419134434</v>
      </c>
      <c r="AC296" s="98">
        <f t="shared" si="80"/>
        <v>22.901594043669039</v>
      </c>
      <c r="AD296" s="98">
        <f t="shared" si="81"/>
        <v>39.773995355178144</v>
      </c>
      <c r="AE296" s="98">
        <f t="shared" si="82"/>
        <v>19.867130547042017</v>
      </c>
      <c r="AF296" s="98">
        <f t="shared" si="83"/>
        <v>36.155053772029632</v>
      </c>
      <c r="AG296" s="3">
        <f t="shared" si="84"/>
        <v>238.70650228323089</v>
      </c>
    </row>
    <row r="297" spans="1:33" ht="14">
      <c r="A297">
        <f t="shared" si="86"/>
        <v>139</v>
      </c>
      <c r="B297" s="19">
        <f t="shared" si="86"/>
        <v>219</v>
      </c>
      <c r="C297" s="26">
        <f t="shared" si="71"/>
        <v>161.79484575004849</v>
      </c>
      <c r="D297" s="83">
        <f>C$158*(0.4*D$14)*('Product half-life and C flows'!B158/100)</f>
        <v>6.9088533494782584E-2</v>
      </c>
      <c r="E297" s="85"/>
      <c r="F297" s="85">
        <f t="shared" si="55"/>
        <v>23.063658997738134</v>
      </c>
      <c r="G297" s="85">
        <f t="shared" si="56"/>
        <v>12.300618132127003</v>
      </c>
      <c r="H297" s="83">
        <f>C$158*(0.6*C$15)*('Product half-life and C flows'!L158/100)</f>
        <v>4.5178181835543993</v>
      </c>
      <c r="I297" s="85">
        <f>C$158*0.6*('Product half-life and C flows'!N158/100)</f>
        <v>22.637023395214555</v>
      </c>
      <c r="J297" s="85">
        <f>C$158*0.6*('Product half-life and C flows'!P158/100)</f>
        <v>11.307204493114153</v>
      </c>
      <c r="K297" s="85">
        <f t="shared" si="57"/>
        <v>11.038827979547648</v>
      </c>
      <c r="L297" s="3"/>
      <c r="M297" s="90">
        <f>E$238*(0.4*M$41)*('Product half-life and C flows'!B77/100)</f>
        <v>1.3118374407140245</v>
      </c>
      <c r="N297" s="90">
        <f t="shared" si="74"/>
        <v>81.341567389573953</v>
      </c>
      <c r="O297" s="89">
        <f t="shared" si="58"/>
        <v>26.438132413138941</v>
      </c>
      <c r="P297" s="89">
        <f t="shared" si="59"/>
        <v>14.100337287007433</v>
      </c>
      <c r="Q297" s="91">
        <f>E$238*(0.6*Q$42)*('Product half-life and C flows'!L77/100)</f>
        <v>18.033719336961802</v>
      </c>
      <c r="R297" s="91">
        <f>E$238*0.6*('Product half-life and C flows'!N77/100)</f>
        <v>17.37057634641425</v>
      </c>
      <c r="S297" s="91">
        <f>E$238*0.6*('Product half-life and C flows'!P77/100)</f>
        <v>8.6766115616454744</v>
      </c>
      <c r="T297" s="89">
        <f t="shared" si="60"/>
        <v>25.116225792481988</v>
      </c>
      <c r="U297" s="17"/>
      <c r="V297">
        <f t="shared" si="72"/>
        <v>139</v>
      </c>
      <c r="W297" s="3">
        <f t="shared" si="85"/>
        <v>39.184062822276211</v>
      </c>
      <c r="X297" s="113">
        <f t="shared" si="73"/>
        <v>161.79484575004849</v>
      </c>
      <c r="Y297" s="98">
        <f t="shared" si="76"/>
        <v>1.3809259742088071</v>
      </c>
      <c r="Z297" s="98">
        <f t="shared" si="77"/>
        <v>81.341567389573953</v>
      </c>
      <c r="AA297" s="98">
        <f t="shared" si="78"/>
        <v>49.501791410877075</v>
      </c>
      <c r="AB297" s="98">
        <f t="shared" si="79"/>
        <v>26.400955419134434</v>
      </c>
      <c r="AC297" s="98">
        <f t="shared" si="80"/>
        <v>22.551537520516202</v>
      </c>
      <c r="AD297" s="98">
        <f t="shared" si="81"/>
        <v>40.007599741628809</v>
      </c>
      <c r="AE297" s="98">
        <f t="shared" si="82"/>
        <v>19.983816054759629</v>
      </c>
      <c r="AF297" s="98">
        <f t="shared" si="83"/>
        <v>36.155053772029632</v>
      </c>
      <c r="AG297" s="3">
        <f t="shared" si="84"/>
        <v>239.78726753649011</v>
      </c>
    </row>
    <row r="298" spans="1:33" ht="14">
      <c r="A298">
        <f t="shared" si="86"/>
        <v>140</v>
      </c>
      <c r="B298" s="19">
        <f t="shared" si="86"/>
        <v>220</v>
      </c>
      <c r="C298" s="26">
        <f t="shared" si="71"/>
        <v>161.91678780756789</v>
      </c>
      <c r="D298" s="83">
        <f>C$158*(0.4*D$14)*('Product half-life and C flows'!B159/100)</f>
        <v>6.6735124414751532E-2</v>
      </c>
      <c r="E298" s="85"/>
      <c r="F298" s="85">
        <f t="shared" si="55"/>
        <v>23.063658997738134</v>
      </c>
      <c r="G298" s="85">
        <f t="shared" si="56"/>
        <v>12.300618132127003</v>
      </c>
      <c r="H298" s="83">
        <f>C$158*(0.6*C$15)*('Product half-life and C flows'!L159/100)</f>
        <v>4.4487622164214518</v>
      </c>
      <c r="I298" s="85">
        <f>C$158*0.6*('Product half-life and C flows'!N159/100)</f>
        <v>22.683106743947942</v>
      </c>
      <c r="J298" s="85">
        <f>C$158*0.6*('Product half-life and C flows'!P159/100)</f>
        <v>11.330223148825137</v>
      </c>
      <c r="K298" s="85">
        <f t="shared" si="57"/>
        <v>11.038827979547648</v>
      </c>
      <c r="L298" s="3"/>
      <c r="M298" s="90">
        <f>E$238*(0.4*M$41)*('Product half-life and C flows'!B78/100)</f>
        <v>1.2671514416294689</v>
      </c>
      <c r="N298" s="90">
        <f t="shared" si="74"/>
        <v>82.388824727217184</v>
      </c>
      <c r="O298" s="89">
        <f t="shared" si="58"/>
        <v>26.438132413138941</v>
      </c>
      <c r="P298" s="89">
        <f t="shared" si="59"/>
        <v>14.100337287007433</v>
      </c>
      <c r="Q298" s="91">
        <f>E$238*(0.6*Q$42)*('Product half-life and C flows'!L78/100)</f>
        <v>17.758069481385217</v>
      </c>
      <c r="R298" s="91">
        <f>E$238*0.6*('Product half-life and C flows'!N78/100)</f>
        <v>17.554526683369023</v>
      </c>
      <c r="S298" s="91">
        <f>E$238*0.6*('Product half-life and C flows'!P78/100)</f>
        <v>8.7684948468376707</v>
      </c>
      <c r="T298" s="89">
        <f t="shared" si="60"/>
        <v>25.116225792481988</v>
      </c>
      <c r="U298" s="17"/>
      <c r="V298">
        <f t="shared" si="72"/>
        <v>140</v>
      </c>
      <c r="W298" s="3">
        <f t="shared" si="85"/>
        <v>39.201874177822951</v>
      </c>
      <c r="X298" s="113">
        <f t="shared" si="73"/>
        <v>161.91678780756789</v>
      </c>
      <c r="Y298" s="98">
        <f t="shared" si="76"/>
        <v>1.3338865660442205</v>
      </c>
      <c r="Z298" s="98">
        <f t="shared" si="77"/>
        <v>82.388824727217184</v>
      </c>
      <c r="AA298" s="98">
        <f t="shared" si="78"/>
        <v>49.501791410877075</v>
      </c>
      <c r="AB298" s="98">
        <f t="shared" si="79"/>
        <v>26.400955419134434</v>
      </c>
      <c r="AC298" s="98">
        <f t="shared" si="80"/>
        <v>22.20683169780667</v>
      </c>
      <c r="AD298" s="98">
        <f t="shared" si="81"/>
        <v>40.237633427316965</v>
      </c>
      <c r="AE298" s="98">
        <f t="shared" si="82"/>
        <v>20.09871799566281</v>
      </c>
      <c r="AF298" s="98">
        <f t="shared" si="83"/>
        <v>36.155053772029632</v>
      </c>
      <c r="AG298" s="3">
        <f t="shared" si="84"/>
        <v>240.83475467801514</v>
      </c>
    </row>
    <row r="299" spans="1:33" ht="14">
      <c r="A299">
        <f t="shared" si="86"/>
        <v>141</v>
      </c>
      <c r="B299" s="19">
        <f t="shared" si="86"/>
        <v>221</v>
      </c>
      <c r="C299" s="26">
        <f t="shared" si="71"/>
        <v>162.03637469814757</v>
      </c>
      <c r="D299" s="83">
        <f>C$158*(0.4*D$14)*('Product half-life and C flows'!B160/100)</f>
        <v>6.446188108752797E-2</v>
      </c>
      <c r="E299" s="85"/>
      <c r="F299" s="85">
        <f t="shared" si="55"/>
        <v>23.063658997738134</v>
      </c>
      <c r="G299" s="85">
        <f t="shared" si="56"/>
        <v>12.300618132127003</v>
      </c>
      <c r="H299" s="83">
        <f>C$158*(0.6*C$15)*('Product half-life and C flows'!L160/100)</f>
        <v>4.380761786807482</v>
      </c>
      <c r="I299" s="85">
        <f>C$158*0.6*('Product half-life and C flows'!N160/100)</f>
        <v>22.72848569731033</v>
      </c>
      <c r="J299" s="85">
        <f>C$158*0.6*('Product half-life and C flows'!P160/100)</f>
        <v>11.352889958696458</v>
      </c>
      <c r="K299" s="85">
        <f t="shared" si="57"/>
        <v>11.038827979547648</v>
      </c>
      <c r="L299" s="3"/>
      <c r="M299" s="90">
        <f>E$238*(0.4*M$41)*('Product half-life and C flows'!B79/100)</f>
        <v>1.2239876117193953</v>
      </c>
      <c r="N299" s="90">
        <f t="shared" si="74"/>
        <v>83.403448969491279</v>
      </c>
      <c r="O299" s="89">
        <f t="shared" si="58"/>
        <v>26.438132413138941</v>
      </c>
      <c r="P299" s="89">
        <f t="shared" si="59"/>
        <v>14.100337287007433</v>
      </c>
      <c r="Q299" s="91">
        <f>E$238*(0.6*Q$42)*('Product half-life and C flows'!L79/100)</f>
        <v>17.486633001954708</v>
      </c>
      <c r="R299" s="91">
        <f>E$238*0.6*('Product half-life and C flows'!N79/100)</f>
        <v>17.73566529397565</v>
      </c>
      <c r="S299" s="91">
        <f>E$238*0.6*('Product half-life and C flows'!P79/100)</f>
        <v>8.8589736733145052</v>
      </c>
      <c r="T299" s="89">
        <f t="shared" si="60"/>
        <v>25.116225792481988</v>
      </c>
      <c r="U299" s="17"/>
      <c r="V299">
        <f t="shared" si="72"/>
        <v>141</v>
      </c>
      <c r="W299" s="3">
        <f t="shared" si="85"/>
        <v>39.218992223546429</v>
      </c>
      <c r="X299" s="113">
        <f t="shared" si="73"/>
        <v>162.03637469814757</v>
      </c>
      <c r="Y299" s="98">
        <f t="shared" si="76"/>
        <v>1.2884494928069232</v>
      </c>
      <c r="Z299" s="98">
        <f t="shared" si="77"/>
        <v>83.403448969491279</v>
      </c>
      <c r="AA299" s="98">
        <f t="shared" si="78"/>
        <v>49.501791410877075</v>
      </c>
      <c r="AB299" s="98">
        <f t="shared" si="79"/>
        <v>26.400955419134434</v>
      </c>
      <c r="AC299" s="98">
        <f t="shared" si="80"/>
        <v>21.867394788762191</v>
      </c>
      <c r="AD299" s="98">
        <f t="shared" si="81"/>
        <v>40.464150991285976</v>
      </c>
      <c r="AE299" s="98">
        <f t="shared" si="82"/>
        <v>20.211863632010964</v>
      </c>
      <c r="AF299" s="98">
        <f t="shared" si="83"/>
        <v>36.155053772029632</v>
      </c>
      <c r="AG299" s="3">
        <f t="shared" si="84"/>
        <v>241.84960521156194</v>
      </c>
    </row>
    <row r="300" spans="1:33" ht="14">
      <c r="A300">
        <f t="shared" si="86"/>
        <v>142</v>
      </c>
      <c r="B300" s="19">
        <f t="shared" si="86"/>
        <v>222</v>
      </c>
      <c r="C300" s="26">
        <f t="shared" si="71"/>
        <v>162.15365074030461</v>
      </c>
      <c r="D300" s="83">
        <f>C$158*(0.4*D$14)*('Product half-life and C flows'!B161/100)</f>
        <v>6.2266072773276671E-2</v>
      </c>
      <c r="E300" s="85"/>
      <c r="F300" s="85">
        <f t="shared" si="55"/>
        <v>23.063658997738134</v>
      </c>
      <c r="G300" s="85">
        <f t="shared" si="56"/>
        <v>12.300618132127003</v>
      </c>
      <c r="H300" s="83">
        <f>C$158*(0.6*C$15)*('Product half-life and C flows'!L161/100)</f>
        <v>4.3138007605607269</v>
      </c>
      <c r="I300" s="85">
        <f>C$158*0.6*('Product half-life and C flows'!N161/100)</f>
        <v>22.773171022158998</v>
      </c>
      <c r="J300" s="85">
        <f>C$158*0.6*('Product half-life and C flows'!P161/100)</f>
        <v>11.37521030077871</v>
      </c>
      <c r="K300" s="85">
        <f t="shared" si="57"/>
        <v>11.038827979547648</v>
      </c>
      <c r="L300" s="3"/>
      <c r="M300" s="90">
        <f>E$238*(0.4*M$41)*('Product half-life and C flows'!B80/100)</f>
        <v>1.1822941003137224</v>
      </c>
      <c r="N300" s="90">
        <f t="shared" si="74"/>
        <v>84.386103349369861</v>
      </c>
      <c r="O300" s="89">
        <f t="shared" si="58"/>
        <v>26.438132413138941</v>
      </c>
      <c r="P300" s="89">
        <f t="shared" si="59"/>
        <v>14.100337287007433</v>
      </c>
      <c r="Q300" s="91">
        <f>E$238*(0.6*Q$42)*('Product half-life and C flows'!L80/100)</f>
        <v>17.219345496174906</v>
      </c>
      <c r="R300" s="91">
        <f>E$238*0.6*('Product half-life and C flows'!N80/100)</f>
        <v>17.91403515616604</v>
      </c>
      <c r="S300" s="91">
        <f>E$238*0.6*('Product half-life and C flows'!P80/100)</f>
        <v>8.9480695085744415</v>
      </c>
      <c r="T300" s="89">
        <f t="shared" si="60"/>
        <v>25.116225792481988</v>
      </c>
      <c r="U300" s="17"/>
      <c r="V300">
        <f t="shared" si="72"/>
        <v>142</v>
      </c>
      <c r="W300" s="3">
        <f t="shared" si="85"/>
        <v>39.235443754365264</v>
      </c>
      <c r="X300" s="113">
        <f t="shared" si="73"/>
        <v>162.15365074030461</v>
      </c>
      <c r="Y300" s="98">
        <f t="shared" si="76"/>
        <v>1.2445601730869991</v>
      </c>
      <c r="Z300" s="98">
        <f t="shared" si="77"/>
        <v>84.386103349369861</v>
      </c>
      <c r="AA300" s="98">
        <f t="shared" si="78"/>
        <v>49.501791410877075</v>
      </c>
      <c r="AB300" s="98">
        <f t="shared" si="79"/>
        <v>26.400955419134434</v>
      </c>
      <c r="AC300" s="98">
        <f t="shared" si="80"/>
        <v>21.533146256735634</v>
      </c>
      <c r="AD300" s="98">
        <f t="shared" si="81"/>
        <v>40.687206178325042</v>
      </c>
      <c r="AE300" s="98">
        <f t="shared" si="82"/>
        <v>20.323279809353153</v>
      </c>
      <c r="AF300" s="98">
        <f t="shared" si="83"/>
        <v>36.155053772029632</v>
      </c>
      <c r="AG300" s="3">
        <f t="shared" si="84"/>
        <v>242.83248242379517</v>
      </c>
    </row>
    <row r="301" spans="1:33" ht="14">
      <c r="A301">
        <f t="shared" si="86"/>
        <v>143</v>
      </c>
      <c r="B301" s="19">
        <f t="shared" si="86"/>
        <v>223</v>
      </c>
      <c r="C301" s="26">
        <f t="shared" si="71"/>
        <v>162.26865946501934</v>
      </c>
      <c r="D301" s="83">
        <f>C$158*(0.4*D$14)*('Product half-life and C flows'!B162/100)</f>
        <v>6.0145061751186127E-2</v>
      </c>
      <c r="E301" s="85"/>
      <c r="F301" s="85">
        <f t="shared" si="55"/>
        <v>23.063658997738134</v>
      </c>
      <c r="G301" s="85">
        <f t="shared" si="56"/>
        <v>12.300618132127003</v>
      </c>
      <c r="H301" s="83">
        <f>C$158*(0.6*C$15)*('Product half-life and C flows'!L162/100)</f>
        <v>4.2478632501439186</v>
      </c>
      <c r="I301" s="85">
        <f>C$158*0.6*('Product half-life and C flows'!N162/100)</f>
        <v>22.817173320777147</v>
      </c>
      <c r="J301" s="85">
        <f>C$158*0.6*('Product half-life and C flows'!P162/100)</f>
        <v>11.397189470917647</v>
      </c>
      <c r="K301" s="85">
        <f t="shared" si="57"/>
        <v>11.038827979547648</v>
      </c>
      <c r="L301" s="3"/>
      <c r="M301" s="90">
        <f>E$238*(0.4*M$41)*('Product half-life and C flows'!B81/100)</f>
        <v>1.1420208229665398</v>
      </c>
      <c r="N301" s="90">
        <f t="shared" si="74"/>
        <v>85.337468879830681</v>
      </c>
      <c r="O301" s="89">
        <f t="shared" si="58"/>
        <v>26.438132413138941</v>
      </c>
      <c r="P301" s="89">
        <f t="shared" si="59"/>
        <v>14.100337287007433</v>
      </c>
      <c r="Q301" s="91">
        <f>E$238*(0.6*Q$42)*('Product half-life and C flows'!L81/100)</f>
        <v>16.956143545958479</v>
      </c>
      <c r="R301" s="91">
        <f>E$238*0.6*('Product half-life and C flows'!N81/100)</f>
        <v>18.089678590943798</v>
      </c>
      <c r="S301" s="91">
        <f>E$238*0.6*('Product half-life and C flows'!P81/100)</f>
        <v>9.0358034919799159</v>
      </c>
      <c r="T301" s="89">
        <f t="shared" si="60"/>
        <v>25.116225792481988</v>
      </c>
      <c r="U301" s="17"/>
      <c r="V301">
        <f t="shared" si="72"/>
        <v>143</v>
      </c>
      <c r="W301" s="3">
        <f t="shared" si="85"/>
        <v>39.251254544473035</v>
      </c>
      <c r="X301" s="113">
        <f t="shared" si="73"/>
        <v>162.26865946501934</v>
      </c>
      <c r="Y301" s="98">
        <f t="shared" si="76"/>
        <v>1.2021658847177259</v>
      </c>
      <c r="Z301" s="98">
        <f t="shared" si="77"/>
        <v>85.337468879830681</v>
      </c>
      <c r="AA301" s="98">
        <f t="shared" si="78"/>
        <v>49.501791410877075</v>
      </c>
      <c r="AB301" s="98">
        <f t="shared" si="79"/>
        <v>26.400955419134434</v>
      </c>
      <c r="AC301" s="98">
        <f t="shared" si="80"/>
        <v>21.204006796102398</v>
      </c>
      <c r="AD301" s="98">
        <f t="shared" si="81"/>
        <v>40.906851911720949</v>
      </c>
      <c r="AE301" s="98">
        <f t="shared" si="82"/>
        <v>20.432992962897565</v>
      </c>
      <c r="AF301" s="98">
        <f t="shared" si="83"/>
        <v>36.155053772029632</v>
      </c>
      <c r="AG301" s="3">
        <f t="shared" si="84"/>
        <v>243.7840673805631</v>
      </c>
    </row>
    <row r="302" spans="1:33" ht="14">
      <c r="A302">
        <f t="shared" si="86"/>
        <v>144</v>
      </c>
      <c r="B302" s="19">
        <f t="shared" si="86"/>
        <v>224</v>
      </c>
      <c r="C302" s="26">
        <f t="shared" si="71"/>
        <v>162.38144362784706</v>
      </c>
      <c r="D302" s="83">
        <f>C$158*(0.4*D$14)*('Product half-life and C flows'!B163/100)</f>
        <v>5.8096300150898894E-2</v>
      </c>
      <c r="E302" s="85"/>
      <c r="F302" s="85">
        <f t="shared" si="55"/>
        <v>23.063658997738134</v>
      </c>
      <c r="G302" s="85">
        <f t="shared" si="56"/>
        <v>12.300618132127003</v>
      </c>
      <c r="H302" s="83">
        <f>C$158*(0.6*C$15)*('Product half-life and C flows'!L163/100)</f>
        <v>4.182933610864719</v>
      </c>
      <c r="I302" s="85">
        <f>C$158*0.6*('Product half-life and C flows'!N163/100)</f>
        <v>22.860503033389467</v>
      </c>
      <c r="J302" s="85">
        <f>C$158*0.6*('Product half-life and C flows'!P163/100)</f>
        <v>11.418832684010715</v>
      </c>
      <c r="K302" s="85">
        <f t="shared" si="57"/>
        <v>11.038827979547648</v>
      </c>
      <c r="L302" s="3"/>
      <c r="M302" s="90">
        <f>E$238*(0.4*M$41)*('Product half-life and C flows'!B82/100)</f>
        <v>1.1031194012920305</v>
      </c>
      <c r="N302" s="90">
        <f t="shared" si="74"/>
        <v>86.258240697357081</v>
      </c>
      <c r="O302" s="89">
        <f t="shared" si="58"/>
        <v>26.438132413138941</v>
      </c>
      <c r="P302" s="89">
        <f t="shared" si="59"/>
        <v>14.100337287007433</v>
      </c>
      <c r="Q302" s="91">
        <f>E$238*(0.6*Q$42)*('Product half-life and C flows'!L82/100)</f>
        <v>16.696964702579258</v>
      </c>
      <c r="R302" s="91">
        <f>E$238*0.6*('Product half-life and C flows'!N82/100)</f>
        <v>18.262637272425536</v>
      </c>
      <c r="S302" s="91">
        <f>E$238*0.6*('Product half-life and C flows'!P82/100)</f>
        <v>9.1221964397729902</v>
      </c>
      <c r="T302" s="89">
        <f t="shared" si="60"/>
        <v>25.116225792481988</v>
      </c>
      <c r="U302" s="17"/>
      <c r="V302">
        <f t="shared" si="72"/>
        <v>144</v>
      </c>
      <c r="W302" s="3">
        <f t="shared" si="85"/>
        <v>39.266449385070032</v>
      </c>
      <c r="X302" s="113">
        <f t="shared" si="73"/>
        <v>162.38144362784706</v>
      </c>
      <c r="Y302" s="98">
        <f t="shared" si="76"/>
        <v>1.1612157014429294</v>
      </c>
      <c r="Z302" s="98">
        <f t="shared" si="77"/>
        <v>86.258240697357081</v>
      </c>
      <c r="AA302" s="98">
        <f t="shared" si="78"/>
        <v>49.501791410877075</v>
      </c>
      <c r="AB302" s="98">
        <f t="shared" si="79"/>
        <v>26.400955419134434</v>
      </c>
      <c r="AC302" s="98">
        <f t="shared" si="80"/>
        <v>20.879898313443977</v>
      </c>
      <c r="AD302" s="98">
        <f t="shared" si="81"/>
        <v>41.123140305814999</v>
      </c>
      <c r="AE302" s="98">
        <f t="shared" si="82"/>
        <v>20.541029123783705</v>
      </c>
      <c r="AF302" s="98">
        <f t="shared" si="83"/>
        <v>36.155053772029632</v>
      </c>
      <c r="AG302" s="3">
        <f t="shared" si="84"/>
        <v>244.70505527041129</v>
      </c>
    </row>
    <row r="303" spans="1:33" ht="14">
      <c r="A303">
        <f t="shared" si="86"/>
        <v>145</v>
      </c>
      <c r="B303" s="19">
        <f t="shared" si="86"/>
        <v>225</v>
      </c>
      <c r="C303" s="26">
        <f t="shared" si="71"/>
        <v>162.49204522092421</v>
      </c>
      <c r="D303" s="83">
        <f>C$158*(0.4*D$14)*('Product half-life and C flows'!B164/100)</f>
        <v>5.6117326891875201E-2</v>
      </c>
      <c r="E303" s="85"/>
      <c r="F303" s="85">
        <f t="shared" si="55"/>
        <v>23.063658997738134</v>
      </c>
      <c r="G303" s="85">
        <f t="shared" si="56"/>
        <v>12.300618132127003</v>
      </c>
      <c r="H303" s="83">
        <f>C$158*(0.6*C$15)*('Product half-life and C flows'!L164/100)</f>
        <v>4.1189964371637808</v>
      </c>
      <c r="I303" s="85">
        <f>C$158*0.6*('Product half-life and C flows'!N164/100)</f>
        <v>22.903170440639229</v>
      </c>
      <c r="J303" s="85">
        <f>C$158*0.6*('Product half-life and C flows'!P164/100)</f>
        <v>11.440145075244361</v>
      </c>
      <c r="K303" s="85">
        <f t="shared" si="57"/>
        <v>11.038827979547648</v>
      </c>
      <c r="L303" s="3"/>
      <c r="M303" s="90">
        <f>E$238*(0.4*M$41)*('Product half-life and C flows'!B83/100)</f>
        <v>1.0655431048497974</v>
      </c>
      <c r="N303" s="90">
        <f t="shared" ref="N303:N318" si="87">C$8*(1-EXP(-C$9*$B142))^3</f>
        <v>87.149124730306028</v>
      </c>
      <c r="O303" s="89">
        <f t="shared" si="58"/>
        <v>26.438132413138941</v>
      </c>
      <c r="P303" s="89">
        <f t="shared" si="59"/>
        <v>14.100337287007433</v>
      </c>
      <c r="Q303" s="91">
        <f>E$238*(0.6*Q$42)*('Product half-life and C flows'!L83/100)</f>
        <v>16.441747471855251</v>
      </c>
      <c r="R303" s="91">
        <f>E$238*0.6*('Product half-life and C flows'!N83/100)</f>
        <v>18.432952237728689</v>
      </c>
      <c r="S303" s="91">
        <f>E$238*0.6*('Product half-life and C flows'!P83/100)</f>
        <v>9.2072688500143265</v>
      </c>
      <c r="T303" s="89">
        <f t="shared" si="60"/>
        <v>25.116225792481988</v>
      </c>
      <c r="U303" s="17"/>
      <c r="V303">
        <f t="shared" si="72"/>
        <v>145</v>
      </c>
      <c r="W303" s="3">
        <f t="shared" si="85"/>
        <v>39.281052120790505</v>
      </c>
      <c r="X303" s="113">
        <f t="shared" si="73"/>
        <v>162.49204522092421</v>
      </c>
      <c r="Y303" s="98">
        <f t="shared" si="76"/>
        <v>1.1216604317416725</v>
      </c>
      <c r="Z303" s="98">
        <f t="shared" si="77"/>
        <v>87.149124730306028</v>
      </c>
      <c r="AA303" s="98">
        <f t="shared" si="78"/>
        <v>49.501791410877075</v>
      </c>
      <c r="AB303" s="98">
        <f t="shared" si="79"/>
        <v>26.400955419134434</v>
      </c>
      <c r="AC303" s="98">
        <f t="shared" si="80"/>
        <v>20.560743909019031</v>
      </c>
      <c r="AD303" s="98">
        <f t="shared" si="81"/>
        <v>41.336122678367914</v>
      </c>
      <c r="AE303" s="98">
        <f t="shared" si="82"/>
        <v>20.647413925258689</v>
      </c>
      <c r="AF303" s="98">
        <f t="shared" si="83"/>
        <v>36.155053772029632</v>
      </c>
      <c r="AG303" s="3">
        <f t="shared" si="84"/>
        <v>245.59615207296318</v>
      </c>
    </row>
    <row r="304" spans="1:33" ht="14">
      <c r="A304">
        <f t="shared" ref="A304:B318" si="88">A303+1</f>
        <v>146</v>
      </c>
      <c r="B304" s="19">
        <f t="shared" si="88"/>
        <v>226</v>
      </c>
      <c r="C304" s="26">
        <f t="shared" si="71"/>
        <v>162.60050548486475</v>
      </c>
      <c r="D304" s="83">
        <f>C$158*(0.4*D$14)*('Product half-life and C flows'!B165/100)</f>
        <v>5.420576472701346E-2</v>
      </c>
      <c r="E304" s="85"/>
      <c r="F304" s="85">
        <f t="shared" ref="F304:F318" si="89">F303</f>
        <v>23.063658997738134</v>
      </c>
      <c r="G304" s="85">
        <f t="shared" si="56"/>
        <v>12.300618132127003</v>
      </c>
      <c r="H304" s="83">
        <f>C$158*(0.6*C$15)*('Product half-life and C flows'!L165/100)</f>
        <v>4.0560365589595353</v>
      </c>
      <c r="I304" s="85">
        <f>C$158*0.6*('Product half-life and C flows'!N165/100)</f>
        <v>22.945185666027527</v>
      </c>
      <c r="J304" s="85">
        <f>C$158*0.6*('Product half-life and C flows'!P165/100)</f>
        <v>11.461131701312441</v>
      </c>
      <c r="K304" s="85">
        <f t="shared" si="57"/>
        <v>11.038827979547648</v>
      </c>
      <c r="L304" s="3"/>
      <c r="M304" s="90">
        <f>E$238*(0.4*M$41)*('Product half-life and C flows'!B84/100)</f>
        <v>1.0292467950097952</v>
      </c>
      <c r="N304" s="90">
        <f t="shared" si="87"/>
        <v>88.010834670654972</v>
      </c>
      <c r="O304" s="89">
        <f t="shared" si="58"/>
        <v>26.438132413138941</v>
      </c>
      <c r="P304" s="89">
        <f t="shared" si="59"/>
        <v>14.100337287007433</v>
      </c>
      <c r="Q304" s="91">
        <f>E$238*(0.6*Q$42)*('Product half-life and C flows'!L84/100)</f>
        <v>16.190431299558252</v>
      </c>
      <c r="R304" s="91">
        <f>E$238*0.6*('Product half-life and C flows'!N84/100)</f>
        <v>18.600663896708216</v>
      </c>
      <c r="S304" s="91">
        <f>E$238*0.6*('Product half-life and C flows'!P84/100)</f>
        <v>9.2910409074466589</v>
      </c>
      <c r="T304" s="89">
        <f t="shared" si="60"/>
        <v>25.116225792481988</v>
      </c>
      <c r="U304" s="17"/>
      <c r="V304">
        <f t="shared" si="72"/>
        <v>146</v>
      </c>
      <c r="W304" s="3">
        <f t="shared" si="85"/>
        <v>39.295085684863707</v>
      </c>
      <c r="X304" s="113">
        <f t="shared" si="73"/>
        <v>162.60050548486475</v>
      </c>
      <c r="Y304" s="98">
        <f t="shared" si="76"/>
        <v>1.0834525597368088</v>
      </c>
      <c r="Z304" s="98">
        <f t="shared" si="77"/>
        <v>88.010834670654972</v>
      </c>
      <c r="AA304" s="98">
        <f t="shared" si="78"/>
        <v>49.501791410877075</v>
      </c>
      <c r="AB304" s="98">
        <f t="shared" si="79"/>
        <v>26.400955419134434</v>
      </c>
      <c r="AC304" s="98">
        <f t="shared" si="80"/>
        <v>20.246467858517789</v>
      </c>
      <c r="AD304" s="98">
        <f t="shared" si="81"/>
        <v>41.545849562735739</v>
      </c>
      <c r="AE304" s="98">
        <f t="shared" si="82"/>
        <v>20.7521726087591</v>
      </c>
      <c r="AF304" s="98">
        <f t="shared" si="83"/>
        <v>36.155053772029632</v>
      </c>
      <c r="AG304" s="3">
        <f t="shared" si="84"/>
        <v>246.45807153067915</v>
      </c>
    </row>
    <row r="305" spans="1:33" ht="14">
      <c r="A305">
        <f t="shared" si="88"/>
        <v>147</v>
      </c>
      <c r="B305" s="19">
        <f t="shared" si="88"/>
        <v>227</v>
      </c>
      <c r="C305" s="26">
        <f t="shared" si="71"/>
        <v>162.70686492054548</v>
      </c>
      <c r="D305" s="83">
        <f>C$158*(0.4*D$14)*('Product half-life and C flows'!B166/100)</f>
        <v>5.2359317386975295E-2</v>
      </c>
      <c r="E305" s="85"/>
      <c r="F305" s="85">
        <f t="shared" si="89"/>
        <v>23.063658997738134</v>
      </c>
      <c r="G305" s="85">
        <f t="shared" ref="G305:G318" si="90">G304</f>
        <v>12.300618132127003</v>
      </c>
      <c r="H305" s="83">
        <f>C$158*(0.6*C$15)*('Product half-life and C flows'!L166/100)</f>
        <v>3.9940390380488586</v>
      </c>
      <c r="I305" s="85">
        <f>C$158*0.6*('Product half-life and C flows'!N166/100)</f>
        <v>22.986558678315252</v>
      </c>
      <c r="J305" s="85">
        <f>C$158*0.6*('Product half-life and C flows'!P166/100)</f>
        <v>11.481797541616</v>
      </c>
      <c r="K305" s="85">
        <f t="shared" ref="K305:K318" si="91">K304</f>
        <v>11.038827979547648</v>
      </c>
      <c r="L305" s="3"/>
      <c r="M305" s="90">
        <f>E$238*(0.4*M$41)*('Product half-life and C flows'!B85/100)</f>
        <v>0.99418687072942458</v>
      </c>
      <c r="N305" s="90">
        <f t="shared" si="87"/>
        <v>88.84408922856835</v>
      </c>
      <c r="O305" s="89">
        <f t="shared" ref="O305:O318" si="92">O304</f>
        <v>26.438132413138941</v>
      </c>
      <c r="P305" s="89">
        <f t="shared" ref="P305:P318" si="93">P304</f>
        <v>14.100337287007433</v>
      </c>
      <c r="Q305" s="91">
        <f>E$238*(0.6*Q$42)*('Product half-life and C flows'!L85/100)</f>
        <v>15.942956557046386</v>
      </c>
      <c r="R305" s="91">
        <f>E$238*0.6*('Product half-life and C flows'!N85/100)</f>
        <v>18.765812041544468</v>
      </c>
      <c r="S305" s="91">
        <f>E$238*0.6*('Product half-life and C flows'!P85/100)</f>
        <v>9.3735324882839475</v>
      </c>
      <c r="T305" s="89">
        <f t="shared" ref="T305:T318" si="94">T304</f>
        <v>25.116225792481988</v>
      </c>
      <c r="U305" s="17"/>
      <c r="V305">
        <f t="shared" si="72"/>
        <v>147</v>
      </c>
      <c r="W305" s="3">
        <f t="shared" si="85"/>
        <v>39.308572133045466</v>
      </c>
      <c r="X305" s="113">
        <f t="shared" si="73"/>
        <v>162.70686492054548</v>
      </c>
      <c r="Y305" s="98">
        <f t="shared" si="76"/>
        <v>1.0465461881163998</v>
      </c>
      <c r="Z305" s="98">
        <f t="shared" si="77"/>
        <v>88.84408922856835</v>
      </c>
      <c r="AA305" s="98">
        <f t="shared" si="78"/>
        <v>49.501791410877075</v>
      </c>
      <c r="AB305" s="98">
        <f t="shared" si="79"/>
        <v>26.400955419134434</v>
      </c>
      <c r="AC305" s="98">
        <f t="shared" si="80"/>
        <v>19.936995595095244</v>
      </c>
      <c r="AD305" s="98">
        <f t="shared" si="81"/>
        <v>41.752370719859719</v>
      </c>
      <c r="AE305" s="98">
        <f t="shared" si="82"/>
        <v>20.855330029899946</v>
      </c>
      <c r="AF305" s="98">
        <f t="shared" si="83"/>
        <v>36.155053772029632</v>
      </c>
      <c r="AG305" s="3">
        <f t="shared" si="84"/>
        <v>247.29153240343476</v>
      </c>
    </row>
    <row r="306" spans="1:33" ht="14">
      <c r="A306">
        <f t="shared" si="88"/>
        <v>148</v>
      </c>
      <c r="B306" s="19">
        <f t="shared" si="88"/>
        <v>228</v>
      </c>
      <c r="C306" s="26">
        <f t="shared" si="71"/>
        <v>162.81116330077649</v>
      </c>
      <c r="D306" s="83">
        <f>C$158*(0.4*D$14)*('Product half-life and C flows'!B167/100)</f>
        <v>5.0575766821785717E-2</v>
      </c>
      <c r="E306" s="85"/>
      <c r="F306" s="85">
        <f t="shared" si="89"/>
        <v>23.063658997738134</v>
      </c>
      <c r="G306" s="85">
        <f t="shared" si="90"/>
        <v>12.300618132127003</v>
      </c>
      <c r="H306" s="83">
        <f>C$158*(0.6*C$15)*('Product half-life and C flows'!L167/100)</f>
        <v>3.9329891645627564</v>
      </c>
      <c r="I306" s="85">
        <f>C$158*0.6*('Product half-life and C flows'!N167/100)</f>
        <v>23.027299293888309</v>
      </c>
      <c r="J306" s="85">
        <f>C$158*0.6*('Product half-life and C flows'!P167/100)</f>
        <v>11.502147499444701</v>
      </c>
      <c r="K306" s="85">
        <f t="shared" si="91"/>
        <v>11.038827979547648</v>
      </c>
      <c r="L306" s="3"/>
      <c r="M306" s="90">
        <f>E$238*(0.4*M$41)*('Product half-life and C flows'!B86/100)</f>
        <v>0.96032121617766031</v>
      </c>
      <c r="N306" s="90">
        <f t="shared" si="87"/>
        <v>89.649609650172877</v>
      </c>
      <c r="O306" s="89">
        <f t="shared" si="92"/>
        <v>26.438132413138941</v>
      </c>
      <c r="P306" s="89">
        <f t="shared" si="93"/>
        <v>14.100337287007433</v>
      </c>
      <c r="Q306" s="91">
        <f>E$238*(0.6*Q$42)*('Product half-life and C flows'!L86/100)</f>
        <v>15.699264527116307</v>
      </c>
      <c r="R306" s="91">
        <f>E$238*0.6*('Product half-life and C flows'!N86/100)</f>
        <v>18.928435856184475</v>
      </c>
      <c r="S306" s="91">
        <f>E$238*0.6*('Product half-life and C flows'!P86/100)</f>
        <v>9.4547631649273089</v>
      </c>
      <c r="T306" s="89">
        <f t="shared" si="94"/>
        <v>25.116225792481988</v>
      </c>
      <c r="U306" s="17"/>
      <c r="V306">
        <f t="shared" si="72"/>
        <v>148</v>
      </c>
      <c r="W306" s="3">
        <f t="shared" si="85"/>
        <v>39.321532676357542</v>
      </c>
      <c r="X306" s="113">
        <f t="shared" si="73"/>
        <v>162.81116330077649</v>
      </c>
      <c r="Y306" s="98">
        <f t="shared" si="76"/>
        <v>1.0108969829994461</v>
      </c>
      <c r="Z306" s="98">
        <f t="shared" si="77"/>
        <v>89.649609650172877</v>
      </c>
      <c r="AA306" s="98">
        <f t="shared" si="78"/>
        <v>49.501791410877075</v>
      </c>
      <c r="AB306" s="98">
        <f t="shared" si="79"/>
        <v>26.400955419134434</v>
      </c>
      <c r="AC306" s="98">
        <f t="shared" si="80"/>
        <v>19.632253691679065</v>
      </c>
      <c r="AD306" s="98">
        <f t="shared" si="81"/>
        <v>41.955735150072783</v>
      </c>
      <c r="AE306" s="98">
        <f t="shared" si="82"/>
        <v>20.95691066437201</v>
      </c>
      <c r="AF306" s="98">
        <f t="shared" si="83"/>
        <v>36.155053772029632</v>
      </c>
      <c r="AG306" s="3">
        <f t="shared" si="84"/>
        <v>248.09725598630826</v>
      </c>
    </row>
    <row r="307" spans="1:33" ht="14">
      <c r="A307">
        <f t="shared" si="88"/>
        <v>149</v>
      </c>
      <c r="B307" s="19">
        <f t="shared" si="88"/>
        <v>229</v>
      </c>
      <c r="C307" s="26">
        <f t="shared" si="71"/>
        <v>162.91343968185561</v>
      </c>
      <c r="D307" s="83">
        <f>C$158*(0.4*D$14)*('Product half-life and C flows'!B168/100)</f>
        <v>4.8852970536394688E-2</v>
      </c>
      <c r="E307" s="85"/>
      <c r="F307" s="85">
        <f t="shared" si="89"/>
        <v>23.063658997738134</v>
      </c>
      <c r="G307" s="85">
        <f t="shared" si="90"/>
        <v>12.300618132127003</v>
      </c>
      <c r="H307" s="83">
        <f>C$158*(0.6*C$15)*('Product half-life and C flows'!L168/100)</f>
        <v>3.87287245347621</v>
      </c>
      <c r="I307" s="85">
        <f>C$158*0.6*('Product half-life and C flows'!N168/100)</f>
        <v>23.067417179086732</v>
      </c>
      <c r="J307" s="85">
        <f>C$158*0.6*('Product half-life and C flows'!P168/100)</f>
        <v>11.522186403140216</v>
      </c>
      <c r="K307" s="85">
        <f t="shared" si="91"/>
        <v>11.038827979547648</v>
      </c>
      <c r="L307" s="3"/>
      <c r="M307" s="90">
        <f>E$238*(0.4*M$41)*('Product half-life and C flows'!B87/100)</f>
        <v>0.92760915014329215</v>
      </c>
      <c r="N307" s="90">
        <f t="shared" si="87"/>
        <v>90.428117479893075</v>
      </c>
      <c r="O307" s="89">
        <f t="shared" si="92"/>
        <v>26.438132413138941</v>
      </c>
      <c r="P307" s="89">
        <f t="shared" si="93"/>
        <v>14.100337287007433</v>
      </c>
      <c r="Q307" s="91">
        <f>E$238*(0.6*Q$42)*('Product half-life and C flows'!L87/100)</f>
        <v>15.459297390071617</v>
      </c>
      <c r="R307" s="91">
        <f>E$238*0.6*('Product half-life and C flows'!N87/100)</f>
        <v>19.088573925638968</v>
      </c>
      <c r="S307" s="91">
        <f>E$238*0.6*('Product half-life and C flows'!P87/100)</f>
        <v>9.5347522106088718</v>
      </c>
      <c r="T307" s="89">
        <f t="shared" si="94"/>
        <v>25.116225792481988</v>
      </c>
      <c r="U307" s="17"/>
      <c r="V307">
        <f t="shared" si="72"/>
        <v>149</v>
      </c>
      <c r="W307" s="3">
        <f t="shared" si="85"/>
        <v>39.333987712670748</v>
      </c>
      <c r="X307" s="113">
        <f t="shared" si="73"/>
        <v>162.91343968185561</v>
      </c>
      <c r="Y307" s="98">
        <f t="shared" si="76"/>
        <v>0.97646212067968685</v>
      </c>
      <c r="Z307" s="98">
        <f t="shared" si="77"/>
        <v>90.428117479893075</v>
      </c>
      <c r="AA307" s="98">
        <f t="shared" si="78"/>
        <v>49.501791410877075</v>
      </c>
      <c r="AB307" s="98">
        <f t="shared" si="79"/>
        <v>26.400955419134434</v>
      </c>
      <c r="AC307" s="98">
        <f t="shared" si="80"/>
        <v>19.332169843547828</v>
      </c>
      <c r="AD307" s="98">
        <f t="shared" si="81"/>
        <v>42.1559911047257</v>
      </c>
      <c r="AE307" s="98">
        <f t="shared" si="82"/>
        <v>21.056938613749089</v>
      </c>
      <c r="AF307" s="98">
        <f t="shared" si="83"/>
        <v>36.155053772029632</v>
      </c>
      <c r="AG307" s="3">
        <f t="shared" si="84"/>
        <v>248.87596387192721</v>
      </c>
    </row>
    <row r="308" spans="1:33" ht="14">
      <c r="A308">
        <f t="shared" si="88"/>
        <v>150</v>
      </c>
      <c r="B308" s="19">
        <f t="shared" si="88"/>
        <v>230</v>
      </c>
      <c r="C308" s="26">
        <f t="shared" si="71"/>
        <v>163.01373241500369</v>
      </c>
      <c r="D308" s="83">
        <f>C$158*(0.4*D$14)*('Product half-life and C flows'!B169/100)</f>
        <v>4.7188859016998749E-2</v>
      </c>
      <c r="E308" s="85"/>
      <c r="F308" s="85">
        <f t="shared" si="89"/>
        <v>23.063658997738134</v>
      </c>
      <c r="G308" s="85">
        <f t="shared" si="90"/>
        <v>12.300618132127003</v>
      </c>
      <c r="H308" s="83">
        <f>C$158*(0.6*C$15)*('Product half-life and C flows'!L169/100)</f>
        <v>3.8136746411713891</v>
      </c>
      <c r="I308" s="85">
        <f>C$158*0.6*('Product half-life and C flows'!N169/100)</f>
        <v>23.10692185249815</v>
      </c>
      <c r="J308" s="85">
        <f>C$158*0.6*('Product half-life and C flows'!P169/100)</f>
        <v>11.541919007241825</v>
      </c>
      <c r="K308" s="85">
        <f t="shared" si="91"/>
        <v>11.038827979547648</v>
      </c>
      <c r="L308" s="3"/>
      <c r="M308" s="90">
        <f>E$238*(0.4*M$41)*('Product half-life and C flows'!B88/100)</f>
        <v>0.89601137716650769</v>
      </c>
      <c r="N308" s="90">
        <f t="shared" si="87"/>
        <v>91.18033254965907</v>
      </c>
      <c r="O308" s="89">
        <f t="shared" si="92"/>
        <v>26.438132413138941</v>
      </c>
      <c r="P308" s="89">
        <f t="shared" si="93"/>
        <v>14.100337287007433</v>
      </c>
      <c r="Q308" s="91">
        <f>E$238*(0.6*Q$42)*('Product half-life and C flows'!L88/100)</f>
        <v>15.222998210004262</v>
      </c>
      <c r="R308" s="91">
        <f>E$238*0.6*('Product half-life and C flows'!N88/100)</f>
        <v>19.246264245137247</v>
      </c>
      <c r="S308" s="91">
        <f>E$238*0.6*('Product half-life and C flows'!P88/100)</f>
        <v>9.6135186039646552</v>
      </c>
      <c r="T308" s="89">
        <f t="shared" si="94"/>
        <v>25.116225792481988</v>
      </c>
      <c r="U308" s="17"/>
      <c r="V308">
        <f t="shared" si="72"/>
        <v>150</v>
      </c>
      <c r="W308" s="3">
        <f t="shared" si="85"/>
        <v>39.345956857167501</v>
      </c>
      <c r="X308" s="113">
        <f t="shared" si="73"/>
        <v>163.01373241500369</v>
      </c>
      <c r="Y308" s="98">
        <f t="shared" si="76"/>
        <v>0.94320023618350646</v>
      </c>
      <c r="Z308" s="98">
        <f t="shared" si="77"/>
        <v>91.18033254965907</v>
      </c>
      <c r="AA308" s="98">
        <f t="shared" si="78"/>
        <v>49.501791410877075</v>
      </c>
      <c r="AB308" s="98">
        <f t="shared" si="79"/>
        <v>26.400955419134434</v>
      </c>
      <c r="AC308" s="98">
        <f t="shared" si="80"/>
        <v>19.036672851175652</v>
      </c>
      <c r="AD308" s="98">
        <f t="shared" si="81"/>
        <v>42.353186097635401</v>
      </c>
      <c r="AE308" s="98">
        <f t="shared" si="82"/>
        <v>21.15543761120648</v>
      </c>
      <c r="AF308" s="98">
        <f t="shared" si="83"/>
        <v>36.155053772029632</v>
      </c>
      <c r="AG308" s="3">
        <f t="shared" si="84"/>
        <v>249.62837593968811</v>
      </c>
    </row>
    <row r="309" spans="1:33" ht="14">
      <c r="A309">
        <f t="shared" si="88"/>
        <v>151</v>
      </c>
      <c r="B309" s="19">
        <f t="shared" si="88"/>
        <v>231</v>
      </c>
      <c r="C309" s="26">
        <f t="shared" si="71"/>
        <v>163.11207915767986</v>
      </c>
      <c r="D309" s="83">
        <f>C$158*(0.4*D$14)*('Product half-life and C flows'!B170/100)</f>
        <v>4.5581433245031881E-2</v>
      </c>
      <c r="E309" s="85"/>
      <c r="F309" s="85">
        <f t="shared" si="89"/>
        <v>23.063658997738134</v>
      </c>
      <c r="G309" s="85">
        <f t="shared" si="90"/>
        <v>12.300618132127003</v>
      </c>
      <c r="H309" s="83">
        <f>C$158*(0.6*C$15)*('Product half-life and C flows'!L170/100)</f>
        <v>3.7553816820533905</v>
      </c>
      <c r="I309" s="85">
        <f>C$158*0.6*('Product half-life and C flows'!N170/100)</f>
        <v>23.145822687216228</v>
      </c>
      <c r="J309" s="85">
        <f>C$158*0.6*('Product half-life and C flows'!P170/100)</f>
        <v>11.56134999361449</v>
      </c>
      <c r="K309" s="85">
        <f t="shared" si="91"/>
        <v>11.038827979547648</v>
      </c>
      <c r="L309" s="3"/>
      <c r="M309" s="90">
        <f>E$238*(0.4*M$41)*('Product half-life and C flows'!B89/100)</f>
        <v>0.8654899403351114</v>
      </c>
      <c r="N309" s="90">
        <f t="shared" si="87"/>
        <v>91.906971178250416</v>
      </c>
      <c r="O309" s="89">
        <f t="shared" si="92"/>
        <v>26.438132413138941</v>
      </c>
      <c r="P309" s="89">
        <f t="shared" si="93"/>
        <v>14.100337287007433</v>
      </c>
      <c r="Q309" s="91">
        <f>E$238*(0.6*Q$42)*('Product half-life and C flows'!L89/100)</f>
        <v>14.990310921285639</v>
      </c>
      <c r="R309" s="91">
        <f>E$238*0.6*('Product half-life and C flows'!N89/100)</f>
        <v>19.401544229142143</v>
      </c>
      <c r="S309" s="91">
        <f>E$238*0.6*('Product half-life and C flows'!P89/100)</f>
        <v>9.6910810335375288</v>
      </c>
      <c r="T309" s="89">
        <f t="shared" si="94"/>
        <v>25.116225792481988</v>
      </c>
      <c r="U309" s="17"/>
      <c r="V309">
        <f t="shared" si="72"/>
        <v>151</v>
      </c>
      <c r="W309" s="3">
        <f t="shared" si="85"/>
        <v>39.357458971718664</v>
      </c>
      <c r="X309" s="113">
        <f t="shared" si="73"/>
        <v>163.11207915767986</v>
      </c>
      <c r="Y309" s="98">
        <f t="shared" si="76"/>
        <v>0.91107137358014323</v>
      </c>
      <c r="Z309" s="98">
        <f t="shared" si="77"/>
        <v>91.906971178250416</v>
      </c>
      <c r="AA309" s="98">
        <f t="shared" si="78"/>
        <v>49.501791410877075</v>
      </c>
      <c r="AB309" s="98">
        <f t="shared" si="79"/>
        <v>26.400955419134434</v>
      </c>
      <c r="AC309" s="98">
        <f t="shared" si="80"/>
        <v>18.74569260333903</v>
      </c>
      <c r="AD309" s="98">
        <f t="shared" si="81"/>
        <v>42.547366916358371</v>
      </c>
      <c r="AE309" s="98">
        <f t="shared" si="82"/>
        <v>21.252431027152021</v>
      </c>
      <c r="AF309" s="98">
        <f t="shared" si="83"/>
        <v>36.155053772029632</v>
      </c>
      <c r="AG309" s="3">
        <f t="shared" si="84"/>
        <v>250.35520855511137</v>
      </c>
    </row>
    <row r="310" spans="1:33" ht="14">
      <c r="A310">
        <f t="shared" si="88"/>
        <v>152</v>
      </c>
      <c r="B310" s="19">
        <f t="shared" si="88"/>
        <v>232</v>
      </c>
      <c r="C310" s="26">
        <f t="shared" si="71"/>
        <v>163.2085168847747</v>
      </c>
      <c r="D310" s="83">
        <f>C$158*(0.4*D$14)*('Product half-life and C flows'!B171/100)</f>
        <v>4.4028762295838991E-2</v>
      </c>
      <c r="E310" s="85"/>
      <c r="F310" s="85">
        <f t="shared" si="89"/>
        <v>23.063658997738134</v>
      </c>
      <c r="G310" s="85">
        <f t="shared" si="90"/>
        <v>12.300618132127003</v>
      </c>
      <c r="H310" s="83">
        <f>C$158*(0.6*C$15)*('Product half-life and C flows'!L171/100)</f>
        <v>3.6979797452176926</v>
      </c>
      <c r="I310" s="85">
        <f>C$158*0.6*('Product half-life and C flows'!N171/100)</f>
        <v>23.18412891306458</v>
      </c>
      <c r="J310" s="85">
        <f>C$158*0.6*('Product half-life and C flows'!P171/100)</f>
        <v>11.580483972559723</v>
      </c>
      <c r="K310" s="85">
        <f t="shared" si="91"/>
        <v>11.038827979547648</v>
      </c>
      <c r="L310" s="3"/>
      <c r="M310" s="90">
        <f>E$238*(0.4*M$41)*('Product half-life and C flows'!B90/100)</f>
        <v>0.83600817568868113</v>
      </c>
      <c r="N310" s="90">
        <f t="shared" si="87"/>
        <v>92.608744564975808</v>
      </c>
      <c r="O310" s="89">
        <f t="shared" si="92"/>
        <v>26.438132413138941</v>
      </c>
      <c r="P310" s="89">
        <f t="shared" si="93"/>
        <v>14.100337287007433</v>
      </c>
      <c r="Q310" s="91">
        <f>E$238*(0.6*Q$42)*('Product half-life and C flows'!L90/100)</f>
        <v>14.761180315264097</v>
      </c>
      <c r="R310" s="91">
        <f>E$238*0.6*('Product half-life and C flows'!N90/100)</f>
        <v>19.554450720227184</v>
      </c>
      <c r="S310" s="91">
        <f>E$238*0.6*('Product half-life and C flows'!P90/100)</f>
        <v>9.7674579022113779</v>
      </c>
      <c r="T310" s="89">
        <f t="shared" si="94"/>
        <v>25.116225792481988</v>
      </c>
      <c r="U310" s="17"/>
      <c r="V310">
        <f t="shared" si="72"/>
        <v>152</v>
      </c>
      <c r="W310" s="3">
        <f t="shared" si="85"/>
        <v>39.36851219320917</v>
      </c>
      <c r="X310" s="113">
        <f t="shared" si="73"/>
        <v>163.2085168847747</v>
      </c>
      <c r="Y310" s="98">
        <f t="shared" si="76"/>
        <v>0.8800369379845201</v>
      </c>
      <c r="Z310" s="98">
        <f t="shared" si="77"/>
        <v>92.608744564975808</v>
      </c>
      <c r="AA310" s="98">
        <f t="shared" si="78"/>
        <v>49.501791410877075</v>
      </c>
      <c r="AB310" s="98">
        <f t="shared" si="79"/>
        <v>26.400955419134434</v>
      </c>
      <c r="AC310" s="98">
        <f t="shared" si="80"/>
        <v>18.459160060481789</v>
      </c>
      <c r="AD310" s="98">
        <f t="shared" si="81"/>
        <v>42.738579633291764</v>
      </c>
      <c r="AE310" s="98">
        <f t="shared" si="82"/>
        <v>21.347941874771102</v>
      </c>
      <c r="AF310" s="98">
        <f t="shared" si="83"/>
        <v>36.155053772029632</v>
      </c>
      <c r="AG310" s="3">
        <f t="shared" si="84"/>
        <v>251.05717296353197</v>
      </c>
    </row>
    <row r="311" spans="1:33" ht="14">
      <c r="A311">
        <f t="shared" si="88"/>
        <v>153</v>
      </c>
      <c r="B311" s="19">
        <f t="shared" si="88"/>
        <v>233</v>
      </c>
      <c r="C311" s="26">
        <f t="shared" si="71"/>
        <v>163.3030818996792</v>
      </c>
      <c r="D311" s="83">
        <f>C$158*(0.4*D$14)*('Product half-life and C flows'!B172/100)</f>
        <v>4.2528981019147351E-2</v>
      </c>
      <c r="E311" s="85"/>
      <c r="F311" s="85">
        <f t="shared" si="89"/>
        <v>23.063658997738134</v>
      </c>
      <c r="G311" s="85">
        <f t="shared" si="90"/>
        <v>12.300618132127003</v>
      </c>
      <c r="H311" s="83">
        <f>C$158*(0.6*C$15)*('Product half-life and C flows'!L172/100)</f>
        <v>3.6414552111685716</v>
      </c>
      <c r="I311" s="85">
        <f>C$158*0.6*('Product half-life and C flows'!N172/100)</f>
        <v>23.221849618786692</v>
      </c>
      <c r="J311" s="85">
        <f>C$158*0.6*('Product half-life and C flows'!P172/100)</f>
        <v>11.59932548390943</v>
      </c>
      <c r="K311" s="85">
        <f t="shared" si="91"/>
        <v>11.038827979547648</v>
      </c>
      <c r="L311" s="3"/>
      <c r="M311" s="90">
        <f>E$238*(0.4*M$41)*('Product half-life and C flows'!B91/100)</f>
        <v>0.80753066817588204</v>
      </c>
      <c r="N311" s="90">
        <f t="shared" si="87"/>
        <v>93.286357362803088</v>
      </c>
      <c r="O311" s="89">
        <f t="shared" si="92"/>
        <v>26.438132413138941</v>
      </c>
      <c r="P311" s="89">
        <f t="shared" si="93"/>
        <v>14.100337287007433</v>
      </c>
      <c r="Q311" s="91">
        <f>E$238*(0.6*Q$42)*('Product half-life and C flows'!L91/100)</f>
        <v>14.535552027165874</v>
      </c>
      <c r="R311" s="91">
        <f>E$238*0.6*('Product half-life and C flows'!N91/100)</f>
        <v>19.705019997818066</v>
      </c>
      <c r="S311" s="91">
        <f>E$238*0.6*('Product half-life and C flows'!P91/100)</f>
        <v>9.8426673315774522</v>
      </c>
      <c r="T311" s="89">
        <f t="shared" si="94"/>
        <v>25.116225792481988</v>
      </c>
      <c r="U311" s="17"/>
      <c r="V311">
        <f t="shared" si="72"/>
        <v>153</v>
      </c>
      <c r="W311" s="3">
        <f t="shared" si="85"/>
        <v>39.3791339608456</v>
      </c>
      <c r="X311" s="113">
        <f t="shared" si="73"/>
        <v>163.3030818996792</v>
      </c>
      <c r="Y311" s="98">
        <f t="shared" si="76"/>
        <v>0.85005964919502941</v>
      </c>
      <c r="Z311" s="98">
        <f t="shared" si="77"/>
        <v>93.286357362803088</v>
      </c>
      <c r="AA311" s="98">
        <f t="shared" si="78"/>
        <v>49.501791410877075</v>
      </c>
      <c r="AB311" s="98">
        <f t="shared" si="79"/>
        <v>26.400955419134434</v>
      </c>
      <c r="AC311" s="98">
        <f t="shared" si="80"/>
        <v>18.177007238334447</v>
      </c>
      <c r="AD311" s="98">
        <f t="shared" si="81"/>
        <v>42.926869616604762</v>
      </c>
      <c r="AE311" s="98">
        <f t="shared" si="82"/>
        <v>21.441992815486884</v>
      </c>
      <c r="AF311" s="98">
        <f t="shared" si="83"/>
        <v>36.155053772029632</v>
      </c>
      <c r="AG311" s="3">
        <f t="shared" si="84"/>
        <v>251.73497386324073</v>
      </c>
    </row>
    <row r="312" spans="1:33" ht="14">
      <c r="A312">
        <f t="shared" si="88"/>
        <v>154</v>
      </c>
      <c r="B312" s="19">
        <f t="shared" si="88"/>
        <v>234</v>
      </c>
      <c r="C312" s="26">
        <f t="shared" si="71"/>
        <v>163.39580984522976</v>
      </c>
      <c r="D312" s="83">
        <f>C$158*(0.4*D$14)*('Product half-life and C flows'!B173/100)</f>
        <v>4.1080287798549643E-2</v>
      </c>
      <c r="E312" s="85"/>
      <c r="F312" s="85">
        <f t="shared" si="89"/>
        <v>23.063658997738134</v>
      </c>
      <c r="G312" s="85">
        <f t="shared" si="90"/>
        <v>12.300618132127003</v>
      </c>
      <c r="H312" s="83">
        <f>C$158*(0.6*C$15)*('Product half-life and C flows'!L173/100)</f>
        <v>3.5857946685876576</v>
      </c>
      <c r="I312" s="85">
        <f>C$158*0.6*('Product half-life and C flows'!N173/100)</f>
        <v>23.258993754202358</v>
      </c>
      <c r="J312" s="85">
        <f>C$158*0.6*('Product half-life and C flows'!P173/100)</f>
        <v>11.617878998103068</v>
      </c>
      <c r="K312" s="85">
        <f t="shared" si="91"/>
        <v>11.038827979547648</v>
      </c>
      <c r="L312" s="3"/>
      <c r="M312" s="90">
        <f>E$238*(0.4*M$41)*('Product half-life and C flows'!B92/100)</f>
        <v>0.78002320911203904</v>
      </c>
      <c r="N312" s="90">
        <f t="shared" si="87"/>
        <v>93.940506416941886</v>
      </c>
      <c r="O312" s="89">
        <f t="shared" si="92"/>
        <v>26.438132413138941</v>
      </c>
      <c r="P312" s="89">
        <f t="shared" si="93"/>
        <v>14.100337287007433</v>
      </c>
      <c r="Q312" s="91">
        <f>E$238*(0.6*Q$42)*('Product half-life and C flows'!L92/100)</f>
        <v>14.313372523196215</v>
      </c>
      <c r="R312" s="91">
        <f>E$238*0.6*('Product half-life and C flows'!N92/100)</f>
        <v>19.853287786800482</v>
      </c>
      <c r="S312" s="91">
        <f>E$238*0.6*('Product half-life and C flows'!P92/100)</f>
        <v>9.916727166234006</v>
      </c>
      <c r="T312" s="89">
        <f t="shared" si="94"/>
        <v>25.116225792481988</v>
      </c>
      <c r="U312" s="17"/>
      <c r="V312">
        <f t="shared" si="72"/>
        <v>154</v>
      </c>
      <c r="W312" s="3">
        <f t="shared" si="85"/>
        <v>39.389341042478947</v>
      </c>
      <c r="X312" s="113">
        <f t="shared" si="73"/>
        <v>163.39580984522976</v>
      </c>
      <c r="Y312" s="98">
        <f t="shared" si="76"/>
        <v>0.8211034969105887</v>
      </c>
      <c r="Z312" s="98">
        <f t="shared" si="77"/>
        <v>93.940506416941886</v>
      </c>
      <c r="AA312" s="98">
        <f t="shared" si="78"/>
        <v>49.501791410877075</v>
      </c>
      <c r="AB312" s="98">
        <f t="shared" si="79"/>
        <v>26.400955419134434</v>
      </c>
      <c r="AC312" s="98">
        <f t="shared" si="80"/>
        <v>17.899167191783871</v>
      </c>
      <c r="AD312" s="98">
        <f t="shared" si="81"/>
        <v>43.112281541002844</v>
      </c>
      <c r="AE312" s="98">
        <f t="shared" si="82"/>
        <v>21.534606164337074</v>
      </c>
      <c r="AF312" s="98">
        <f t="shared" si="83"/>
        <v>36.155053772029632</v>
      </c>
      <c r="AG312" s="3">
        <f t="shared" si="84"/>
        <v>252.38930814407721</v>
      </c>
    </row>
    <row r="313" spans="1:33" ht="14">
      <c r="A313">
        <f t="shared" si="88"/>
        <v>155</v>
      </c>
      <c r="B313" s="19">
        <f t="shared" si="88"/>
        <v>235</v>
      </c>
      <c r="C313" s="26">
        <f t="shared" si="71"/>
        <v>163.48673571452642</v>
      </c>
      <c r="D313" s="83">
        <f>C$158*(0.4*D$14)*('Product half-life and C flows'!B174/100)</f>
        <v>3.9680942387307155E-2</v>
      </c>
      <c r="E313" s="85"/>
      <c r="F313" s="85">
        <f t="shared" si="89"/>
        <v>23.063658997738134</v>
      </c>
      <c r="G313" s="85">
        <f t="shared" si="90"/>
        <v>12.300618132127003</v>
      </c>
      <c r="H313" s="83">
        <f>C$158*(0.6*C$15)*('Product half-life and C flows'!L174/100)</f>
        <v>3.5309849111518945</v>
      </c>
      <c r="I313" s="85">
        <f>C$158*0.6*('Product half-life and C flows'!N174/100)</f>
        <v>23.295570132331154</v>
      </c>
      <c r="J313" s="85">
        <f>C$158*0.6*('Product half-life and C flows'!P174/100)</f>
        <v>11.63614891724832</v>
      </c>
      <c r="K313" s="85">
        <f t="shared" si="91"/>
        <v>11.038827979547648</v>
      </c>
      <c r="L313" s="3"/>
      <c r="M313" s="90">
        <f>E$238*(0.4*M$41)*('Product half-life and C flows'!B93/100)</f>
        <v>0.75345275508586018</v>
      </c>
      <c r="N313" s="90">
        <f t="shared" si="87"/>
        <v>94.57187965573975</v>
      </c>
      <c r="O313" s="89">
        <f t="shared" si="92"/>
        <v>26.438132413138941</v>
      </c>
      <c r="P313" s="89">
        <f t="shared" si="93"/>
        <v>14.100337287007433</v>
      </c>
      <c r="Q313" s="91">
        <f>E$238*(0.6*Q$42)*('Product half-life and C flows'!L93/100)</f>
        <v>14.094589087837639</v>
      </c>
      <c r="R313" s="91">
        <f>E$238*0.6*('Product half-life and C flows'!N93/100)</f>
        <v>19.999289265996438</v>
      </c>
      <c r="S313" s="91">
        <f>E$238*0.6*('Product half-life and C flows'!P93/100)</f>
        <v>9.989654978020198</v>
      </c>
      <c r="T313" s="89">
        <f t="shared" si="94"/>
        <v>25.116225792481988</v>
      </c>
      <c r="U313" s="17"/>
      <c r="V313">
        <f t="shared" si="72"/>
        <v>155</v>
      </c>
      <c r="W313" s="3">
        <f t="shared" si="85"/>
        <v>39.399149559974234</v>
      </c>
      <c r="X313" s="113">
        <f t="shared" si="73"/>
        <v>163.48673571452642</v>
      </c>
      <c r="Y313" s="98">
        <f t="shared" si="76"/>
        <v>0.79313369747316731</v>
      </c>
      <c r="Z313" s="98">
        <f t="shared" si="77"/>
        <v>94.57187965573975</v>
      </c>
      <c r="AA313" s="98">
        <f t="shared" si="78"/>
        <v>49.501791410877075</v>
      </c>
      <c r="AB313" s="98">
        <f t="shared" si="79"/>
        <v>26.400955419134434</v>
      </c>
      <c r="AC313" s="98">
        <f t="shared" si="80"/>
        <v>17.625573998989534</v>
      </c>
      <c r="AD313" s="98">
        <f t="shared" si="81"/>
        <v>43.294859398327588</v>
      </c>
      <c r="AE313" s="98">
        <f t="shared" si="82"/>
        <v>21.625803895268518</v>
      </c>
      <c r="AF313" s="98">
        <f t="shared" si="83"/>
        <v>36.155053772029632</v>
      </c>
      <c r="AG313" s="3">
        <f t="shared" si="84"/>
        <v>253.02086377833692</v>
      </c>
    </row>
    <row r="314" spans="1:33" ht="14">
      <c r="A314">
        <f t="shared" si="88"/>
        <v>156</v>
      </c>
      <c r="B314" s="19">
        <f t="shared" si="88"/>
        <v>236</v>
      </c>
      <c r="C314" s="26">
        <f t="shared" si="71"/>
        <v>163.57589386162428</v>
      </c>
      <c r="D314" s="83">
        <f>C$158*(0.4*D$14)*('Product half-life and C flows'!B175/100)</f>
        <v>3.8329263817873785E-2</v>
      </c>
      <c r="E314" s="85"/>
      <c r="F314" s="85">
        <f t="shared" si="89"/>
        <v>23.063658997738134</v>
      </c>
      <c r="G314" s="85">
        <f t="shared" si="90"/>
        <v>12.300618132127003</v>
      </c>
      <c r="H314" s="83">
        <f>C$158*(0.6*C$15)*('Product half-life and C flows'!L175/100)</f>
        <v>3.4770129344001428</v>
      </c>
      <c r="I314" s="85">
        <f>C$158*0.6*('Product half-life and C flows'!N175/100)</f>
        <v>23.331587431483488</v>
      </c>
      <c r="J314" s="85">
        <f>C$158*0.6*('Product half-life and C flows'!P175/100)</f>
        <v>11.654139576165571</v>
      </c>
      <c r="K314" s="85">
        <f t="shared" si="91"/>
        <v>11.038827979547648</v>
      </c>
      <c r="L314" s="3"/>
      <c r="M314" s="90">
        <f>E$238*(0.4*M$41)*('Product half-life and C flows'!B94/100)</f>
        <v>0.72778738826594658</v>
      </c>
      <c r="N314" s="90">
        <f t="shared" si="87"/>
        <v>95.181155121580233</v>
      </c>
      <c r="O314" s="89">
        <f t="shared" si="92"/>
        <v>26.438132413138941</v>
      </c>
      <c r="P314" s="89">
        <f t="shared" si="93"/>
        <v>14.100337287007433</v>
      </c>
      <c r="Q314" s="91">
        <f>E$238*(0.6*Q$42)*('Product half-life and C flows'!L94/100)</f>
        <v>13.879149811342369</v>
      </c>
      <c r="R314" s="91">
        <f>E$238*0.6*('Product half-life and C flows'!N94/100)</f>
        <v>20.143059076510948</v>
      </c>
      <c r="S314" s="91">
        <f>E$238*0.6*('Product half-life and C flows'!P94/100)</f>
        <v>10.061468070185288</v>
      </c>
      <c r="T314" s="89">
        <f t="shared" si="94"/>
        <v>25.116225792481988</v>
      </c>
      <c r="U314" s="17"/>
      <c r="V314">
        <f t="shared" si="72"/>
        <v>156</v>
      </c>
      <c r="W314" s="3">
        <f t="shared" si="85"/>
        <v>39.408575013658655</v>
      </c>
      <c r="X314" s="113">
        <f t="shared" si="73"/>
        <v>163.57589386162428</v>
      </c>
      <c r="Y314" s="98">
        <f t="shared" si="76"/>
        <v>0.7661166520838204</v>
      </c>
      <c r="Z314" s="98">
        <f t="shared" si="77"/>
        <v>95.181155121580233</v>
      </c>
      <c r="AA314" s="98">
        <f t="shared" si="78"/>
        <v>49.501791410877075</v>
      </c>
      <c r="AB314" s="98">
        <f t="shared" si="79"/>
        <v>26.400955419134434</v>
      </c>
      <c r="AC314" s="98">
        <f t="shared" si="80"/>
        <v>17.356162745742512</v>
      </c>
      <c r="AD314" s="98">
        <f t="shared" si="81"/>
        <v>43.474646507994436</v>
      </c>
      <c r="AE314" s="98">
        <f t="shared" si="82"/>
        <v>21.715607646350861</v>
      </c>
      <c r="AF314" s="98">
        <f t="shared" si="83"/>
        <v>36.155053772029632</v>
      </c>
      <c r="AG314" s="3">
        <f t="shared" si="84"/>
        <v>253.63031885167959</v>
      </c>
    </row>
    <row r="315" spans="1:33" ht="14">
      <c r="A315">
        <f t="shared" si="88"/>
        <v>157</v>
      </c>
      <c r="B315" s="19">
        <f t="shared" si="88"/>
        <v>237</v>
      </c>
      <c r="C315" s="26">
        <f t="shared" si="71"/>
        <v>163.66331801209776</v>
      </c>
      <c r="D315" s="83">
        <f>C$158*(0.4*D$14)*('Product half-life and C flows'!B176/100)</f>
        <v>3.7023628382628931E-2</v>
      </c>
      <c r="E315" s="85"/>
      <c r="F315" s="85">
        <f t="shared" si="89"/>
        <v>23.063658997738134</v>
      </c>
      <c r="G315" s="85">
        <f t="shared" si="90"/>
        <v>12.300618132127003</v>
      </c>
      <c r="H315" s="83">
        <f>C$158*(0.6*C$15)*('Product half-life and C flows'!L176/100)</f>
        <v>3.4238659326476584</v>
      </c>
      <c r="I315" s="85">
        <f>C$158*0.6*('Product half-life and C flows'!N176/100)</f>
        <v>23.367054197319646</v>
      </c>
      <c r="J315" s="85">
        <f>C$158*0.6*('Product half-life and C flows'!P176/100)</f>
        <v>11.671855243416399</v>
      </c>
      <c r="K315" s="85">
        <f t="shared" si="91"/>
        <v>11.038827979547648</v>
      </c>
      <c r="L315" s="3"/>
      <c r="M315" s="90">
        <f>E$238*(0.4*M$41)*('Product half-life and C flows'!B95/100)</f>
        <v>0.70299627805940956</v>
      </c>
      <c r="N315" s="90">
        <f t="shared" si="87"/>
        <v>95.769000130262825</v>
      </c>
      <c r="O315" s="89">
        <f t="shared" si="92"/>
        <v>26.438132413138941</v>
      </c>
      <c r="P315" s="89">
        <f t="shared" si="93"/>
        <v>14.100337287007433</v>
      </c>
      <c r="Q315" s="91">
        <f>E$238*(0.6*Q$42)*('Product half-life and C flows'!L95/100)</f>
        <v>13.66700357741596</v>
      </c>
      <c r="R315" s="91">
        <f>E$238*0.6*('Product half-life and C flows'!N95/100)</f>
        <v>20.284631329951171</v>
      </c>
      <c r="S315" s="91">
        <f>E$238*0.6*('Product half-life and C flows'!P95/100)</f>
        <v>10.13218348149409</v>
      </c>
      <c r="T315" s="89">
        <f t="shared" si="94"/>
        <v>25.116225792481988</v>
      </c>
      <c r="U315" s="17"/>
      <c r="V315">
        <f t="shared" si="72"/>
        <v>157</v>
      </c>
      <c r="W315" s="3">
        <f t="shared" si="85"/>
        <v>39.417632305878548</v>
      </c>
      <c r="X315" s="113">
        <f t="shared" si="73"/>
        <v>163.66331801209776</v>
      </c>
      <c r="Y315" s="98">
        <f t="shared" si="76"/>
        <v>0.74001990644203852</v>
      </c>
      <c r="Z315" s="98">
        <f t="shared" si="77"/>
        <v>95.769000130262825</v>
      </c>
      <c r="AA315" s="98">
        <f t="shared" si="78"/>
        <v>49.501791410877075</v>
      </c>
      <c r="AB315" s="98">
        <f t="shared" si="79"/>
        <v>26.400955419134434</v>
      </c>
      <c r="AC315" s="98">
        <f t="shared" si="80"/>
        <v>17.090869510063619</v>
      </c>
      <c r="AD315" s="98">
        <f t="shared" si="81"/>
        <v>43.651685527270814</v>
      </c>
      <c r="AE315" s="98">
        <f t="shared" si="82"/>
        <v>21.804038724910491</v>
      </c>
      <c r="AF315" s="98">
        <f t="shared" si="83"/>
        <v>36.155053772029632</v>
      </c>
      <c r="AG315" s="3">
        <f t="shared" si="84"/>
        <v>254.21834072251926</v>
      </c>
    </row>
    <row r="316" spans="1:33" ht="14">
      <c r="A316">
        <f t="shared" si="88"/>
        <v>158</v>
      </c>
      <c r="B316" s="19">
        <f t="shared" si="88"/>
        <v>238</v>
      </c>
      <c r="C316" s="26">
        <f t="shared" si="71"/>
        <v>163.74904127347503</v>
      </c>
      <c r="D316" s="83">
        <f>C$158*(0.4*D$14)*('Product half-life and C flows'!B177/100)</f>
        <v>3.5762467683394292E-2</v>
      </c>
      <c r="E316" s="85"/>
      <c r="F316" s="85">
        <f t="shared" si="89"/>
        <v>23.063658997738134</v>
      </c>
      <c r="G316" s="85">
        <f t="shared" si="90"/>
        <v>12.300618132127003</v>
      </c>
      <c r="H316" s="83">
        <f>C$158*(0.6*C$15)*('Product half-life and C flows'!L177/100)</f>
        <v>3.3715312959477552</v>
      </c>
      <c r="I316" s="85">
        <f>C$158*0.6*('Product half-life and C flows'!N177/100)</f>
        <v>23.40197884487738</v>
      </c>
      <c r="J316" s="85">
        <f>C$158*0.6*('Product half-life and C flows'!P177/100)</f>
        <v>11.689300122316366</v>
      </c>
      <c r="K316" s="85">
        <f t="shared" si="91"/>
        <v>11.038827979547648</v>
      </c>
      <c r="L316" s="3"/>
      <c r="M316" s="90">
        <f>E$238*(0.4*M$41)*('Product half-life and C flows'!B96/100)</f>
        <v>0.67904964407653601</v>
      </c>
      <c r="N316" s="90">
        <f t="shared" si="87"/>
        <v>96.336070548103805</v>
      </c>
      <c r="O316" s="89">
        <f t="shared" si="92"/>
        <v>26.438132413138941</v>
      </c>
      <c r="P316" s="89">
        <f t="shared" si="93"/>
        <v>14.100337287007433</v>
      </c>
      <c r="Q316" s="91">
        <f>E$238*(0.6*Q$42)*('Product half-life and C flows'!L96/100)</f>
        <v>13.458100051089145</v>
      </c>
      <c r="R316" s="91">
        <f>E$238*0.6*('Product half-life and C flows'!N96/100)</f>
        <v>20.424039616519931</v>
      </c>
      <c r="S316" s="91">
        <f>E$238*0.6*('Product half-life and C flows'!P96/100)</f>
        <v>10.201817990269697</v>
      </c>
      <c r="T316" s="89">
        <f t="shared" si="94"/>
        <v>25.116225792481988</v>
      </c>
      <c r="U316" s="17"/>
      <c r="V316">
        <f t="shared" si="72"/>
        <v>158</v>
      </c>
      <c r="W316" s="3">
        <f t="shared" si="85"/>
        <v>39.426335763695064</v>
      </c>
      <c r="X316" s="113">
        <f t="shared" si="73"/>
        <v>163.74904127347503</v>
      </c>
      <c r="Y316" s="98">
        <f t="shared" si="76"/>
        <v>0.71481211175993031</v>
      </c>
      <c r="Z316" s="98">
        <f t="shared" si="77"/>
        <v>96.336070548103805</v>
      </c>
      <c r="AA316" s="98">
        <f t="shared" si="78"/>
        <v>49.501791410877075</v>
      </c>
      <c r="AB316" s="98">
        <f t="shared" si="79"/>
        <v>26.400955419134434</v>
      </c>
      <c r="AC316" s="98">
        <f t="shared" si="80"/>
        <v>16.829631347036901</v>
      </c>
      <c r="AD316" s="98">
        <f t="shared" si="81"/>
        <v>43.826018461397311</v>
      </c>
      <c r="AE316" s="98">
        <f t="shared" si="82"/>
        <v>21.891118112586064</v>
      </c>
      <c r="AF316" s="98">
        <f t="shared" si="83"/>
        <v>36.155053772029632</v>
      </c>
      <c r="AG316" s="3">
        <f t="shared" si="84"/>
        <v>254.78558529913556</v>
      </c>
    </row>
    <row r="317" spans="1:33" ht="14">
      <c r="A317">
        <f t="shared" si="88"/>
        <v>159</v>
      </c>
      <c r="B317" s="19">
        <f t="shared" si="88"/>
        <v>239</v>
      </c>
      <c r="C317" s="26">
        <f t="shared" si="71"/>
        <v>163.83309614554503</v>
      </c>
      <c r="D317" s="83">
        <f>C$158*(0.4*D$14)*('Product half-life and C flows'!B178/100)</f>
        <v>3.4544266747391285E-2</v>
      </c>
      <c r="E317" s="85"/>
      <c r="F317" s="85">
        <f t="shared" si="89"/>
        <v>23.063658997738134</v>
      </c>
      <c r="G317" s="85">
        <f t="shared" si="90"/>
        <v>12.300618132127003</v>
      </c>
      <c r="H317" s="83">
        <f>C$158*(0.6*C$15)*('Product half-life and C flows'!L178/100)</f>
        <v>3.3199966070998959</v>
      </c>
      <c r="I317" s="85">
        <f>C$158*0.6*('Product half-life and C flows'!N178/100)</f>
        <v>23.436369660568516</v>
      </c>
      <c r="J317" s="85">
        <f>C$158*0.6*('Product half-life and C flows'!P178/100)</f>
        <v>11.70647835193232</v>
      </c>
      <c r="K317" s="85">
        <f t="shared" si="91"/>
        <v>11.038827979547648</v>
      </c>
      <c r="L317" s="3"/>
      <c r="M317" s="90">
        <f>E$238*(0.4*M$41)*('Product half-life and C flows'!B97/100)</f>
        <v>0.65591872035701226</v>
      </c>
      <c r="N317" s="90">
        <f t="shared" si="87"/>
        <v>96.883010176719537</v>
      </c>
      <c r="O317" s="89">
        <f t="shared" si="92"/>
        <v>26.438132413138941</v>
      </c>
      <c r="P317" s="89">
        <f t="shared" si="93"/>
        <v>14.100337287007433</v>
      </c>
      <c r="Q317" s="91">
        <f>E$238*(0.6*Q$42)*('Product half-life and C flows'!L97/100)</f>
        <v>13.252389666775102</v>
      </c>
      <c r="R317" s="91">
        <f>E$238*0.6*('Product half-life and C flows'!N97/100)</f>
        <v>20.561317012985501</v>
      </c>
      <c r="S317" s="91">
        <f>E$238*0.6*('Product half-life and C flows'!P97/100)</f>
        <v>10.270388118374377</v>
      </c>
      <c r="T317" s="89">
        <f t="shared" si="94"/>
        <v>25.116225792481988</v>
      </c>
      <c r="U317" s="17"/>
      <c r="V317">
        <f t="shared" si="72"/>
        <v>159</v>
      </c>
      <c r="W317" s="3">
        <f t="shared" si="85"/>
        <v>39.434699160747485</v>
      </c>
      <c r="X317" s="113">
        <f t="shared" si="73"/>
        <v>163.83309614554503</v>
      </c>
      <c r="Y317" s="98">
        <f t="shared" si="76"/>
        <v>0.69046298710440357</v>
      </c>
      <c r="Z317" s="98">
        <f t="shared" si="77"/>
        <v>96.883010176719537</v>
      </c>
      <c r="AA317" s="98">
        <f t="shared" si="78"/>
        <v>49.501791410877075</v>
      </c>
      <c r="AB317" s="98">
        <f t="shared" si="79"/>
        <v>26.400955419134434</v>
      </c>
      <c r="AC317" s="98">
        <f t="shared" si="80"/>
        <v>16.572386273874997</v>
      </c>
      <c r="AD317" s="98">
        <f t="shared" si="81"/>
        <v>43.997686673554014</v>
      </c>
      <c r="AE317" s="98">
        <f t="shared" si="82"/>
        <v>21.976866470306696</v>
      </c>
      <c r="AF317" s="98">
        <f t="shared" si="83"/>
        <v>36.155053772029632</v>
      </c>
      <c r="AG317" s="3">
        <f t="shared" si="84"/>
        <v>255.33269642446677</v>
      </c>
    </row>
    <row r="318" spans="1:33" ht="14">
      <c r="A318">
        <f t="shared" si="88"/>
        <v>160</v>
      </c>
      <c r="B318" s="19">
        <f t="shared" si="88"/>
        <v>240</v>
      </c>
      <c r="C318" s="26">
        <f t="shared" si="71"/>
        <v>163.91551453053341</v>
      </c>
      <c r="D318" s="83">
        <f>C$158*(0.4*D$14)*('Product half-life and C flows'!B179/100)</f>
        <v>3.3367562207375766E-2</v>
      </c>
      <c r="E318" s="85"/>
      <c r="F318" s="85">
        <f t="shared" si="89"/>
        <v>23.063658997738134</v>
      </c>
      <c r="G318" s="85">
        <f t="shared" si="90"/>
        <v>12.300618132127003</v>
      </c>
      <c r="H318" s="83">
        <f>C$158*(0.6*C$15)*('Product half-life and C flows'!L179/100)</f>
        <v>3.2692496387035246</v>
      </c>
      <c r="I318" s="85">
        <f>C$158*0.6*('Product half-life and C flows'!N179/100)</f>
        <v>23.470234804145029</v>
      </c>
      <c r="J318" s="85">
        <f>C$158*0.6*('Product half-life and C flows'!P179/100)</f>
        <v>11.723394008064444</v>
      </c>
      <c r="K318" s="85">
        <f t="shared" si="91"/>
        <v>11.038827979547648</v>
      </c>
      <c r="L318" s="3"/>
      <c r="M318" s="90">
        <f>E$238*(0.4*M$41)*('Product half-life and C flows'!B98/100)</f>
        <v>0.63357572081473468</v>
      </c>
      <c r="N318" s="90">
        <f t="shared" si="87"/>
        <v>97.410450236139908</v>
      </c>
      <c r="O318" s="89">
        <f t="shared" si="92"/>
        <v>26.438132413138941</v>
      </c>
      <c r="P318" s="89">
        <f t="shared" si="93"/>
        <v>14.100337287007433</v>
      </c>
      <c r="Q318" s="91">
        <f>E$238*(0.6*Q$42)*('Product half-life and C flows'!L98/100)</f>
        <v>13.049823616509256</v>
      </c>
      <c r="R318" s="91">
        <f>E$238*0.6*('Product half-life and C flows'!N98/100)</f>
        <v>20.696496090529575</v>
      </c>
      <c r="S318" s="91">
        <f>E$238*0.6*('Product half-life and C flows'!P98/100)</f>
        <v>10.337910135129659</v>
      </c>
      <c r="T318" s="89">
        <f t="shared" si="94"/>
        <v>25.116225792481988</v>
      </c>
      <c r="U318" s="17"/>
      <c r="V318">
        <f t="shared" si="72"/>
        <v>160</v>
      </c>
      <c r="W318" s="3">
        <f t="shared" si="85"/>
        <v>39.442735738312535</v>
      </c>
      <c r="X318" s="113">
        <f t="shared" si="73"/>
        <v>163.91551453053341</v>
      </c>
      <c r="Y318" s="98">
        <f t="shared" si="76"/>
        <v>0.66694328302211048</v>
      </c>
      <c r="Z318" s="98">
        <f t="shared" si="77"/>
        <v>97.410450236139908</v>
      </c>
      <c r="AA318" s="98">
        <f t="shared" si="78"/>
        <v>49.501791410877075</v>
      </c>
      <c r="AB318" s="98">
        <f t="shared" si="79"/>
        <v>26.400955419134434</v>
      </c>
      <c r="AC318" s="98">
        <f t="shared" si="80"/>
        <v>16.319073255212782</v>
      </c>
      <c r="AD318" s="98">
        <f t="shared" si="81"/>
        <v>44.1667308946746</v>
      </c>
      <c r="AE318" s="98">
        <f t="shared" si="82"/>
        <v>22.061304143194103</v>
      </c>
      <c r="AF318" s="98">
        <f t="shared" si="83"/>
        <v>36.155053772029632</v>
      </c>
      <c r="AG318" s="3">
        <f t="shared" si="84"/>
        <v>255.86030535923288</v>
      </c>
    </row>
    <row r="319" spans="1:33">
      <c r="D319" s="17"/>
      <c r="E319" s="17"/>
      <c r="F319" s="17"/>
      <c r="G319" s="17"/>
      <c r="H319" s="17"/>
      <c r="I319" s="17"/>
      <c r="J319" s="17"/>
      <c r="K319" s="17"/>
    </row>
    <row r="320" spans="1:33">
      <c r="A320" t="s">
        <v>141</v>
      </c>
      <c r="D320" s="3">
        <f>AVERAGE(D158:D238)</f>
        <v>2.909004394320017</v>
      </c>
      <c r="E320" s="3">
        <f t="shared" ref="E320:K320" si="95">AVERAGE(E158:E238)</f>
        <v>51.5032495381109</v>
      </c>
      <c r="F320" s="3">
        <f t="shared" si="95"/>
        <v>23.06365899773817</v>
      </c>
      <c r="G320" s="3">
        <f t="shared" si="95"/>
        <v>12.300618132127028</v>
      </c>
      <c r="H320" s="3">
        <f t="shared" si="95"/>
        <v>22.131082106034587</v>
      </c>
      <c r="I320" s="3">
        <f t="shared" si="95"/>
        <v>10.88310527094611</v>
      </c>
      <c r="J320" s="3">
        <f t="shared" si="95"/>
        <v>5.4361165189541012</v>
      </c>
      <c r="K320" s="3">
        <f t="shared" si="95"/>
        <v>21.910476047851244</v>
      </c>
      <c r="AD320" s="115"/>
    </row>
    <row r="321" spans="1:26">
      <c r="A321" t="s">
        <v>142</v>
      </c>
      <c r="D321" s="3">
        <f>D320+F320+G320+H320+I320+J320+K320</f>
        <v>98.63406146797125</v>
      </c>
    </row>
    <row r="322" spans="1:26">
      <c r="A322" t="s">
        <v>143</v>
      </c>
      <c r="D322" s="3">
        <f>AVERAGE(D239:D318)</f>
        <v>0.17741192188658844</v>
      </c>
      <c r="H322" s="3">
        <f t="shared" ref="H322:K322" si="96">AVERAGE(H239:H318)</f>
        <v>6.3946869780280595</v>
      </c>
      <c r="I322" s="3">
        <f t="shared" si="96"/>
        <v>21.384526286369137</v>
      </c>
      <c r="J322" s="3">
        <f t="shared" si="96"/>
        <v>10.681581561622938</v>
      </c>
      <c r="K322" s="3">
        <f t="shared" si="96"/>
        <v>11.038827979547671</v>
      </c>
    </row>
    <row r="323" spans="1:26">
      <c r="Z323">
        <f>(SUM(X78:X157)+(SUM(Z158:Z318)))/240</f>
        <v>45.16961542609176</v>
      </c>
    </row>
  </sheetData>
  <mergeCells count="4">
    <mergeCell ref="A17:B17"/>
    <mergeCell ref="G2:J2"/>
    <mergeCell ref="H3:J3"/>
    <mergeCell ref="H7:J7"/>
  </mergeCells>
  <phoneticPr fontId="2" type="noConversion"/>
  <hyperlinks>
    <hyperlink ref="C4" r:id="rId1" display="COLE: Carbon On Line Estimator Version 2.0.&quot;   Retrieved February 26, 2014, from http://www.ncasi2.org/COLE/"/>
  </hyperlinks>
  <pageMargins left="0.75" right="0.75" top="0.5" bottom="0.5" header="0.5" footer="0.5"/>
  <pageSetup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 enableFormatConditionsCalculation="0"/>
  <dimension ref="A1:AP323"/>
  <sheetViews>
    <sheetView topLeftCell="A44" workbookViewId="0">
      <selection activeCell="A118" sqref="A118"/>
    </sheetView>
  </sheetViews>
  <sheetFormatPr baseColWidth="10" defaultColWidth="11.5" defaultRowHeight="12" x14ac:dyDescent="0"/>
  <cols>
    <col min="1" max="1" width="28.6640625" customWidth="1"/>
    <col min="2" max="2" width="9" style="19" customWidth="1"/>
    <col min="3" max="3" width="8.83203125" customWidth="1"/>
    <col min="4" max="4" width="12" customWidth="1"/>
    <col min="17" max="17" width="12.5" customWidth="1"/>
    <col min="21" max="21" width="4" customWidth="1"/>
    <col min="30" max="30" width="2.33203125" customWidth="1"/>
  </cols>
  <sheetData>
    <row r="1" spans="1:17">
      <c r="A1" t="s">
        <v>244</v>
      </c>
    </row>
    <row r="2" spans="1:17">
      <c r="A2" s="65" t="s">
        <v>22</v>
      </c>
      <c r="B2" s="65"/>
      <c r="C2" s="65"/>
      <c r="D2" s="65"/>
      <c r="E2" s="65"/>
      <c r="G2" s="306" t="s">
        <v>72</v>
      </c>
      <c r="H2" s="307"/>
      <c r="I2" s="307"/>
      <c r="J2" s="308"/>
    </row>
    <row r="3" spans="1:17" ht="14">
      <c r="A3" s="65" t="s">
        <v>101</v>
      </c>
      <c r="B3" s="66"/>
      <c r="C3" s="65"/>
      <c r="D3" s="65"/>
      <c r="E3" s="65"/>
      <c r="G3" s="61" t="s">
        <v>68</v>
      </c>
      <c r="H3" s="303" t="s">
        <v>100</v>
      </c>
      <c r="I3" s="304"/>
      <c r="J3" s="305"/>
      <c r="Q3" s="4"/>
    </row>
    <row r="4" spans="1:17" ht="14">
      <c r="A4" t="s">
        <v>107</v>
      </c>
      <c r="C4" s="15" t="s">
        <v>106</v>
      </c>
      <c r="E4" s="65"/>
      <c r="G4" s="67" t="s">
        <v>69</v>
      </c>
      <c r="H4" s="148" t="s">
        <v>99</v>
      </c>
      <c r="I4" s="149"/>
      <c r="J4" s="150"/>
      <c r="Q4" s="4"/>
    </row>
    <row r="5" spans="1:17" ht="14">
      <c r="A5" s="19"/>
      <c r="B5" s="76" t="s">
        <v>23</v>
      </c>
      <c r="C5" t="s">
        <v>24</v>
      </c>
      <c r="D5" t="s">
        <v>211</v>
      </c>
      <c r="G5" s="68" t="s">
        <v>70</v>
      </c>
      <c r="H5" s="148" t="s">
        <v>98</v>
      </c>
      <c r="I5" s="149"/>
      <c r="J5" s="150"/>
      <c r="Q5" s="4"/>
    </row>
    <row r="6" spans="1:17" ht="14">
      <c r="A6" s="117" t="s">
        <v>138</v>
      </c>
      <c r="B6" s="118">
        <v>121.4</v>
      </c>
      <c r="C6" s="117">
        <v>84.4</v>
      </c>
      <c r="G6" s="69" t="s">
        <v>71</v>
      </c>
      <c r="H6" s="148" t="s">
        <v>97</v>
      </c>
      <c r="I6" s="149"/>
      <c r="J6" s="150"/>
      <c r="Q6" s="4"/>
    </row>
    <row r="7" spans="1:17" ht="14">
      <c r="A7" s="116" t="s">
        <v>140</v>
      </c>
      <c r="B7" s="76"/>
      <c r="G7" s="70" t="s">
        <v>103</v>
      </c>
      <c r="H7" s="303" t="s">
        <v>96</v>
      </c>
      <c r="I7" s="304"/>
      <c r="J7" s="305"/>
      <c r="Q7" s="4"/>
    </row>
    <row r="8" spans="1:17" ht="14">
      <c r="A8" s="116" t="s">
        <v>6</v>
      </c>
      <c r="B8" s="27">
        <v>168.03</v>
      </c>
      <c r="C8" s="27">
        <v>110.94</v>
      </c>
      <c r="D8" s="160">
        <v>39.64</v>
      </c>
      <c r="Q8" s="4"/>
    </row>
    <row r="9" spans="1:17" ht="14">
      <c r="A9" s="116" t="s">
        <v>7</v>
      </c>
      <c r="B9" s="27">
        <v>0.02</v>
      </c>
      <c r="C9" s="27">
        <v>0.04</v>
      </c>
      <c r="D9" s="160">
        <v>0.04</v>
      </c>
      <c r="Q9" s="4"/>
    </row>
    <row r="10" spans="1:17" ht="14">
      <c r="A10" s="116" t="s">
        <v>8</v>
      </c>
      <c r="B10" s="27">
        <v>120.14</v>
      </c>
      <c r="C10" s="48">
        <v>77.91</v>
      </c>
      <c r="D10" s="160">
        <v>27.97</v>
      </c>
      <c r="Q10" s="4"/>
    </row>
    <row r="11" spans="1:17" s="40" customFormat="1" ht="14">
      <c r="A11" s="64" t="s">
        <v>132</v>
      </c>
      <c r="B11" s="27">
        <v>1374</v>
      </c>
      <c r="C11" s="48">
        <v>351</v>
      </c>
      <c r="D11" s="161">
        <v>241</v>
      </c>
      <c r="Q11" s="59"/>
    </row>
    <row r="12" spans="1:17" s="40" customFormat="1">
      <c r="A12" s="38" t="s">
        <v>234</v>
      </c>
      <c r="B12" s="74" t="s">
        <v>108</v>
      </c>
      <c r="C12" s="40" t="s">
        <v>109</v>
      </c>
      <c r="D12" s="36" t="s">
        <v>94</v>
      </c>
      <c r="E12" s="74" t="s">
        <v>134</v>
      </c>
      <c r="Q12" s="59"/>
    </row>
    <row r="13" spans="1:17" s="40" customFormat="1" ht="14">
      <c r="A13" s="24" t="s">
        <v>181</v>
      </c>
      <c r="B13" s="74">
        <v>0.72</v>
      </c>
      <c r="C13" s="77">
        <v>0.28000000000000003</v>
      </c>
      <c r="D13" s="36"/>
      <c r="E13" s="167" t="s">
        <v>161</v>
      </c>
      <c r="F13" s="168"/>
      <c r="G13" s="168"/>
      <c r="H13" s="168"/>
      <c r="I13" s="168"/>
      <c r="J13" s="168"/>
      <c r="K13" s="168"/>
      <c r="L13" s="168"/>
      <c r="Q13" s="59"/>
    </row>
    <row r="14" spans="1:17" s="40" customFormat="1" ht="14">
      <c r="A14" s="36" t="s">
        <v>92</v>
      </c>
      <c r="B14" s="50">
        <v>0</v>
      </c>
      <c r="C14" s="77">
        <v>0</v>
      </c>
      <c r="D14" s="50">
        <v>1</v>
      </c>
      <c r="E14" s="169" t="s">
        <v>182</v>
      </c>
      <c r="F14" s="168"/>
      <c r="G14" s="168"/>
      <c r="H14" s="168"/>
      <c r="I14" s="168"/>
      <c r="J14" s="168"/>
      <c r="K14" s="168"/>
      <c r="L14" s="168"/>
      <c r="Q14" s="59"/>
    </row>
    <row r="15" spans="1:17" s="40" customFormat="1" ht="14">
      <c r="A15" s="36" t="s">
        <v>93</v>
      </c>
      <c r="B15" s="50">
        <v>0.24</v>
      </c>
      <c r="C15" s="61">
        <v>0.75</v>
      </c>
      <c r="D15" s="40">
        <v>0.01</v>
      </c>
      <c r="E15" s="169" t="s">
        <v>121</v>
      </c>
      <c r="F15" s="168"/>
      <c r="G15" s="168"/>
      <c r="H15" s="168"/>
      <c r="I15" s="168" t="s">
        <v>175</v>
      </c>
      <c r="J15" s="168"/>
      <c r="K15" s="168"/>
      <c r="L15" s="168"/>
      <c r="Q15" s="59"/>
    </row>
    <row r="16" spans="1:17" s="40" customFormat="1" ht="14">
      <c r="A16" s="120" t="s">
        <v>183</v>
      </c>
      <c r="B16" s="60"/>
      <c r="C16" s="30">
        <v>0.56999999999999995</v>
      </c>
      <c r="D16" s="30">
        <v>0.43</v>
      </c>
      <c r="E16" s="170" t="s">
        <v>204</v>
      </c>
      <c r="F16" s="168"/>
      <c r="G16" s="168"/>
      <c r="H16" s="168"/>
      <c r="I16" s="168"/>
      <c r="J16" s="168"/>
      <c r="K16" s="168"/>
      <c r="L16" s="168"/>
      <c r="Q16" s="59"/>
    </row>
    <row r="17" spans="1:19" ht="14">
      <c r="A17" s="314" t="s">
        <v>90</v>
      </c>
      <c r="B17" s="316"/>
      <c r="C17" s="30"/>
      <c r="D17" s="30"/>
      <c r="E17" s="28"/>
      <c r="F17" s="28"/>
      <c r="G17" s="28"/>
      <c r="Q17" s="4"/>
    </row>
    <row r="18" spans="1:19" ht="25">
      <c r="A18" s="57" t="s">
        <v>113</v>
      </c>
      <c r="B18" s="57" t="s">
        <v>73</v>
      </c>
      <c r="C18" s="103" t="s">
        <v>67</v>
      </c>
      <c r="D18" s="30"/>
      <c r="Q18" s="4"/>
    </row>
    <row r="19" spans="1:19" ht="14">
      <c r="A19" s="173" t="s">
        <v>242</v>
      </c>
      <c r="B19" s="181">
        <f>SUM(C78:C198)</f>
        <v>6768.605372308004</v>
      </c>
      <c r="C19" s="176">
        <f>B19/120</f>
        <v>56.405044769233363</v>
      </c>
      <c r="D19" s="30"/>
      <c r="Q19" s="4"/>
    </row>
    <row r="20" spans="1:19" ht="14">
      <c r="A20" s="24" t="s">
        <v>58</v>
      </c>
      <c r="B20" s="75">
        <f>SUM(C78:C238)</f>
        <v>12322.529666674971</v>
      </c>
      <c r="C20" s="56">
        <f>B20/160</f>
        <v>77.015810416718566</v>
      </c>
      <c r="D20" s="30"/>
      <c r="Q20" s="4"/>
    </row>
    <row r="21" spans="1:19" ht="14">
      <c r="A21" s="24" t="s">
        <v>59</v>
      </c>
      <c r="B21" s="75">
        <f>SUM(C78:C318)</f>
        <v>24972.641927961311</v>
      </c>
      <c r="C21" s="56">
        <f>B21/240</f>
        <v>104.05267469983879</v>
      </c>
      <c r="D21" s="30"/>
      <c r="Q21" s="4"/>
    </row>
    <row r="22" spans="1:19">
      <c r="B22"/>
      <c r="Q22" s="4"/>
    </row>
    <row r="23" spans="1:19" s="1" customFormat="1" ht="24">
      <c r="A23" s="103" t="s">
        <v>120</v>
      </c>
      <c r="B23" s="103" t="s">
        <v>73</v>
      </c>
      <c r="C23" s="103" t="s">
        <v>67</v>
      </c>
      <c r="D23" s="103" t="s">
        <v>91</v>
      </c>
      <c r="E23" s="1" t="s">
        <v>243</v>
      </c>
      <c r="Q23" s="104"/>
    </row>
    <row r="24" spans="1:19" s="1" customFormat="1">
      <c r="A24" s="174" t="s">
        <v>241</v>
      </c>
      <c r="B24" s="179">
        <f>SUM(C78:C158)+(SUM(AH78:AO198))</f>
        <v>7537.5066988761191</v>
      </c>
      <c r="C24" s="176">
        <f>B24/120</f>
        <v>62.812555823967656</v>
      </c>
      <c r="D24" s="177">
        <f>C24/C19</f>
        <v>1.1135981911006181</v>
      </c>
      <c r="E24" s="182">
        <f>(D24-D25)/D$25</f>
        <v>-1.747816028559275E-2</v>
      </c>
      <c r="Q24" s="104"/>
    </row>
    <row r="25" spans="1:19" ht="14">
      <c r="A25" s="24" t="s">
        <v>111</v>
      </c>
      <c r="B25" s="75">
        <f>SUM(C78:C158)+SUM(AH78:AO238)</f>
        <v>13966.454680113438</v>
      </c>
      <c r="C25" s="56">
        <f>B25/160</f>
        <v>87.29034175070899</v>
      </c>
      <c r="D25" s="69">
        <f>B25/B20</f>
        <v>1.1334080791774677</v>
      </c>
      <c r="E25" s="22"/>
      <c r="Q25" s="4"/>
    </row>
    <row r="26" spans="1:19" ht="14">
      <c r="A26" s="24" t="s">
        <v>112</v>
      </c>
      <c r="B26" s="75">
        <f>SUM(AG78:AG158)+(SUM(AH78:AO318))</f>
        <v>30342.442486492229</v>
      </c>
      <c r="C26" s="56">
        <f>B26/240</f>
        <v>126.42684369371763</v>
      </c>
      <c r="D26" s="69">
        <f>B26/B21</f>
        <v>1.2150273316704419</v>
      </c>
      <c r="E26" s="22">
        <f>(D26-D25)/D$25</f>
        <v>7.2012238127159456E-2</v>
      </c>
      <c r="F26" s="28"/>
      <c r="G26" s="28"/>
      <c r="H26" s="31"/>
      <c r="Q26" s="4"/>
    </row>
    <row r="27" spans="1:19" s="40" customFormat="1" ht="14">
      <c r="A27" s="28"/>
      <c r="B27" s="31"/>
      <c r="C27" s="31"/>
      <c r="D27" s="58"/>
      <c r="F27" s="28"/>
      <c r="G27" s="28"/>
      <c r="H27" s="31"/>
      <c r="Q27" s="59"/>
    </row>
    <row r="28" spans="1:19" s="40" customFormat="1" ht="14">
      <c r="A28" s="63" t="s">
        <v>131</v>
      </c>
      <c r="B28" s="31"/>
      <c r="C28" s="62"/>
      <c r="G28" s="28"/>
      <c r="Q28" s="59"/>
    </row>
    <row r="29" spans="1:19" ht="48">
      <c r="A29" s="39" t="s">
        <v>89</v>
      </c>
      <c r="B29" s="39" t="s">
        <v>222</v>
      </c>
      <c r="C29" s="39" t="s">
        <v>220</v>
      </c>
      <c r="D29" s="39" t="s">
        <v>176</v>
      </c>
      <c r="E29" s="39" t="s">
        <v>127</v>
      </c>
      <c r="F29" s="39" t="s">
        <v>115</v>
      </c>
      <c r="G29" s="103" t="s">
        <v>116</v>
      </c>
      <c r="I29" s="28"/>
      <c r="S29" s="4"/>
    </row>
    <row r="30" spans="1:19" ht="25">
      <c r="A30" s="106" t="s">
        <v>240</v>
      </c>
      <c r="B30" s="186">
        <f>((SUM(AH78:AH198))+(SUM(AG78:AG158))+(SUM(AI78:AI198)))/120</f>
        <v>36.025220124535089</v>
      </c>
      <c r="C30" s="75">
        <f>((SUM(AL78:AL198)))/120</f>
        <v>10.728401952208829</v>
      </c>
      <c r="D30" s="75">
        <f>((SUM(AJ78:AJ198))+(SUM(AK78:AK198))+(SUM(AN78:AN198)))/120</f>
        <v>5.1119865371248983</v>
      </c>
      <c r="E30" s="75">
        <f>(SUM(AM78:AM198))/120</f>
        <v>2.5540471538451408</v>
      </c>
      <c r="F30" s="75">
        <f>(SUM(AO78:AO198))/120</f>
        <v>8.3929000562537137</v>
      </c>
      <c r="G30" s="102">
        <f>SUM(B30:F30)</f>
        <v>62.812555823967671</v>
      </c>
      <c r="I30" s="28"/>
      <c r="S30" s="4"/>
    </row>
    <row r="31" spans="1:19" ht="14">
      <c r="A31" s="74" t="s">
        <v>105</v>
      </c>
      <c r="B31" s="75">
        <f>((SUM(AH78:AH238))+(SUM(AG78:AG158))+(SUM(AI78:AI238)))/160</f>
        <v>48.675633671870557</v>
      </c>
      <c r="C31" s="75">
        <f>(SUM(AL78:AL238))/160</f>
        <v>12.018122925868896</v>
      </c>
      <c r="D31" s="75">
        <f>((SUM(AJ78:AJ238))+(SUM(AK78:AK238)+(SUM(AN78:AN238))))/160</f>
        <v>8.4943005342912077</v>
      </c>
      <c r="E31" s="75">
        <f>SUM(AM78:AM238)/160</f>
        <v>5.9941310312273774</v>
      </c>
      <c r="F31" s="75">
        <f>SUM(AO78:AO238)/160</f>
        <v>12.108153587451092</v>
      </c>
      <c r="G31" s="102">
        <f>SUM(B31:F31)</f>
        <v>87.290341750709132</v>
      </c>
      <c r="I31" s="28"/>
      <c r="J31" s="31"/>
      <c r="S31" s="4"/>
    </row>
    <row r="32" spans="1:19" ht="14">
      <c r="A32" s="74" t="s">
        <v>104</v>
      </c>
      <c r="B32" s="75">
        <f>((SUM(AH78:AH318))+(SUM(AG78:AG158))+(SUM(AI78:AI318)))/240</f>
        <v>54.152865763219992</v>
      </c>
      <c r="C32" s="75">
        <f>(SUM(AL78:AL318))/240</f>
        <v>18.65217542474814</v>
      </c>
      <c r="D32" s="101">
        <f>(SUM(AJ78:AJ318)+(SUM(AK78:AK318))+(SUM(AN78:AN318)))/240</f>
        <v>18.250086398719954</v>
      </c>
      <c r="E32" s="101">
        <f>(SUM(AM78:AM318))/240</f>
        <v>15.247929124718418</v>
      </c>
      <c r="F32" s="101">
        <f>SUM(AO78:AO318)/240</f>
        <v>20.123786982310573</v>
      </c>
      <c r="G32" s="102">
        <f>SUM(B32:F32)</f>
        <v>126.42684369371707</v>
      </c>
      <c r="I32" s="28"/>
      <c r="J32" s="31"/>
      <c r="S32" s="4"/>
    </row>
    <row r="33" spans="1:41" ht="14">
      <c r="A33" s="28"/>
      <c r="B33" s="29"/>
      <c r="C33" s="29"/>
      <c r="D33" s="30"/>
      <c r="E33" s="30"/>
      <c r="F33" s="30"/>
      <c r="G33" s="114"/>
      <c r="H33" s="28"/>
      <c r="I33" s="28"/>
      <c r="J33" s="31"/>
    </row>
    <row r="34" spans="1:41" ht="73">
      <c r="A34" s="39" t="s">
        <v>89</v>
      </c>
      <c r="B34" s="39" t="s">
        <v>114</v>
      </c>
      <c r="C34" s="39" t="s">
        <v>220</v>
      </c>
      <c r="D34" s="39" t="s">
        <v>176</v>
      </c>
      <c r="E34" s="39" t="s">
        <v>127</v>
      </c>
      <c r="F34" s="39" t="s">
        <v>115</v>
      </c>
      <c r="G34" s="103" t="s">
        <v>116</v>
      </c>
      <c r="H34" s="28"/>
      <c r="I34" s="28"/>
      <c r="J34" s="31"/>
    </row>
    <row r="35" spans="1:41" ht="22" customHeight="1">
      <c r="A35" s="106" t="s">
        <v>240</v>
      </c>
      <c r="B35" s="105">
        <f t="shared" ref="B35:G35" si="0">B30/$G30</f>
        <v>0.57353533305500015</v>
      </c>
      <c r="C35" s="105">
        <f t="shared" si="0"/>
        <v>0.1708002772928903</v>
      </c>
      <c r="D35" s="105">
        <f t="shared" si="0"/>
        <v>8.1384787962636831E-2</v>
      </c>
      <c r="E35" s="105">
        <f t="shared" si="0"/>
        <v>4.0661411087981575E-2</v>
      </c>
      <c r="F35" s="105">
        <f t="shared" si="0"/>
        <v>0.13361819060149113</v>
      </c>
      <c r="G35" s="105">
        <f t="shared" si="0"/>
        <v>1</v>
      </c>
      <c r="H35" s="28"/>
      <c r="I35" s="28"/>
      <c r="J35" s="31"/>
    </row>
    <row r="36" spans="1:41">
      <c r="A36" s="74" t="s">
        <v>105</v>
      </c>
      <c r="B36" s="105">
        <f t="shared" ref="B36:G37" si="1">B31/$G31</f>
        <v>0.55762908811701528</v>
      </c>
      <c r="C36" s="105">
        <f t="shared" si="1"/>
        <v>0.13767987024488038</v>
      </c>
      <c r="D36" s="105">
        <f t="shared" si="1"/>
        <v>9.7310886450071687E-2</v>
      </c>
      <c r="E36" s="105">
        <f t="shared" si="1"/>
        <v>6.8668891781245453E-2</v>
      </c>
      <c r="F36" s="105">
        <f t="shared" si="1"/>
        <v>0.13871126340678724</v>
      </c>
      <c r="G36" s="105">
        <f t="shared" si="1"/>
        <v>1</v>
      </c>
      <c r="H36" s="28"/>
      <c r="I36" s="28"/>
      <c r="J36" s="28"/>
    </row>
    <row r="37" spans="1:41">
      <c r="A37" s="74" t="s">
        <v>104</v>
      </c>
      <c r="B37" s="105">
        <f t="shared" si="1"/>
        <v>0.42833360527777836</v>
      </c>
      <c r="C37" s="105">
        <f t="shared" si="1"/>
        <v>0.14753334718958172</v>
      </c>
      <c r="D37" s="105">
        <f t="shared" si="1"/>
        <v>0.14435293854944917</v>
      </c>
      <c r="E37" s="105">
        <f t="shared" si="1"/>
        <v>0.12060673729748567</v>
      </c>
      <c r="F37" s="105">
        <f t="shared" si="1"/>
        <v>0.15917337168570514</v>
      </c>
      <c r="G37" s="105">
        <f t="shared" si="1"/>
        <v>1</v>
      </c>
    </row>
    <row r="38" spans="1:41">
      <c r="W38" s="2"/>
    </row>
    <row r="39" spans="1:41">
      <c r="A39" t="s">
        <v>162</v>
      </c>
      <c r="C39" s="22">
        <v>0.4</v>
      </c>
      <c r="W39" s="22"/>
      <c r="X39" s="22"/>
    </row>
    <row r="40" spans="1:41" ht="14">
      <c r="A40" t="s">
        <v>129</v>
      </c>
      <c r="C40" s="3"/>
      <c r="D40" s="22">
        <f>D14</f>
        <v>1</v>
      </c>
      <c r="E40" s="3"/>
      <c r="F40" s="22">
        <f>B14</f>
        <v>0</v>
      </c>
      <c r="G40" s="3"/>
      <c r="H40" s="3"/>
      <c r="I40" s="3"/>
      <c r="J40" s="3"/>
      <c r="K40" s="3"/>
      <c r="L40" s="3"/>
      <c r="M40" s="107">
        <f>D14</f>
        <v>1</v>
      </c>
      <c r="O40" s="107">
        <f>B14</f>
        <v>0</v>
      </c>
      <c r="Q40" s="3"/>
      <c r="S40" s="2"/>
      <c r="V40" s="109">
        <f>D14</f>
        <v>1</v>
      </c>
      <c r="X40" s="109">
        <f>B14</f>
        <v>0</v>
      </c>
      <c r="AH40" s="109">
        <f>D14</f>
        <v>1</v>
      </c>
      <c r="AJ40" s="109">
        <f>B14</f>
        <v>0</v>
      </c>
    </row>
    <row r="41" spans="1:41" ht="14">
      <c r="A41" t="s">
        <v>130</v>
      </c>
      <c r="C41" s="3"/>
      <c r="D41" s="3"/>
      <c r="E41" s="3"/>
      <c r="F41" s="3"/>
      <c r="G41" s="22">
        <f>B15</f>
        <v>0.24</v>
      </c>
      <c r="H41" s="22">
        <f>C15</f>
        <v>0.75</v>
      </c>
      <c r="I41" s="3"/>
      <c r="J41" s="3"/>
      <c r="K41" s="3"/>
      <c r="L41" s="3"/>
      <c r="P41" s="108">
        <f>B15</f>
        <v>0.24</v>
      </c>
      <c r="Q41" s="108">
        <f>C15</f>
        <v>0.75</v>
      </c>
      <c r="S41" s="2"/>
      <c r="T41" s="2"/>
      <c r="U41" s="4"/>
      <c r="X41" s="110"/>
      <c r="Y41" s="108">
        <f>B15</f>
        <v>0.24</v>
      </c>
      <c r="Z41" s="109">
        <f>C15</f>
        <v>0.75</v>
      </c>
      <c r="AJ41" s="110"/>
      <c r="AK41" s="108">
        <f>B15</f>
        <v>0.24</v>
      </c>
      <c r="AL41" s="109">
        <f>C15</f>
        <v>0.75</v>
      </c>
    </row>
    <row r="42" spans="1:41" ht="14">
      <c r="A42" t="s">
        <v>153</v>
      </c>
      <c r="C42" s="3"/>
      <c r="D42" s="3"/>
      <c r="E42" s="3"/>
      <c r="F42" s="3"/>
      <c r="G42" s="3"/>
      <c r="H42" s="3"/>
      <c r="I42" s="3"/>
      <c r="J42" s="3"/>
      <c r="K42" s="22">
        <f>C16</f>
        <v>0.56999999999999995</v>
      </c>
      <c r="L42" s="3"/>
      <c r="P42" s="108"/>
      <c r="Q42" s="108"/>
      <c r="S42" s="2"/>
      <c r="T42" s="119">
        <f>C16</f>
        <v>0.56999999999999995</v>
      </c>
      <c r="U42" s="4"/>
      <c r="X42" s="110"/>
      <c r="Y42" s="108"/>
      <c r="Z42" s="109"/>
      <c r="AC42" s="119">
        <f>C16</f>
        <v>0.56999999999999995</v>
      </c>
      <c r="AJ42" s="110"/>
      <c r="AK42" s="108"/>
      <c r="AL42" s="109"/>
      <c r="AO42" s="119">
        <f>C16</f>
        <v>0.56999999999999995</v>
      </c>
    </row>
    <row r="43" spans="1:41" ht="14">
      <c r="C43" s="3"/>
      <c r="D43" s="3"/>
      <c r="E43" s="3"/>
      <c r="F43" s="3"/>
      <c r="G43" s="3"/>
      <c r="H43" s="3"/>
      <c r="I43" s="3"/>
      <c r="J43" s="3"/>
      <c r="K43" s="22"/>
      <c r="L43" s="3"/>
      <c r="P43" s="108"/>
      <c r="Q43" s="108"/>
      <c r="S43" s="2"/>
      <c r="T43" s="119"/>
      <c r="U43" s="4"/>
      <c r="X43" s="110"/>
      <c r="Y43" s="108"/>
      <c r="Z43" s="109"/>
      <c r="AC43" s="119"/>
      <c r="AJ43" s="110"/>
      <c r="AK43" s="108"/>
      <c r="AL43" s="109"/>
      <c r="AO43" s="119"/>
    </row>
    <row r="44" spans="1:41" ht="14">
      <c r="C44" s="3"/>
      <c r="D44" s="3"/>
      <c r="E44" s="3"/>
      <c r="F44" s="3"/>
      <c r="G44" s="3"/>
      <c r="H44" s="3"/>
      <c r="I44" s="3"/>
      <c r="J44" s="3"/>
      <c r="K44" s="22"/>
      <c r="L44" s="3"/>
      <c r="P44" s="108"/>
      <c r="Q44" s="108"/>
      <c r="S44" s="2"/>
      <c r="T44" s="119"/>
      <c r="U44" s="4"/>
      <c r="X44" s="110"/>
      <c r="Y44" s="108"/>
      <c r="Z44" s="109"/>
      <c r="AC44" s="119"/>
      <c r="AJ44" s="110"/>
      <c r="AK44" s="108"/>
      <c r="AL44" s="109"/>
      <c r="AO44" s="119"/>
    </row>
    <row r="45" spans="1:41" ht="14">
      <c r="C45" s="3"/>
      <c r="D45" s="3"/>
      <c r="E45" s="3"/>
      <c r="F45" s="3"/>
      <c r="G45" s="3"/>
      <c r="H45" s="3"/>
      <c r="I45" s="3"/>
      <c r="J45" s="3"/>
      <c r="K45" s="22"/>
      <c r="L45" s="3"/>
      <c r="P45" s="108"/>
      <c r="Q45" s="108"/>
      <c r="S45" s="2"/>
      <c r="T45" s="119"/>
      <c r="U45" s="4"/>
      <c r="X45" s="110"/>
      <c r="Y45" s="108"/>
      <c r="Z45" s="109"/>
      <c r="AC45" s="119"/>
      <c r="AJ45" s="110"/>
      <c r="AK45" s="108"/>
      <c r="AL45" s="109"/>
      <c r="AO45" s="119"/>
    </row>
    <row r="46" spans="1:41" ht="14">
      <c r="C46" s="3"/>
      <c r="D46" s="3"/>
      <c r="E46" s="3"/>
      <c r="F46" s="3"/>
      <c r="G46" s="3"/>
      <c r="H46" s="3"/>
      <c r="I46" s="3"/>
      <c r="J46" s="3"/>
      <c r="K46" s="22"/>
      <c r="L46" s="3"/>
      <c r="P46" s="108"/>
      <c r="Q46" s="108"/>
      <c r="S46" s="2"/>
      <c r="T46" s="119"/>
      <c r="U46" s="4"/>
      <c r="X46" s="110"/>
      <c r="Y46" s="108"/>
      <c r="Z46" s="109"/>
      <c r="AC46" s="119"/>
      <c r="AJ46" s="110"/>
      <c r="AK46" s="108"/>
      <c r="AL46" s="109"/>
      <c r="AO46" s="119"/>
    </row>
    <row r="47" spans="1:41" ht="14">
      <c r="C47" s="3"/>
      <c r="D47" s="3"/>
      <c r="E47" s="3"/>
      <c r="F47" s="3"/>
      <c r="G47" s="3"/>
      <c r="H47" s="3"/>
      <c r="I47" s="3"/>
      <c r="J47" s="3"/>
      <c r="K47" s="22"/>
      <c r="L47" s="3"/>
      <c r="P47" s="108"/>
      <c r="Q47" s="108"/>
      <c r="S47" s="2"/>
      <c r="T47" s="119"/>
      <c r="U47" s="4"/>
      <c r="X47" s="110"/>
      <c r="Y47" s="108"/>
      <c r="Z47" s="109"/>
      <c r="AC47" s="119"/>
      <c r="AJ47" s="110"/>
      <c r="AK47" s="108"/>
      <c r="AL47" s="109"/>
      <c r="AO47" s="119"/>
    </row>
    <row r="48" spans="1:41" ht="14">
      <c r="B48"/>
      <c r="C48" s="3"/>
      <c r="D48" s="3"/>
      <c r="E48" s="3"/>
      <c r="F48" s="3"/>
      <c r="G48" s="3"/>
      <c r="H48" s="3"/>
      <c r="I48" s="3"/>
      <c r="J48" s="3"/>
      <c r="K48" s="22"/>
      <c r="L48" s="3"/>
      <c r="P48" s="108"/>
      <c r="Q48" s="108"/>
      <c r="S48" s="2"/>
      <c r="T48" s="119"/>
      <c r="U48" s="4"/>
      <c r="X48" s="110"/>
      <c r="Y48" s="108"/>
      <c r="Z48" s="109"/>
      <c r="AC48" s="119"/>
      <c r="AJ48" s="110"/>
      <c r="AK48" s="108"/>
      <c r="AL48" s="109"/>
      <c r="AO48" s="119"/>
    </row>
    <row r="49" spans="2:41" ht="14">
      <c r="B49"/>
      <c r="C49" s="3"/>
      <c r="D49" s="3"/>
      <c r="E49" s="3"/>
      <c r="F49" s="3"/>
      <c r="G49" s="3"/>
      <c r="H49" s="3"/>
      <c r="I49" s="3"/>
      <c r="J49" s="3"/>
      <c r="K49" s="22"/>
      <c r="L49" s="3"/>
      <c r="P49" s="108"/>
      <c r="Q49" s="108"/>
      <c r="S49" s="2"/>
      <c r="T49" s="119"/>
      <c r="U49" s="4"/>
      <c r="X49" s="110"/>
      <c r="Y49" s="108"/>
      <c r="Z49" s="109"/>
      <c r="AC49" s="119"/>
      <c r="AJ49" s="110"/>
      <c r="AK49" s="108"/>
      <c r="AL49" s="109"/>
      <c r="AO49" s="119"/>
    </row>
    <row r="50" spans="2:41" ht="14">
      <c r="B50"/>
      <c r="C50" s="3"/>
      <c r="D50" s="3"/>
      <c r="E50" s="3"/>
      <c r="F50" s="3"/>
      <c r="G50" s="3"/>
      <c r="H50" s="3"/>
      <c r="I50" s="3"/>
      <c r="J50" s="3"/>
      <c r="K50" s="22"/>
      <c r="L50" s="3"/>
      <c r="P50" s="108"/>
      <c r="Q50" s="108"/>
      <c r="S50" s="2"/>
      <c r="T50" s="119"/>
      <c r="U50" s="4"/>
      <c r="X50" s="110"/>
      <c r="Y50" s="108"/>
      <c r="Z50" s="109"/>
      <c r="AC50" s="119"/>
      <c r="AJ50" s="110"/>
      <c r="AK50" s="108"/>
      <c r="AL50" s="109"/>
      <c r="AO50" s="119"/>
    </row>
    <row r="51" spans="2:41" ht="14">
      <c r="B51"/>
      <c r="C51" s="3"/>
      <c r="D51" s="3"/>
      <c r="E51" s="3"/>
      <c r="F51" s="3"/>
      <c r="G51" s="3"/>
      <c r="H51" s="3"/>
      <c r="I51" s="3"/>
      <c r="J51" s="3"/>
      <c r="K51" s="22"/>
      <c r="L51" s="3"/>
      <c r="P51" s="108"/>
      <c r="Q51" s="108"/>
      <c r="S51" s="2"/>
      <c r="T51" s="119"/>
      <c r="U51" s="4"/>
      <c r="X51" s="110"/>
      <c r="Y51" s="108"/>
      <c r="Z51" s="109"/>
      <c r="AC51" s="119"/>
      <c r="AJ51" s="110"/>
      <c r="AK51" s="108"/>
      <c r="AL51" s="109"/>
      <c r="AO51" s="119"/>
    </row>
    <row r="52" spans="2:41" ht="14">
      <c r="B52"/>
      <c r="C52" s="3"/>
      <c r="D52" s="3"/>
      <c r="E52" s="3"/>
      <c r="F52" s="3"/>
      <c r="G52" s="3"/>
      <c r="H52" s="3"/>
      <c r="I52" s="3"/>
      <c r="J52" s="3"/>
      <c r="K52" s="22"/>
      <c r="L52" s="3"/>
      <c r="P52" s="108"/>
      <c r="Q52" s="108"/>
      <c r="S52" s="2"/>
      <c r="T52" s="119"/>
      <c r="U52" s="4"/>
      <c r="X52" s="110"/>
      <c r="Y52" s="108"/>
      <c r="Z52" s="109"/>
      <c r="AC52" s="119"/>
      <c r="AJ52" s="110"/>
      <c r="AK52" s="108"/>
      <c r="AL52" s="109"/>
      <c r="AO52" s="119"/>
    </row>
    <row r="53" spans="2:41" ht="14">
      <c r="B53"/>
      <c r="C53" s="3"/>
      <c r="D53" s="3"/>
      <c r="E53" s="3"/>
      <c r="F53" s="3"/>
      <c r="G53" s="3"/>
      <c r="H53" s="3"/>
      <c r="I53" s="3"/>
      <c r="J53" s="3"/>
      <c r="K53" s="22"/>
      <c r="L53" s="3"/>
      <c r="P53" s="108"/>
      <c r="Q53" s="108"/>
      <c r="S53" s="2"/>
      <c r="T53" s="119"/>
      <c r="U53" s="4"/>
      <c r="X53" s="110"/>
      <c r="Y53" s="108"/>
      <c r="Z53" s="109"/>
      <c r="AC53" s="119"/>
      <c r="AJ53" s="110"/>
      <c r="AK53" s="108"/>
      <c r="AL53" s="109"/>
      <c r="AO53" s="119"/>
    </row>
    <row r="54" spans="2:41" ht="14">
      <c r="B54"/>
      <c r="C54" s="3"/>
      <c r="D54" s="3"/>
      <c r="E54" s="3"/>
      <c r="F54" s="3"/>
      <c r="G54" s="3"/>
      <c r="H54" s="3"/>
      <c r="I54" s="3"/>
      <c r="J54" s="3"/>
      <c r="K54" s="22"/>
      <c r="L54" s="3"/>
      <c r="P54" s="108"/>
      <c r="Q54" s="108"/>
      <c r="S54" s="2"/>
      <c r="T54" s="119"/>
      <c r="U54" s="4"/>
      <c r="X54" s="110"/>
      <c r="Y54" s="108"/>
      <c r="Z54" s="109"/>
      <c r="AC54" s="119"/>
      <c r="AJ54" s="110"/>
      <c r="AK54" s="108"/>
      <c r="AL54" s="109"/>
      <c r="AO54" s="119"/>
    </row>
    <row r="55" spans="2:41" ht="14">
      <c r="B55"/>
      <c r="C55" s="3"/>
      <c r="D55" s="3"/>
      <c r="E55" s="3"/>
      <c r="F55" s="3"/>
      <c r="G55" s="3"/>
      <c r="H55" s="3"/>
      <c r="I55" s="3"/>
      <c r="J55" s="3"/>
      <c r="K55" s="22"/>
      <c r="L55" s="3"/>
      <c r="P55" s="108"/>
      <c r="Q55" s="108"/>
      <c r="S55" s="2"/>
      <c r="T55" s="119"/>
      <c r="U55" s="4"/>
      <c r="X55" s="110"/>
      <c r="Y55" s="108"/>
      <c r="Z55" s="109"/>
      <c r="AC55" s="119"/>
      <c r="AJ55" s="110"/>
      <c r="AK55" s="108"/>
      <c r="AL55" s="109"/>
      <c r="AO55" s="119"/>
    </row>
    <row r="56" spans="2:41" ht="14">
      <c r="B56"/>
      <c r="C56" s="3"/>
      <c r="D56" s="3"/>
      <c r="E56" s="3"/>
      <c r="F56" s="3"/>
      <c r="G56" s="3"/>
      <c r="H56" s="3"/>
      <c r="I56" s="3"/>
      <c r="J56" s="3"/>
      <c r="K56" s="22"/>
      <c r="L56" s="3"/>
      <c r="P56" s="108"/>
      <c r="Q56" s="108"/>
      <c r="S56" s="2"/>
      <c r="T56" s="119"/>
      <c r="U56" s="4"/>
      <c r="X56" s="110"/>
      <c r="Y56" s="108"/>
      <c r="Z56" s="109"/>
      <c r="AC56" s="119"/>
      <c r="AJ56" s="110"/>
      <c r="AK56" s="108"/>
      <c r="AL56" s="109"/>
      <c r="AO56" s="119"/>
    </row>
    <row r="57" spans="2:41" ht="14">
      <c r="B57"/>
      <c r="C57" s="3"/>
      <c r="D57" s="3"/>
      <c r="E57" s="3"/>
      <c r="F57" s="3"/>
      <c r="G57" s="3"/>
      <c r="H57" s="3"/>
      <c r="I57" s="3"/>
      <c r="J57" s="3"/>
      <c r="K57" s="22"/>
      <c r="L57" s="3"/>
      <c r="P57" s="108"/>
      <c r="Q57" s="108"/>
      <c r="S57" s="2"/>
      <c r="T57" s="119"/>
      <c r="U57" s="4"/>
      <c r="X57" s="110"/>
      <c r="Y57" s="108"/>
      <c r="Z57" s="109"/>
      <c r="AC57" s="119"/>
      <c r="AJ57" s="110"/>
      <c r="AK57" s="108"/>
      <c r="AL57" s="109"/>
      <c r="AO57" s="119"/>
    </row>
    <row r="58" spans="2:41" ht="14">
      <c r="B58"/>
      <c r="C58" s="3"/>
      <c r="D58" s="3"/>
      <c r="E58" s="3"/>
      <c r="F58" s="3"/>
      <c r="G58" s="3"/>
      <c r="H58" s="3"/>
      <c r="I58" s="3"/>
      <c r="J58" s="3"/>
      <c r="K58" s="22"/>
      <c r="L58" s="3"/>
      <c r="P58" s="108"/>
      <c r="Q58" s="108"/>
      <c r="S58" s="2"/>
      <c r="T58" s="119"/>
      <c r="U58" s="4"/>
      <c r="X58" s="110"/>
      <c r="Y58" s="108"/>
      <c r="Z58" s="109"/>
      <c r="AC58" s="119"/>
      <c r="AJ58" s="110"/>
      <c r="AK58" s="108"/>
      <c r="AL58" s="109"/>
      <c r="AO58" s="119"/>
    </row>
    <row r="59" spans="2:41" ht="14">
      <c r="B59"/>
      <c r="C59" s="3"/>
      <c r="D59" s="3"/>
      <c r="E59" s="3"/>
      <c r="F59" s="3"/>
      <c r="G59" s="3"/>
      <c r="H59" s="3"/>
      <c r="I59" s="3"/>
      <c r="J59" s="3"/>
      <c r="K59" s="22"/>
      <c r="L59" s="3"/>
      <c r="P59" s="108"/>
      <c r="Q59" s="108"/>
      <c r="S59" s="2"/>
      <c r="T59" s="119"/>
      <c r="U59" s="4"/>
      <c r="X59" s="110"/>
      <c r="Y59" s="108"/>
      <c r="Z59" s="109"/>
      <c r="AC59" s="119"/>
      <c r="AJ59" s="110"/>
      <c r="AK59" s="108"/>
      <c r="AL59" s="109"/>
      <c r="AO59" s="119"/>
    </row>
    <row r="60" spans="2:41" ht="14">
      <c r="B60"/>
      <c r="C60" s="3"/>
      <c r="D60" s="3"/>
      <c r="E60" s="3"/>
      <c r="F60" s="3"/>
      <c r="G60" s="3"/>
      <c r="H60" s="3"/>
      <c r="I60" s="3"/>
      <c r="J60" s="3"/>
      <c r="K60" s="22"/>
      <c r="L60" s="3"/>
      <c r="P60" s="108"/>
      <c r="Q60" s="108"/>
      <c r="S60" s="2"/>
      <c r="T60" s="119"/>
      <c r="U60" s="4"/>
      <c r="X60" s="110"/>
      <c r="Y60" s="108"/>
      <c r="Z60" s="109"/>
      <c r="AC60" s="119"/>
      <c r="AJ60" s="110"/>
      <c r="AK60" s="108"/>
      <c r="AL60" s="109"/>
      <c r="AO60" s="119"/>
    </row>
    <row r="61" spans="2:41" ht="14">
      <c r="B61"/>
      <c r="C61" s="3"/>
      <c r="D61" s="3"/>
      <c r="E61" s="3"/>
      <c r="F61" s="3"/>
      <c r="G61" s="3"/>
      <c r="H61" s="3"/>
      <c r="I61" s="3"/>
      <c r="J61" s="3"/>
      <c r="K61" s="22"/>
      <c r="L61" s="3"/>
      <c r="P61" s="108"/>
      <c r="Q61" s="108"/>
      <c r="S61" s="2"/>
      <c r="T61" s="119"/>
      <c r="U61" s="4"/>
      <c r="X61" s="110"/>
      <c r="Y61" s="108"/>
      <c r="Z61" s="109"/>
      <c r="AC61" s="119"/>
      <c r="AJ61" s="110"/>
      <c r="AK61" s="108"/>
      <c r="AL61" s="109"/>
      <c r="AO61" s="119"/>
    </row>
    <row r="62" spans="2:41" ht="14">
      <c r="B62"/>
      <c r="C62" s="3"/>
      <c r="D62" s="3"/>
      <c r="E62" s="3"/>
      <c r="F62" s="3"/>
      <c r="G62" s="3"/>
      <c r="H62" s="3"/>
      <c r="I62" s="3"/>
      <c r="J62" s="3"/>
      <c r="K62" s="22"/>
      <c r="L62" s="3"/>
      <c r="P62" s="108"/>
      <c r="Q62" s="108"/>
      <c r="S62" s="2"/>
      <c r="T62" s="119"/>
      <c r="U62" s="4"/>
      <c r="X62" s="110"/>
      <c r="Y62" s="108"/>
      <c r="Z62" s="109"/>
      <c r="AC62" s="119"/>
      <c r="AJ62" s="110"/>
      <c r="AK62" s="108"/>
      <c r="AL62" s="109"/>
      <c r="AO62" s="119"/>
    </row>
    <row r="63" spans="2:41" ht="14">
      <c r="B63"/>
      <c r="C63" s="3"/>
      <c r="D63" s="3"/>
      <c r="E63" s="3"/>
      <c r="F63" s="3"/>
      <c r="G63" s="3"/>
      <c r="H63" s="3"/>
      <c r="I63" s="3"/>
      <c r="J63" s="3"/>
      <c r="K63" s="22"/>
      <c r="L63" s="3"/>
      <c r="P63" s="108"/>
      <c r="Q63" s="108"/>
      <c r="S63" s="2"/>
      <c r="T63" s="119"/>
      <c r="U63" s="4"/>
      <c r="X63" s="110"/>
      <c r="Y63" s="108"/>
      <c r="Z63" s="109"/>
      <c r="AC63" s="119"/>
      <c r="AJ63" s="110"/>
      <c r="AK63" s="108"/>
      <c r="AL63" s="109"/>
      <c r="AO63" s="119"/>
    </row>
    <row r="64" spans="2:41" ht="14">
      <c r="C64" s="3"/>
      <c r="D64" s="3"/>
      <c r="E64" s="3"/>
      <c r="F64" s="3"/>
      <c r="G64" s="3"/>
      <c r="H64" s="3"/>
      <c r="I64" s="3"/>
      <c r="J64" s="3"/>
      <c r="K64" s="22"/>
      <c r="L64" s="3"/>
      <c r="P64" s="108"/>
      <c r="Q64" s="108"/>
      <c r="S64" s="2"/>
      <c r="T64" s="119"/>
      <c r="U64" s="4"/>
      <c r="X64" s="110"/>
      <c r="Y64" s="108"/>
      <c r="Z64" s="109"/>
      <c r="AC64" s="119"/>
      <c r="AJ64" s="110"/>
      <c r="AK64" s="108"/>
      <c r="AL64" s="109"/>
      <c r="AO64" s="119"/>
    </row>
    <row r="65" spans="1:42" ht="14">
      <c r="C65" s="3"/>
      <c r="D65" s="3"/>
      <c r="E65" s="3"/>
      <c r="F65" s="3"/>
      <c r="G65" s="3"/>
      <c r="H65" s="3"/>
      <c r="I65" s="3"/>
      <c r="J65" s="3"/>
      <c r="K65" s="22"/>
      <c r="L65" s="3"/>
      <c r="P65" s="108"/>
      <c r="Q65" s="108"/>
      <c r="S65" s="2"/>
      <c r="T65" s="119"/>
      <c r="U65" s="4"/>
      <c r="X65" s="110"/>
      <c r="Y65" s="108"/>
      <c r="Z65" s="109"/>
      <c r="AC65" s="119"/>
      <c r="AJ65" s="110"/>
      <c r="AK65" s="108"/>
      <c r="AL65" s="109"/>
      <c r="AO65" s="119"/>
    </row>
    <row r="66" spans="1:42" ht="14">
      <c r="C66" s="3"/>
      <c r="D66" s="3"/>
      <c r="E66" s="3"/>
      <c r="F66" s="3"/>
      <c r="G66" s="3"/>
      <c r="H66" s="3"/>
      <c r="I66" s="3"/>
      <c r="J66" s="3"/>
      <c r="K66" s="22"/>
      <c r="L66" s="3"/>
      <c r="P66" s="108"/>
      <c r="Q66" s="108"/>
      <c r="S66" s="2"/>
      <c r="T66" s="119"/>
      <c r="U66" s="4"/>
      <c r="X66" s="110"/>
      <c r="Y66" s="108"/>
      <c r="Z66" s="109"/>
      <c r="AC66" s="119"/>
      <c r="AJ66" s="110"/>
      <c r="AK66" s="108"/>
      <c r="AL66" s="109"/>
      <c r="AO66" s="119"/>
    </row>
    <row r="67" spans="1:42" ht="14">
      <c r="C67" s="3"/>
      <c r="D67" s="3"/>
      <c r="E67" s="3"/>
      <c r="F67" s="3"/>
      <c r="G67" s="3"/>
      <c r="H67" s="3"/>
      <c r="I67" s="3"/>
      <c r="J67" s="3"/>
      <c r="K67" s="22"/>
      <c r="L67" s="3"/>
      <c r="P67" s="108"/>
      <c r="Q67" s="108"/>
      <c r="S67" s="2"/>
      <c r="T67" s="119"/>
      <c r="U67" s="4"/>
      <c r="X67" s="110"/>
      <c r="Y67" s="108"/>
      <c r="Z67" s="109"/>
      <c r="AC67" s="119"/>
      <c r="AJ67" s="110"/>
      <c r="AK67" s="108"/>
      <c r="AL67" s="109"/>
      <c r="AO67" s="119"/>
    </row>
    <row r="68" spans="1:42" ht="14">
      <c r="C68" s="3"/>
      <c r="D68" s="3"/>
      <c r="E68" s="3"/>
      <c r="F68" s="3"/>
      <c r="G68" s="3"/>
      <c r="H68" s="3"/>
      <c r="I68" s="3"/>
      <c r="J68" s="3"/>
      <c r="K68" s="22"/>
      <c r="L68" s="3"/>
      <c r="P68" s="108"/>
      <c r="Q68" s="108"/>
      <c r="S68" s="2"/>
      <c r="T68" s="119"/>
      <c r="U68" s="4"/>
      <c r="X68" s="110"/>
      <c r="Y68" s="108"/>
      <c r="Z68" s="109"/>
      <c r="AC68" s="119"/>
      <c r="AJ68" s="110"/>
      <c r="AK68" s="108"/>
      <c r="AL68" s="109"/>
      <c r="AO68" s="119"/>
    </row>
    <row r="69" spans="1:42" ht="14">
      <c r="C69" s="3"/>
      <c r="D69" s="3"/>
      <c r="E69" s="3"/>
      <c r="F69" s="3"/>
      <c r="G69" s="3"/>
      <c r="H69" s="3"/>
      <c r="I69" s="3"/>
      <c r="J69" s="3"/>
      <c r="K69" s="22"/>
      <c r="L69" s="3"/>
      <c r="P69" s="108"/>
      <c r="Q69" s="108"/>
      <c r="S69" s="2"/>
      <c r="T69" s="119"/>
      <c r="U69" s="4"/>
      <c r="X69" s="110"/>
      <c r="Y69" s="108"/>
      <c r="Z69" s="109"/>
      <c r="AC69" s="119"/>
      <c r="AJ69" s="110"/>
      <c r="AK69" s="108"/>
      <c r="AL69" s="109"/>
      <c r="AO69" s="119"/>
    </row>
    <row r="70" spans="1:42" ht="14">
      <c r="C70" s="3"/>
      <c r="D70" s="3"/>
      <c r="E70" s="3"/>
      <c r="F70" s="3"/>
      <c r="G70" s="3"/>
      <c r="H70" s="3"/>
      <c r="I70" s="3"/>
      <c r="J70" s="3"/>
      <c r="K70" s="22"/>
      <c r="L70" s="3"/>
      <c r="P70" s="108"/>
      <c r="Q70" s="108"/>
      <c r="S70" s="2"/>
      <c r="T70" s="119"/>
      <c r="U70" s="4"/>
      <c r="X70" s="110"/>
      <c r="Y70" s="108"/>
      <c r="Z70" s="109"/>
      <c r="AC70" s="119"/>
      <c r="AJ70" s="110"/>
      <c r="AK70" s="108"/>
      <c r="AL70" s="109"/>
      <c r="AO70" s="119"/>
    </row>
    <row r="71" spans="1:42" ht="14">
      <c r="C71" s="3"/>
      <c r="D71" s="3"/>
      <c r="E71" s="3"/>
      <c r="F71" s="3"/>
      <c r="G71" s="3"/>
      <c r="H71" s="3"/>
      <c r="I71" s="3"/>
      <c r="J71" s="3"/>
      <c r="K71" s="22"/>
      <c r="L71" s="3"/>
      <c r="P71" s="108"/>
      <c r="Q71" s="108"/>
      <c r="S71" s="2"/>
      <c r="T71" s="119"/>
      <c r="U71" s="4"/>
      <c r="X71" s="110"/>
      <c r="Y71" s="108"/>
      <c r="Z71" s="109"/>
      <c r="AC71" s="119"/>
      <c r="AJ71" s="110"/>
      <c r="AK71" s="108"/>
      <c r="AL71" s="109"/>
      <c r="AO71" s="119"/>
    </row>
    <row r="72" spans="1:42" ht="14">
      <c r="C72" s="3"/>
      <c r="D72" s="3"/>
      <c r="E72" s="3"/>
      <c r="F72" s="3"/>
      <c r="G72" s="3"/>
      <c r="H72" s="3"/>
      <c r="I72" s="3"/>
      <c r="J72" s="3"/>
      <c r="K72" s="22"/>
      <c r="L72" s="3"/>
      <c r="P72" s="108"/>
      <c r="Q72" s="108"/>
      <c r="S72" s="2"/>
      <c r="T72" s="119"/>
      <c r="U72" s="4"/>
      <c r="X72" s="110"/>
      <c r="Y72" s="108"/>
      <c r="Z72" s="109"/>
      <c r="AC72" s="119"/>
      <c r="AJ72" s="110"/>
      <c r="AK72" s="108"/>
      <c r="AL72" s="109"/>
      <c r="AO72" s="119"/>
    </row>
    <row r="73" spans="1:42" ht="14">
      <c r="C73" s="3"/>
      <c r="D73" s="3"/>
      <c r="E73" s="3"/>
      <c r="F73" s="3"/>
      <c r="G73" s="3"/>
      <c r="H73" s="3"/>
      <c r="I73" s="3"/>
      <c r="J73" s="3"/>
      <c r="K73" s="22"/>
      <c r="L73" s="3"/>
      <c r="P73" s="108"/>
      <c r="Q73" s="108"/>
      <c r="S73" s="2"/>
      <c r="T73" s="119"/>
      <c r="U73" s="4"/>
      <c r="X73" s="110"/>
      <c r="Y73" s="108"/>
      <c r="Z73" s="109"/>
      <c r="AC73" s="119"/>
      <c r="AJ73" s="110"/>
      <c r="AK73" s="108"/>
      <c r="AL73" s="109"/>
      <c r="AO73" s="119"/>
    </row>
    <row r="74" spans="1:42" ht="14">
      <c r="C74" s="3"/>
      <c r="D74" s="3"/>
      <c r="E74" s="3"/>
      <c r="F74" s="3"/>
      <c r="G74" s="3"/>
      <c r="H74" s="3"/>
      <c r="I74" s="3"/>
      <c r="J74" s="3"/>
      <c r="K74" s="22"/>
      <c r="L74" s="3"/>
      <c r="P74" s="108"/>
      <c r="Q74" s="108"/>
      <c r="S74" s="2"/>
      <c r="T74" s="119"/>
      <c r="U74" s="4"/>
      <c r="X74" s="110"/>
      <c r="Y74" s="108"/>
      <c r="Z74" s="109"/>
      <c r="AC74" s="119"/>
      <c r="AJ74" s="110"/>
      <c r="AK74" s="108"/>
      <c r="AL74" s="109"/>
      <c r="AO74" s="119"/>
    </row>
    <row r="75" spans="1:42" ht="14">
      <c r="C75" s="3"/>
      <c r="D75" s="3"/>
      <c r="E75" s="3"/>
      <c r="F75" s="3"/>
      <c r="G75" s="3"/>
      <c r="H75" s="3"/>
      <c r="I75" s="3"/>
      <c r="J75" s="3"/>
      <c r="K75" s="22"/>
      <c r="L75" s="3"/>
      <c r="P75" s="108"/>
      <c r="Q75" s="108"/>
      <c r="S75" s="2"/>
      <c r="T75" s="119"/>
      <c r="U75" s="4"/>
      <c r="X75" s="110"/>
      <c r="Y75" s="108"/>
      <c r="Z75" s="109"/>
      <c r="AC75" s="119"/>
      <c r="AJ75" s="110"/>
      <c r="AK75" s="108"/>
      <c r="AL75" s="109"/>
      <c r="AO75" s="119"/>
    </row>
    <row r="76" spans="1:42" ht="14">
      <c r="C76" s="3"/>
      <c r="D76" s="111" t="s">
        <v>157</v>
      </c>
      <c r="E76" s="3"/>
      <c r="F76" s="3"/>
      <c r="G76" s="3"/>
      <c r="H76" s="3"/>
      <c r="I76" s="3"/>
      <c r="J76" s="3"/>
      <c r="K76" s="3"/>
      <c r="L76" s="3"/>
      <c r="M76" s="111" t="s">
        <v>117</v>
      </c>
      <c r="S76" s="2"/>
      <c r="T76" s="2"/>
      <c r="U76" s="4"/>
      <c r="V76" s="111" t="s">
        <v>118</v>
      </c>
      <c r="X76" s="99"/>
      <c r="Z76" s="100"/>
      <c r="AH76" s="111" t="s">
        <v>158</v>
      </c>
    </row>
    <row r="77" spans="1:42" s="1" customFormat="1" ht="47" customHeight="1">
      <c r="A77" s="1" t="s">
        <v>62</v>
      </c>
      <c r="B77" s="20" t="s">
        <v>19</v>
      </c>
      <c r="C77" s="1" t="s">
        <v>152</v>
      </c>
      <c r="D77" s="78" t="s">
        <v>61</v>
      </c>
      <c r="E77" s="78" t="s">
        <v>43</v>
      </c>
      <c r="F77" s="78" t="s">
        <v>44</v>
      </c>
      <c r="G77" s="79" t="s">
        <v>45</v>
      </c>
      <c r="H77" s="92" t="s">
        <v>46</v>
      </c>
      <c r="I77" s="79" t="s">
        <v>48</v>
      </c>
      <c r="J77" s="78" t="s">
        <v>49</v>
      </c>
      <c r="K77" s="92" t="s">
        <v>47</v>
      </c>
      <c r="M77" s="78" t="s">
        <v>61</v>
      </c>
      <c r="N77" s="78" t="s">
        <v>43</v>
      </c>
      <c r="O77" s="78" t="s">
        <v>44</v>
      </c>
      <c r="P77" s="79" t="s">
        <v>45</v>
      </c>
      <c r="Q77" s="92" t="s">
        <v>46</v>
      </c>
      <c r="R77" s="79" t="s">
        <v>48</v>
      </c>
      <c r="S77" s="78" t="s">
        <v>49</v>
      </c>
      <c r="T77" s="92" t="s">
        <v>47</v>
      </c>
      <c r="U77" s="16"/>
      <c r="V77" s="86" t="s">
        <v>61</v>
      </c>
      <c r="W77" s="86" t="s">
        <v>50</v>
      </c>
      <c r="X77" s="86" t="s">
        <v>51</v>
      </c>
      <c r="Y77" s="87" t="s">
        <v>52</v>
      </c>
      <c r="Z77" s="93" t="s">
        <v>53</v>
      </c>
      <c r="AA77" s="87" t="s">
        <v>55</v>
      </c>
      <c r="AB77" s="86" t="s">
        <v>56</v>
      </c>
      <c r="AC77" s="93" t="s">
        <v>54</v>
      </c>
      <c r="AE77" s="1" t="s">
        <v>42</v>
      </c>
      <c r="AF77" s="1" t="s">
        <v>210</v>
      </c>
      <c r="AG77" s="112" t="s">
        <v>65</v>
      </c>
      <c r="AH77" s="94" t="s">
        <v>123</v>
      </c>
      <c r="AI77" s="94" t="s">
        <v>122</v>
      </c>
      <c r="AJ77" s="94" t="s">
        <v>124</v>
      </c>
      <c r="AK77" s="95" t="s">
        <v>125</v>
      </c>
      <c r="AL77" s="96" t="s">
        <v>126</v>
      </c>
      <c r="AM77" s="95" t="s">
        <v>127</v>
      </c>
      <c r="AN77" s="94" t="s">
        <v>128</v>
      </c>
      <c r="AO77" s="96" t="s">
        <v>155</v>
      </c>
      <c r="AP77" s="1" t="s">
        <v>57</v>
      </c>
    </row>
    <row r="78" spans="1:42" ht="14">
      <c r="A78">
        <f t="shared" ref="A78:A141" si="2">A79-1</f>
        <v>-80</v>
      </c>
      <c r="B78" s="21">
        <v>0</v>
      </c>
      <c r="C78" s="26">
        <f t="shared" ref="C78:C118" si="3">B$8*(1-EXP(-B$9*$B78))^3</f>
        <v>0</v>
      </c>
      <c r="D78" s="26"/>
      <c r="E78" s="26"/>
      <c r="F78" s="26"/>
      <c r="G78" s="26"/>
      <c r="H78" s="26"/>
      <c r="I78" s="26"/>
      <c r="J78" s="26"/>
      <c r="K78" s="26"/>
      <c r="L78" s="26"/>
      <c r="M78" s="80"/>
      <c r="N78" s="80"/>
      <c r="O78" s="80"/>
      <c r="P78" s="81"/>
      <c r="Q78" s="81"/>
      <c r="R78" s="81"/>
      <c r="S78" s="81"/>
      <c r="T78" s="81"/>
      <c r="U78" s="3"/>
      <c r="V78" s="88"/>
      <c r="W78" s="88"/>
      <c r="X78" s="88"/>
      <c r="Y78" s="88"/>
      <c r="Z78" s="88"/>
      <c r="AA78" s="88"/>
      <c r="AB78" s="88"/>
      <c r="AC78" s="88"/>
      <c r="AE78">
        <f t="shared" ref="AE78:AE141" si="4">A78</f>
        <v>-80</v>
      </c>
      <c r="AG78" s="113">
        <f t="shared" ref="AG78:AG141" si="5">C78</f>
        <v>0</v>
      </c>
      <c r="AH78" s="97"/>
      <c r="AI78" s="97"/>
      <c r="AJ78" s="97"/>
      <c r="AK78" s="97"/>
      <c r="AL78" s="97"/>
      <c r="AM78" s="97"/>
      <c r="AN78" s="97"/>
      <c r="AO78" s="97"/>
    </row>
    <row r="79" spans="1:42" ht="14">
      <c r="A79">
        <f t="shared" si="2"/>
        <v>-79</v>
      </c>
      <c r="B79" s="21">
        <v>1</v>
      </c>
      <c r="C79" s="26">
        <f t="shared" si="3"/>
        <v>1.304576931015696E-3</v>
      </c>
      <c r="D79" s="26"/>
      <c r="E79" s="26"/>
      <c r="F79" s="26"/>
      <c r="G79" s="26"/>
      <c r="H79" s="26"/>
      <c r="I79" s="26"/>
      <c r="J79" s="26"/>
      <c r="K79" s="26"/>
      <c r="L79" s="26"/>
      <c r="M79" s="80"/>
      <c r="N79" s="80"/>
      <c r="O79" s="80"/>
      <c r="P79" s="81"/>
      <c r="Q79" s="81"/>
      <c r="R79" s="81"/>
      <c r="S79" s="81"/>
      <c r="T79" s="81"/>
      <c r="U79" s="3"/>
      <c r="V79" s="88"/>
      <c r="W79" s="88"/>
      <c r="X79" s="88"/>
      <c r="Y79" s="88"/>
      <c r="Z79" s="88"/>
      <c r="AA79" s="88"/>
      <c r="AB79" s="88"/>
      <c r="AC79" s="88"/>
      <c r="AE79">
        <f t="shared" si="4"/>
        <v>-79</v>
      </c>
      <c r="AG79" s="113">
        <f t="shared" si="5"/>
        <v>1.304576931015696E-3</v>
      </c>
      <c r="AH79" s="97"/>
      <c r="AI79" s="97"/>
      <c r="AJ79" s="97"/>
      <c r="AK79" s="97"/>
      <c r="AL79" s="97"/>
      <c r="AM79" s="97"/>
      <c r="AN79" s="97"/>
      <c r="AO79" s="97"/>
    </row>
    <row r="80" spans="1:42" ht="14">
      <c r="A80">
        <f t="shared" si="2"/>
        <v>-78</v>
      </c>
      <c r="B80" s="21">
        <v>2</v>
      </c>
      <c r="C80" s="26">
        <f t="shared" si="3"/>
        <v>1.0129686160647853E-2</v>
      </c>
      <c r="D80" s="26"/>
      <c r="E80" s="26"/>
      <c r="F80" s="26"/>
      <c r="G80" s="26"/>
      <c r="H80" s="26"/>
      <c r="I80" s="26"/>
      <c r="J80" s="26"/>
      <c r="K80" s="26"/>
      <c r="L80" s="26"/>
      <c r="M80" s="80"/>
      <c r="N80" s="80"/>
      <c r="O80" s="80"/>
      <c r="P80" s="81"/>
      <c r="Q80" s="81"/>
      <c r="R80" s="81"/>
      <c r="S80" s="81"/>
      <c r="T80" s="81"/>
      <c r="U80" s="3"/>
      <c r="V80" s="88"/>
      <c r="W80" s="88"/>
      <c r="X80" s="88"/>
      <c r="Y80" s="88"/>
      <c r="Z80" s="88"/>
      <c r="AA80" s="88"/>
      <c r="AB80" s="88"/>
      <c r="AC80" s="88"/>
      <c r="AE80">
        <f t="shared" si="4"/>
        <v>-78</v>
      </c>
      <c r="AG80" s="113">
        <f t="shared" si="5"/>
        <v>1.0129686160647853E-2</v>
      </c>
      <c r="AH80" s="97"/>
      <c r="AI80" s="97"/>
      <c r="AJ80" s="97"/>
      <c r="AK80" s="97"/>
      <c r="AL80" s="97"/>
      <c r="AM80" s="97"/>
      <c r="AN80" s="97"/>
      <c r="AO80" s="97"/>
    </row>
    <row r="81" spans="1:41" ht="14">
      <c r="A81">
        <f t="shared" si="2"/>
        <v>-77</v>
      </c>
      <c r="B81" s="21">
        <v>3</v>
      </c>
      <c r="C81" s="26">
        <f t="shared" si="3"/>
        <v>3.3185586831962252E-2</v>
      </c>
      <c r="D81" s="26"/>
      <c r="E81" s="26"/>
      <c r="F81" s="26"/>
      <c r="G81" s="26"/>
      <c r="H81" s="26"/>
      <c r="I81" s="26"/>
      <c r="J81" s="26"/>
      <c r="K81" s="26"/>
      <c r="L81" s="26"/>
      <c r="M81" s="80"/>
      <c r="N81" s="80"/>
      <c r="O81" s="80"/>
      <c r="P81" s="81"/>
      <c r="Q81" s="81"/>
      <c r="R81" s="81"/>
      <c r="S81" s="81"/>
      <c r="T81" s="81"/>
      <c r="U81" s="3"/>
      <c r="V81" s="88"/>
      <c r="W81" s="88"/>
      <c r="X81" s="88"/>
      <c r="Y81" s="88"/>
      <c r="Z81" s="88"/>
      <c r="AA81" s="88"/>
      <c r="AB81" s="88"/>
      <c r="AC81" s="88"/>
      <c r="AE81">
        <f t="shared" si="4"/>
        <v>-77</v>
      </c>
      <c r="AG81" s="113">
        <f t="shared" si="5"/>
        <v>3.3185586831962252E-2</v>
      </c>
      <c r="AH81" s="97"/>
      <c r="AI81" s="97"/>
      <c r="AJ81" s="97"/>
      <c r="AK81" s="97"/>
      <c r="AL81" s="97"/>
      <c r="AM81" s="97"/>
      <c r="AN81" s="97"/>
      <c r="AO81" s="97"/>
    </row>
    <row r="82" spans="1:41" ht="14">
      <c r="A82">
        <f t="shared" si="2"/>
        <v>-76</v>
      </c>
      <c r="B82" s="21">
        <v>4</v>
      </c>
      <c r="C82" s="26">
        <f t="shared" si="3"/>
        <v>7.6364034925272523E-2</v>
      </c>
      <c r="D82" s="26"/>
      <c r="E82" s="26"/>
      <c r="F82" s="26"/>
      <c r="G82" s="26"/>
      <c r="H82" s="26"/>
      <c r="I82" s="26"/>
      <c r="J82" s="26"/>
      <c r="K82" s="26"/>
      <c r="L82" s="26"/>
      <c r="M82" s="80"/>
      <c r="N82" s="80"/>
      <c r="O82" s="80"/>
      <c r="P82" s="81"/>
      <c r="Q82" s="81"/>
      <c r="R82" s="81"/>
      <c r="S82" s="81"/>
      <c r="T82" s="81"/>
      <c r="U82" s="3"/>
      <c r="V82" s="88"/>
      <c r="W82" s="88"/>
      <c r="X82" s="88"/>
      <c r="Y82" s="88"/>
      <c r="Z82" s="88"/>
      <c r="AA82" s="88"/>
      <c r="AB82" s="88"/>
      <c r="AC82" s="88"/>
      <c r="AE82">
        <f t="shared" si="4"/>
        <v>-76</v>
      </c>
      <c r="AG82" s="113">
        <f t="shared" si="5"/>
        <v>7.6364034925272523E-2</v>
      </c>
      <c r="AH82" s="97"/>
      <c r="AI82" s="97"/>
      <c r="AJ82" s="97"/>
      <c r="AK82" s="97"/>
      <c r="AL82" s="97"/>
      <c r="AM82" s="97"/>
      <c r="AN82" s="97"/>
      <c r="AO82" s="97"/>
    </row>
    <row r="83" spans="1:41" ht="14">
      <c r="A83">
        <f t="shared" si="2"/>
        <v>-75</v>
      </c>
      <c r="B83" s="21">
        <v>5</v>
      </c>
      <c r="C83" s="26">
        <f t="shared" si="3"/>
        <v>0.14480564018396114</v>
      </c>
      <c r="D83" s="26"/>
      <c r="E83" s="26"/>
      <c r="F83" s="26"/>
      <c r="G83" s="26"/>
      <c r="H83" s="26"/>
      <c r="I83" s="26"/>
      <c r="J83" s="26"/>
      <c r="K83" s="26"/>
      <c r="L83" s="26"/>
      <c r="M83" s="80"/>
      <c r="N83" s="80"/>
      <c r="O83" s="80"/>
      <c r="P83" s="81"/>
      <c r="Q83" s="81"/>
      <c r="R83" s="81"/>
      <c r="S83" s="81"/>
      <c r="T83" s="81"/>
      <c r="U83" s="3"/>
      <c r="V83" s="88"/>
      <c r="W83" s="88"/>
      <c r="X83" s="88"/>
      <c r="Y83" s="88"/>
      <c r="Z83" s="88"/>
      <c r="AA83" s="88"/>
      <c r="AB83" s="88"/>
      <c r="AC83" s="88"/>
      <c r="AE83">
        <f t="shared" si="4"/>
        <v>-75</v>
      </c>
      <c r="AG83" s="113">
        <f t="shared" si="5"/>
        <v>0.14480564018396114</v>
      </c>
      <c r="AH83" s="97"/>
      <c r="AI83" s="97"/>
      <c r="AJ83" s="97"/>
      <c r="AK83" s="97"/>
      <c r="AL83" s="97"/>
      <c r="AM83" s="97"/>
      <c r="AN83" s="97"/>
      <c r="AO83" s="97"/>
    </row>
    <row r="84" spans="1:41" ht="14">
      <c r="A84">
        <f t="shared" si="2"/>
        <v>-74</v>
      </c>
      <c r="B84" s="21">
        <v>6</v>
      </c>
      <c r="C84" s="26">
        <f t="shared" si="3"/>
        <v>0.24296247057162773</v>
      </c>
      <c r="D84" s="26"/>
      <c r="E84" s="26"/>
      <c r="F84" s="26"/>
      <c r="G84" s="26"/>
      <c r="H84" s="26"/>
      <c r="I84" s="26"/>
      <c r="J84" s="26"/>
      <c r="K84" s="26"/>
      <c r="L84" s="26"/>
      <c r="M84" s="80"/>
      <c r="N84" s="80"/>
      <c r="O84" s="80"/>
      <c r="P84" s="81"/>
      <c r="Q84" s="81"/>
      <c r="R84" s="81"/>
      <c r="S84" s="81"/>
      <c r="T84" s="81"/>
      <c r="U84" s="3"/>
      <c r="V84" s="88"/>
      <c r="W84" s="88"/>
      <c r="X84" s="88"/>
      <c r="Y84" s="88"/>
      <c r="Z84" s="88"/>
      <c r="AA84" s="88"/>
      <c r="AB84" s="88"/>
      <c r="AC84" s="88"/>
      <c r="AE84">
        <f t="shared" si="4"/>
        <v>-74</v>
      </c>
      <c r="AG84" s="113">
        <f t="shared" si="5"/>
        <v>0.24296247057162773</v>
      </c>
      <c r="AH84" s="97"/>
      <c r="AI84" s="97"/>
      <c r="AJ84" s="97"/>
      <c r="AK84" s="97"/>
      <c r="AL84" s="97"/>
      <c r="AM84" s="97"/>
      <c r="AN84" s="97"/>
      <c r="AO84" s="97"/>
    </row>
    <row r="85" spans="1:41" ht="14">
      <c r="A85">
        <f t="shared" si="2"/>
        <v>-73</v>
      </c>
      <c r="B85" s="21">
        <v>7</v>
      </c>
      <c r="C85" s="26">
        <f t="shared" si="3"/>
        <v>0.3746562147086363</v>
      </c>
      <c r="D85" s="26"/>
      <c r="E85" s="26"/>
      <c r="F85" s="26"/>
      <c r="G85" s="26"/>
      <c r="H85" s="26"/>
      <c r="I85" s="26"/>
      <c r="J85" s="26"/>
      <c r="K85" s="26"/>
      <c r="L85" s="26"/>
      <c r="M85" s="80"/>
      <c r="N85" s="80"/>
      <c r="O85" s="80"/>
      <c r="P85" s="81"/>
      <c r="Q85" s="81"/>
      <c r="R85" s="81"/>
      <c r="S85" s="81"/>
      <c r="T85" s="81"/>
      <c r="U85" s="3"/>
      <c r="V85" s="88"/>
      <c r="W85" s="88"/>
      <c r="X85" s="88"/>
      <c r="Y85" s="88"/>
      <c r="Z85" s="88"/>
      <c r="AA85" s="88"/>
      <c r="AB85" s="88"/>
      <c r="AC85" s="88"/>
      <c r="AE85">
        <f t="shared" si="4"/>
        <v>-73</v>
      </c>
      <c r="AG85" s="113">
        <f t="shared" si="5"/>
        <v>0.3746562147086363</v>
      </c>
      <c r="AH85" s="97"/>
      <c r="AI85" s="97"/>
      <c r="AJ85" s="97"/>
      <c r="AK85" s="97"/>
      <c r="AL85" s="97"/>
      <c r="AM85" s="97"/>
      <c r="AN85" s="97"/>
      <c r="AO85" s="97"/>
    </row>
    <row r="86" spans="1:41" ht="14">
      <c r="A86">
        <f t="shared" si="2"/>
        <v>-72</v>
      </c>
      <c r="B86" s="21">
        <v>8</v>
      </c>
      <c r="C86" s="26">
        <f t="shared" si="3"/>
        <v>0.54313219331353713</v>
      </c>
      <c r="D86" s="26"/>
      <c r="E86" s="26"/>
      <c r="F86" s="26"/>
      <c r="G86" s="26"/>
      <c r="H86" s="26"/>
      <c r="I86" s="26"/>
      <c r="J86" s="26"/>
      <c r="K86" s="26"/>
      <c r="L86" s="26"/>
      <c r="M86" s="80"/>
      <c r="N86" s="80"/>
      <c r="O86" s="80"/>
      <c r="P86" s="81"/>
      <c r="Q86" s="81"/>
      <c r="R86" s="81"/>
      <c r="S86" s="81"/>
      <c r="T86" s="81"/>
      <c r="U86" s="3"/>
      <c r="V86" s="88"/>
      <c r="W86" s="88"/>
      <c r="X86" s="88"/>
      <c r="Y86" s="88"/>
      <c r="Z86" s="88"/>
      <c r="AA86" s="88"/>
      <c r="AB86" s="88"/>
      <c r="AC86" s="88"/>
      <c r="AE86">
        <f t="shared" si="4"/>
        <v>-72</v>
      </c>
      <c r="AG86" s="113">
        <f t="shared" si="5"/>
        <v>0.54313219331353713</v>
      </c>
      <c r="AH86" s="97"/>
      <c r="AI86" s="97"/>
      <c r="AJ86" s="97"/>
      <c r="AK86" s="97"/>
      <c r="AL86" s="97"/>
      <c r="AM86" s="97"/>
      <c r="AN86" s="97"/>
      <c r="AO86" s="97"/>
    </row>
    <row r="87" spans="1:41" ht="14">
      <c r="A87">
        <f t="shared" si="2"/>
        <v>-71</v>
      </c>
      <c r="B87" s="21">
        <v>9</v>
      </c>
      <c r="C87" s="26">
        <f t="shared" si="3"/>
        <v>0.7511094924364492</v>
      </c>
      <c r="D87" s="26"/>
      <c r="E87" s="26"/>
      <c r="F87" s="26"/>
      <c r="G87" s="26"/>
      <c r="H87" s="26"/>
      <c r="I87" s="26"/>
      <c r="J87" s="26"/>
      <c r="K87" s="26"/>
      <c r="L87" s="26"/>
      <c r="M87" s="80"/>
      <c r="N87" s="80"/>
      <c r="O87" s="80"/>
      <c r="P87" s="81"/>
      <c r="Q87" s="81"/>
      <c r="R87" s="81"/>
      <c r="S87" s="81"/>
      <c r="T87" s="81"/>
      <c r="U87" s="3"/>
      <c r="V87" s="88"/>
      <c r="W87" s="88"/>
      <c r="X87" s="88"/>
      <c r="Y87" s="88"/>
      <c r="Z87" s="88"/>
      <c r="AA87" s="88"/>
      <c r="AB87" s="88"/>
      <c r="AC87" s="88"/>
      <c r="AE87">
        <f t="shared" si="4"/>
        <v>-71</v>
      </c>
      <c r="AG87" s="113">
        <f t="shared" si="5"/>
        <v>0.7511094924364492</v>
      </c>
      <c r="AH87" s="97"/>
      <c r="AI87" s="97"/>
      <c r="AJ87" s="97"/>
      <c r="AK87" s="97"/>
      <c r="AL87" s="97"/>
      <c r="AM87" s="97"/>
      <c r="AN87" s="97"/>
      <c r="AO87" s="97"/>
    </row>
    <row r="88" spans="1:41" ht="14">
      <c r="A88">
        <f t="shared" si="2"/>
        <v>-70</v>
      </c>
      <c r="B88" s="21">
        <v>10</v>
      </c>
      <c r="C88" s="26">
        <f t="shared" si="3"/>
        <v>1.000827474146279</v>
      </c>
      <c r="D88" s="26"/>
      <c r="E88" s="26"/>
      <c r="F88" s="26"/>
      <c r="G88" s="26"/>
      <c r="H88" s="26"/>
      <c r="I88" s="26"/>
      <c r="J88" s="26"/>
      <c r="K88" s="26"/>
      <c r="L88" s="26"/>
      <c r="M88" s="80"/>
      <c r="N88" s="80"/>
      <c r="O88" s="80"/>
      <c r="P88" s="81"/>
      <c r="Q88" s="81"/>
      <c r="R88" s="81"/>
      <c r="S88" s="81"/>
      <c r="T88" s="81"/>
      <c r="U88" s="3"/>
      <c r="V88" s="88"/>
      <c r="W88" s="88"/>
      <c r="X88" s="88"/>
      <c r="Y88" s="88"/>
      <c r="Z88" s="88"/>
      <c r="AA88" s="88"/>
      <c r="AB88" s="88"/>
      <c r="AC88" s="88"/>
      <c r="AE88">
        <f t="shared" si="4"/>
        <v>-70</v>
      </c>
      <c r="AG88" s="113">
        <f t="shared" si="5"/>
        <v>1.000827474146279</v>
      </c>
      <c r="AH88" s="97"/>
      <c r="AI88" s="97"/>
      <c r="AJ88" s="97"/>
      <c r="AK88" s="97"/>
      <c r="AL88" s="97"/>
      <c r="AM88" s="97"/>
      <c r="AN88" s="97"/>
      <c r="AO88" s="97"/>
    </row>
    <row r="89" spans="1:41" ht="14">
      <c r="A89">
        <f t="shared" si="2"/>
        <v>-69</v>
      </c>
      <c r="B89" s="21">
        <v>11</v>
      </c>
      <c r="C89" s="26">
        <f t="shared" si="3"/>
        <v>1.2940889042547259</v>
      </c>
      <c r="D89" s="26"/>
      <c r="E89" s="26"/>
      <c r="F89" s="26"/>
      <c r="G89" s="26"/>
      <c r="H89" s="26"/>
      <c r="I89" s="26"/>
      <c r="J89" s="26"/>
      <c r="K89" s="26"/>
      <c r="L89" s="26"/>
      <c r="M89" s="80"/>
      <c r="N89" s="80"/>
      <c r="O89" s="80"/>
      <c r="P89" s="81"/>
      <c r="Q89" s="81"/>
      <c r="R89" s="81"/>
      <c r="S89" s="81"/>
      <c r="T89" s="81"/>
      <c r="U89" s="3"/>
      <c r="V89" s="88"/>
      <c r="W89" s="88"/>
      <c r="X89" s="88"/>
      <c r="Y89" s="88"/>
      <c r="Z89" s="88"/>
      <c r="AA89" s="88"/>
      <c r="AB89" s="88"/>
      <c r="AC89" s="88"/>
      <c r="AE89">
        <f t="shared" si="4"/>
        <v>-69</v>
      </c>
      <c r="AG89" s="113">
        <f t="shared" si="5"/>
        <v>1.2940889042547259</v>
      </c>
      <c r="AH89" s="97"/>
      <c r="AI89" s="97"/>
      <c r="AJ89" s="97"/>
      <c r="AK89" s="97"/>
      <c r="AL89" s="97"/>
      <c r="AM89" s="97"/>
      <c r="AN89" s="97"/>
      <c r="AO89" s="97"/>
    </row>
    <row r="90" spans="1:41" ht="14">
      <c r="A90">
        <f t="shared" si="2"/>
        <v>-68</v>
      </c>
      <c r="B90" s="21">
        <v>12</v>
      </c>
      <c r="C90" s="26">
        <f t="shared" si="3"/>
        <v>1.6322999215645968</v>
      </c>
      <c r="D90" s="26"/>
      <c r="E90" s="26"/>
      <c r="F90" s="26"/>
      <c r="G90" s="26"/>
      <c r="H90" s="26"/>
      <c r="I90" s="26"/>
      <c r="J90" s="26"/>
      <c r="K90" s="26"/>
      <c r="L90" s="26"/>
      <c r="M90" s="80"/>
      <c r="N90" s="80"/>
      <c r="O90" s="80"/>
      <c r="P90" s="81"/>
      <c r="Q90" s="81"/>
      <c r="R90" s="81"/>
      <c r="S90" s="81"/>
      <c r="T90" s="81"/>
      <c r="U90" s="3"/>
      <c r="V90" s="88"/>
      <c r="W90" s="88"/>
      <c r="X90" s="88"/>
      <c r="Y90" s="88"/>
      <c r="Z90" s="88"/>
      <c r="AA90" s="88"/>
      <c r="AB90" s="88"/>
      <c r="AC90" s="88"/>
      <c r="AE90">
        <f t="shared" si="4"/>
        <v>-68</v>
      </c>
      <c r="AG90" s="113">
        <f t="shared" si="5"/>
        <v>1.6322999215645968</v>
      </c>
      <c r="AH90" s="97"/>
      <c r="AI90" s="97"/>
      <c r="AJ90" s="97"/>
      <c r="AK90" s="97"/>
      <c r="AL90" s="97"/>
      <c r="AM90" s="97"/>
      <c r="AN90" s="97"/>
      <c r="AO90" s="97"/>
    </row>
    <row r="91" spans="1:41" ht="14">
      <c r="A91">
        <f t="shared" si="2"/>
        <v>-67</v>
      </c>
      <c r="B91" s="21">
        <v>13</v>
      </c>
      <c r="C91" s="26">
        <f t="shared" si="3"/>
        <v>2.0165070589588248</v>
      </c>
      <c r="D91" s="26"/>
      <c r="E91" s="26"/>
      <c r="F91" s="26"/>
      <c r="G91" s="26"/>
      <c r="H91" s="26"/>
      <c r="I91" s="26"/>
      <c r="J91" s="26"/>
      <c r="K91" s="26"/>
      <c r="L91" s="26"/>
      <c r="M91" s="80"/>
      <c r="N91" s="80"/>
      <c r="O91" s="80"/>
      <c r="P91" s="81"/>
      <c r="Q91" s="81"/>
      <c r="R91" s="81"/>
      <c r="S91" s="81"/>
      <c r="T91" s="81"/>
      <c r="U91" s="3"/>
      <c r="V91" s="88"/>
      <c r="W91" s="88"/>
      <c r="X91" s="88"/>
      <c r="Y91" s="88"/>
      <c r="Z91" s="88"/>
      <c r="AA91" s="88"/>
      <c r="AB91" s="88"/>
      <c r="AC91" s="88"/>
      <c r="AE91">
        <f t="shared" si="4"/>
        <v>-67</v>
      </c>
      <c r="AG91" s="113">
        <f t="shared" si="5"/>
        <v>2.0165070589588248</v>
      </c>
      <c r="AH91" s="97"/>
      <c r="AI91" s="97"/>
      <c r="AJ91" s="97"/>
      <c r="AK91" s="97"/>
      <c r="AL91" s="97"/>
      <c r="AM91" s="97"/>
      <c r="AN91" s="97"/>
      <c r="AO91" s="97"/>
    </row>
    <row r="92" spans="1:41" ht="14">
      <c r="A92">
        <f t="shared" si="2"/>
        <v>-66</v>
      </c>
      <c r="B92" s="21">
        <v>14</v>
      </c>
      <c r="C92" s="26">
        <f t="shared" si="3"/>
        <v>2.4474315133441817</v>
      </c>
      <c r="D92" s="26"/>
      <c r="E92" s="26"/>
      <c r="F92" s="26"/>
      <c r="G92" s="26"/>
      <c r="H92" s="26"/>
      <c r="I92" s="26"/>
      <c r="J92" s="26"/>
      <c r="K92" s="26"/>
      <c r="L92" s="26"/>
      <c r="M92" s="80"/>
      <c r="N92" s="80"/>
      <c r="O92" s="80"/>
      <c r="P92" s="81"/>
      <c r="Q92" s="81"/>
      <c r="R92" s="81"/>
      <c r="S92" s="81"/>
      <c r="T92" s="81"/>
      <c r="U92" s="3"/>
      <c r="V92" s="88"/>
      <c r="W92" s="88"/>
      <c r="X92" s="88"/>
      <c r="Y92" s="88"/>
      <c r="Z92" s="88"/>
      <c r="AA92" s="88"/>
      <c r="AB92" s="88"/>
      <c r="AC92" s="88"/>
      <c r="AE92">
        <f t="shared" si="4"/>
        <v>-66</v>
      </c>
      <c r="AG92" s="113">
        <f t="shared" si="5"/>
        <v>2.4474315133441817</v>
      </c>
      <c r="AH92" s="97"/>
      <c r="AI92" s="97"/>
      <c r="AJ92" s="97"/>
      <c r="AK92" s="97"/>
      <c r="AL92" s="97"/>
      <c r="AM92" s="97"/>
      <c r="AN92" s="97"/>
      <c r="AO92" s="97"/>
    </row>
    <row r="93" spans="1:41" ht="14">
      <c r="A93">
        <f t="shared" si="2"/>
        <v>-65</v>
      </c>
      <c r="B93" s="21">
        <v>15</v>
      </c>
      <c r="C93" s="26">
        <f t="shared" si="3"/>
        <v>2.9255008489777561</v>
      </c>
      <c r="D93" s="26"/>
      <c r="E93" s="26"/>
      <c r="F93" s="26"/>
      <c r="G93" s="26"/>
      <c r="H93" s="26"/>
      <c r="I93" s="26"/>
      <c r="J93" s="26"/>
      <c r="K93" s="26"/>
      <c r="L93" s="26"/>
      <c r="M93" s="80"/>
      <c r="N93" s="80"/>
      <c r="O93" s="80"/>
      <c r="P93" s="81"/>
      <c r="Q93" s="81"/>
      <c r="R93" s="81"/>
      <c r="S93" s="81"/>
      <c r="T93" s="81"/>
      <c r="U93" s="3"/>
      <c r="V93" s="88"/>
      <c r="W93" s="88"/>
      <c r="X93" s="88"/>
      <c r="Y93" s="88"/>
      <c r="Z93" s="88"/>
      <c r="AA93" s="88"/>
      <c r="AB93" s="88"/>
      <c r="AC93" s="88"/>
      <c r="AE93">
        <f t="shared" si="4"/>
        <v>-65</v>
      </c>
      <c r="AG93" s="113">
        <f t="shared" si="5"/>
        <v>2.9255008489777561</v>
      </c>
      <c r="AH93" s="97"/>
      <c r="AI93" s="97"/>
      <c r="AJ93" s="97"/>
      <c r="AK93" s="97"/>
      <c r="AL93" s="97"/>
      <c r="AM93" s="97"/>
      <c r="AN93" s="97"/>
      <c r="AO93" s="97"/>
    </row>
    <row r="94" spans="1:41" ht="14">
      <c r="A94">
        <f t="shared" si="2"/>
        <v>-64</v>
      </c>
      <c r="B94" s="21">
        <v>16</v>
      </c>
      <c r="C94" s="26">
        <f t="shared" si="3"/>
        <v>3.4508783069854148</v>
      </c>
      <c r="D94" s="26"/>
      <c r="E94" s="26"/>
      <c r="F94" s="26"/>
      <c r="G94" s="26"/>
      <c r="H94" s="26"/>
      <c r="I94" s="26"/>
      <c r="J94" s="26"/>
      <c r="K94" s="26"/>
      <c r="L94" s="26"/>
      <c r="M94" s="80"/>
      <c r="N94" s="80"/>
      <c r="O94" s="80"/>
      <c r="P94" s="81"/>
      <c r="Q94" s="81"/>
      <c r="R94" s="81"/>
      <c r="S94" s="81"/>
      <c r="T94" s="81"/>
      <c r="U94" s="3"/>
      <c r="V94" s="88"/>
      <c r="W94" s="88"/>
      <c r="X94" s="88"/>
      <c r="Y94" s="88"/>
      <c r="Z94" s="88"/>
      <c r="AA94" s="88"/>
      <c r="AB94" s="88"/>
      <c r="AC94" s="88"/>
      <c r="AE94">
        <f t="shared" si="4"/>
        <v>-64</v>
      </c>
      <c r="AG94" s="113">
        <f t="shared" si="5"/>
        <v>3.4508783069854148</v>
      </c>
      <c r="AH94" s="97"/>
      <c r="AI94" s="97"/>
      <c r="AJ94" s="97"/>
      <c r="AK94" s="97"/>
      <c r="AL94" s="97"/>
      <c r="AM94" s="97"/>
      <c r="AN94" s="97"/>
      <c r="AO94" s="97"/>
    </row>
    <row r="95" spans="1:41" ht="14">
      <c r="A95">
        <f t="shared" si="2"/>
        <v>-63</v>
      </c>
      <c r="B95" s="21">
        <v>17</v>
      </c>
      <c r="C95" s="26">
        <f t="shared" si="3"/>
        <v>4.0234898828837915</v>
      </c>
      <c r="D95" s="26"/>
      <c r="E95" s="26"/>
      <c r="F95" s="26"/>
      <c r="G95" s="26"/>
      <c r="H95" s="26"/>
      <c r="I95" s="26"/>
      <c r="J95" s="26"/>
      <c r="K95" s="26"/>
      <c r="L95" s="26"/>
      <c r="M95" s="80"/>
      <c r="N95" s="80"/>
      <c r="O95" s="80"/>
      <c r="P95" s="81"/>
      <c r="Q95" s="81"/>
      <c r="R95" s="81"/>
      <c r="S95" s="81"/>
      <c r="T95" s="81"/>
      <c r="U95" s="3"/>
      <c r="V95" s="88"/>
      <c r="W95" s="88"/>
      <c r="X95" s="88"/>
      <c r="Y95" s="88"/>
      <c r="Z95" s="88"/>
      <c r="AA95" s="88"/>
      <c r="AB95" s="88"/>
      <c r="AC95" s="88"/>
      <c r="AE95">
        <f t="shared" si="4"/>
        <v>-63</v>
      </c>
      <c r="AG95" s="113">
        <f t="shared" si="5"/>
        <v>4.0234898828837915</v>
      </c>
      <c r="AH95" s="97"/>
      <c r="AI95" s="97"/>
      <c r="AJ95" s="97"/>
      <c r="AK95" s="97"/>
      <c r="AL95" s="97"/>
      <c r="AM95" s="97"/>
      <c r="AN95" s="97"/>
      <c r="AO95" s="97"/>
    </row>
    <row r="96" spans="1:41" ht="14">
      <c r="A96">
        <f t="shared" si="2"/>
        <v>-62</v>
      </c>
      <c r="B96" s="21">
        <v>18</v>
      </c>
      <c r="C96" s="26">
        <f t="shared" si="3"/>
        <v>4.643049323596939</v>
      </c>
      <c r="D96" s="26"/>
      <c r="E96" s="26"/>
      <c r="F96" s="26"/>
      <c r="G96" s="26"/>
      <c r="H96" s="26"/>
      <c r="I96" s="26"/>
      <c r="J96" s="26"/>
      <c r="K96" s="26"/>
      <c r="L96" s="26"/>
      <c r="M96" s="80"/>
      <c r="N96" s="80"/>
      <c r="O96" s="80"/>
      <c r="P96" s="81"/>
      <c r="Q96" s="81"/>
      <c r="R96" s="81"/>
      <c r="S96" s="81"/>
      <c r="T96" s="81"/>
      <c r="U96" s="3"/>
      <c r="V96" s="88"/>
      <c r="W96" s="88"/>
      <c r="X96" s="88"/>
      <c r="Y96" s="88"/>
      <c r="Z96" s="88"/>
      <c r="AA96" s="88"/>
      <c r="AB96" s="88"/>
      <c r="AC96" s="88"/>
      <c r="AE96">
        <f t="shared" si="4"/>
        <v>-62</v>
      </c>
      <c r="AG96" s="113">
        <f t="shared" si="5"/>
        <v>4.643049323596939</v>
      </c>
      <c r="AH96" s="97"/>
      <c r="AI96" s="97"/>
      <c r="AJ96" s="97"/>
      <c r="AK96" s="97"/>
      <c r="AL96" s="97"/>
      <c r="AM96" s="97"/>
      <c r="AN96" s="97"/>
      <c r="AO96" s="97"/>
    </row>
    <row r="97" spans="1:41" ht="14">
      <c r="A97">
        <f t="shared" si="2"/>
        <v>-61</v>
      </c>
      <c r="B97" s="21">
        <v>19</v>
      </c>
      <c r="C97" s="26">
        <f t="shared" si="3"/>
        <v>5.3090811857751401</v>
      </c>
      <c r="D97" s="26"/>
      <c r="E97" s="26"/>
      <c r="F97" s="26"/>
      <c r="G97" s="26"/>
      <c r="H97" s="26"/>
      <c r="I97" s="26"/>
      <c r="J97" s="26"/>
      <c r="K97" s="26"/>
      <c r="L97" s="26"/>
      <c r="M97" s="80"/>
      <c r="N97" s="80"/>
      <c r="O97" s="80"/>
      <c r="P97" s="81"/>
      <c r="Q97" s="81"/>
      <c r="R97" s="81"/>
      <c r="S97" s="81"/>
      <c r="T97" s="81"/>
      <c r="U97" s="3"/>
      <c r="V97" s="88"/>
      <c r="W97" s="88"/>
      <c r="X97" s="88"/>
      <c r="Y97" s="88"/>
      <c r="Z97" s="88"/>
      <c r="AA97" s="88"/>
      <c r="AB97" s="88"/>
      <c r="AC97" s="88"/>
      <c r="AE97">
        <f t="shared" si="4"/>
        <v>-61</v>
      </c>
      <c r="AG97" s="113">
        <f t="shared" si="5"/>
        <v>5.3090811857751401</v>
      </c>
      <c r="AH97" s="97"/>
      <c r="AI97" s="97"/>
      <c r="AJ97" s="97"/>
      <c r="AK97" s="97"/>
      <c r="AL97" s="97"/>
      <c r="AM97" s="97"/>
      <c r="AN97" s="97"/>
      <c r="AO97" s="97"/>
    </row>
    <row r="98" spans="1:41" ht="14">
      <c r="A98">
        <f t="shared" si="2"/>
        <v>-60</v>
      </c>
      <c r="B98" s="21">
        <v>20</v>
      </c>
      <c r="C98" s="26">
        <f t="shared" si="3"/>
        <v>6.020942088137498</v>
      </c>
      <c r="D98" s="26"/>
      <c r="E98" s="26"/>
      <c r="F98" s="26"/>
      <c r="G98" s="26"/>
      <c r="H98" s="26"/>
      <c r="I98" s="26"/>
      <c r="J98" s="26"/>
      <c r="K98" s="26"/>
      <c r="L98" s="26"/>
      <c r="M98" s="80"/>
      <c r="N98" s="80"/>
      <c r="O98" s="80"/>
      <c r="P98" s="81"/>
      <c r="Q98" s="81"/>
      <c r="R98" s="81"/>
      <c r="S98" s="81"/>
      <c r="T98" s="81"/>
      <c r="U98" s="3"/>
      <c r="V98" s="88"/>
      <c r="W98" s="88"/>
      <c r="X98" s="88"/>
      <c r="Y98" s="88"/>
      <c r="Z98" s="88"/>
      <c r="AA98" s="88"/>
      <c r="AB98" s="88"/>
      <c r="AC98" s="88"/>
      <c r="AE98">
        <f t="shared" si="4"/>
        <v>-60</v>
      </c>
      <c r="AG98" s="113">
        <f t="shared" si="5"/>
        <v>6.020942088137498</v>
      </c>
      <c r="AH98" s="97"/>
      <c r="AI98" s="97"/>
      <c r="AJ98" s="97"/>
      <c r="AK98" s="97"/>
      <c r="AL98" s="97"/>
      <c r="AM98" s="97"/>
      <c r="AN98" s="97"/>
      <c r="AO98" s="97"/>
    </row>
    <row r="99" spans="1:41" ht="14">
      <c r="A99">
        <f t="shared" si="2"/>
        <v>-59</v>
      </c>
      <c r="B99" s="21">
        <v>21</v>
      </c>
      <c r="C99" s="26">
        <f t="shared" si="3"/>
        <v>6.7778402820363954</v>
      </c>
      <c r="D99" s="26"/>
      <c r="E99" s="26"/>
      <c r="F99" s="26"/>
      <c r="G99" s="26"/>
      <c r="H99" s="26"/>
      <c r="I99" s="26"/>
      <c r="J99" s="26"/>
      <c r="K99" s="26"/>
      <c r="L99" s="26"/>
      <c r="M99" s="80"/>
      <c r="N99" s="80"/>
      <c r="O99" s="80"/>
      <c r="P99" s="81"/>
      <c r="Q99" s="81"/>
      <c r="R99" s="81"/>
      <c r="S99" s="81"/>
      <c r="T99" s="81"/>
      <c r="U99" s="3"/>
      <c r="V99" s="88"/>
      <c r="W99" s="88"/>
      <c r="X99" s="88"/>
      <c r="Y99" s="88"/>
      <c r="Z99" s="88"/>
      <c r="AA99" s="88"/>
      <c r="AB99" s="88"/>
      <c r="AC99" s="88"/>
      <c r="AE99">
        <f t="shared" si="4"/>
        <v>-59</v>
      </c>
      <c r="AG99" s="113">
        <f t="shared" si="5"/>
        <v>6.7778402820363954</v>
      </c>
      <c r="AH99" s="97"/>
      <c r="AI99" s="97"/>
      <c r="AJ99" s="97"/>
      <c r="AK99" s="97"/>
      <c r="AL99" s="97"/>
      <c r="AM99" s="97"/>
      <c r="AN99" s="97"/>
      <c r="AO99" s="97"/>
    </row>
    <row r="100" spans="1:41" ht="14">
      <c r="A100">
        <f t="shared" si="2"/>
        <v>-58</v>
      </c>
      <c r="B100" s="21">
        <v>22</v>
      </c>
      <c r="C100" s="26">
        <f t="shared" si="3"/>
        <v>7.5788536564457836</v>
      </c>
      <c r="D100" s="26"/>
      <c r="E100" s="26"/>
      <c r="F100" s="26"/>
      <c r="G100" s="26"/>
      <c r="H100" s="26"/>
      <c r="I100" s="26"/>
      <c r="J100" s="26"/>
      <c r="K100" s="26"/>
      <c r="L100" s="26"/>
      <c r="M100" s="80"/>
      <c r="N100" s="80"/>
      <c r="O100" s="80"/>
      <c r="P100" s="81"/>
      <c r="Q100" s="81"/>
      <c r="R100" s="81"/>
      <c r="S100" s="81"/>
      <c r="T100" s="81"/>
      <c r="U100" s="3"/>
      <c r="V100" s="88"/>
      <c r="W100" s="88"/>
      <c r="X100" s="88"/>
      <c r="Y100" s="88"/>
      <c r="Z100" s="88"/>
      <c r="AA100" s="88"/>
      <c r="AB100" s="88"/>
      <c r="AC100" s="88"/>
      <c r="AE100">
        <f t="shared" si="4"/>
        <v>-58</v>
      </c>
      <c r="AG100" s="113">
        <f t="shared" si="5"/>
        <v>7.5788536564457836</v>
      </c>
      <c r="AH100" s="97"/>
      <c r="AI100" s="97"/>
      <c r="AJ100" s="97"/>
      <c r="AK100" s="97"/>
      <c r="AL100" s="97"/>
      <c r="AM100" s="97"/>
      <c r="AN100" s="97"/>
      <c r="AO100" s="97"/>
    </row>
    <row r="101" spans="1:41" ht="14">
      <c r="A101">
        <f t="shared" si="2"/>
        <v>-57</v>
      </c>
      <c r="B101" s="21">
        <v>23</v>
      </c>
      <c r="C101" s="26">
        <f t="shared" si="3"/>
        <v>8.4229462860755522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80"/>
      <c r="N101" s="80"/>
      <c r="O101" s="80"/>
      <c r="P101" s="81"/>
      <c r="Q101" s="81"/>
      <c r="R101" s="81"/>
      <c r="S101" s="81"/>
      <c r="T101" s="81"/>
      <c r="U101" s="3"/>
      <c r="V101" s="88"/>
      <c r="W101" s="88"/>
      <c r="X101" s="88"/>
      <c r="Y101" s="88"/>
      <c r="Z101" s="88"/>
      <c r="AA101" s="88"/>
      <c r="AB101" s="88"/>
      <c r="AC101" s="88"/>
      <c r="AE101">
        <f t="shared" si="4"/>
        <v>-57</v>
      </c>
      <c r="AG101" s="113">
        <f t="shared" si="5"/>
        <v>8.4229462860755522</v>
      </c>
      <c r="AH101" s="97"/>
      <c r="AI101" s="97"/>
      <c r="AJ101" s="97"/>
      <c r="AK101" s="97"/>
      <c r="AL101" s="97"/>
      <c r="AM101" s="97"/>
      <c r="AN101" s="97"/>
      <c r="AO101" s="97"/>
    </row>
    <row r="102" spans="1:41" ht="14">
      <c r="A102">
        <f t="shared" si="2"/>
        <v>-56</v>
      </c>
      <c r="B102" s="21">
        <v>24</v>
      </c>
      <c r="C102" s="26">
        <f t="shared" si="3"/>
        <v>9.3089836242797599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80"/>
      <c r="N102" s="80"/>
      <c r="O102" s="80"/>
      <c r="P102" s="81"/>
      <c r="Q102" s="81"/>
      <c r="R102" s="81"/>
      <c r="S102" s="81"/>
      <c r="T102" s="81"/>
      <c r="U102" s="3"/>
      <c r="V102" s="88"/>
      <c r="W102" s="88"/>
      <c r="X102" s="88"/>
      <c r="Y102" s="88"/>
      <c r="Z102" s="88"/>
      <c r="AA102" s="88"/>
      <c r="AB102" s="88"/>
      <c r="AC102" s="88"/>
      <c r="AE102">
        <f t="shared" si="4"/>
        <v>-56</v>
      </c>
      <c r="AG102" s="113">
        <f t="shared" si="5"/>
        <v>9.3089836242797599</v>
      </c>
      <c r="AH102" s="97"/>
      <c r="AI102" s="97"/>
      <c r="AJ102" s="97"/>
      <c r="AK102" s="97"/>
      <c r="AL102" s="97"/>
      <c r="AM102" s="97"/>
      <c r="AN102" s="97"/>
      <c r="AO102" s="97"/>
    </row>
    <row r="103" spans="1:41" ht="14">
      <c r="A103">
        <f t="shared" si="2"/>
        <v>-55</v>
      </c>
      <c r="B103" s="21">
        <v>25</v>
      </c>
      <c r="C103" s="26">
        <f t="shared" si="3"/>
        <v>10.235746435830315</v>
      </c>
      <c r="D103" s="26"/>
      <c r="E103" s="26"/>
      <c r="F103" s="26"/>
      <c r="G103" s="26"/>
      <c r="H103" s="26" t="s">
        <v>159</v>
      </c>
      <c r="I103" s="26"/>
      <c r="J103" s="26"/>
      <c r="K103" s="26"/>
      <c r="L103" s="26"/>
      <c r="M103" s="80"/>
      <c r="N103" s="80"/>
      <c r="O103" s="80"/>
      <c r="P103" s="81"/>
      <c r="Q103" s="81"/>
      <c r="R103" s="81"/>
      <c r="S103" s="81"/>
      <c r="T103" s="81"/>
      <c r="U103" s="3"/>
      <c r="V103" s="88"/>
      <c r="W103" s="88"/>
      <c r="X103" s="88"/>
      <c r="Y103" s="88"/>
      <c r="Z103" s="88"/>
      <c r="AA103" s="88"/>
      <c r="AB103" s="88"/>
      <c r="AC103" s="88"/>
      <c r="AE103">
        <f t="shared" si="4"/>
        <v>-55</v>
      </c>
      <c r="AG103" s="113">
        <f t="shared" si="5"/>
        <v>10.235746435830315</v>
      </c>
      <c r="AH103" s="97"/>
      <c r="AI103" s="97"/>
      <c r="AJ103" s="97"/>
      <c r="AK103" s="97"/>
      <c r="AL103" s="97"/>
      <c r="AM103" s="97"/>
      <c r="AN103" s="97"/>
      <c r="AO103" s="97"/>
    </row>
    <row r="104" spans="1:41" ht="14">
      <c r="A104">
        <f t="shared" si="2"/>
        <v>-54</v>
      </c>
      <c r="B104" s="21">
        <v>26</v>
      </c>
      <c r="C104" s="26">
        <f t="shared" si="3"/>
        <v>11.201943558441718</v>
      </c>
      <c r="D104" s="26"/>
      <c r="E104" s="26"/>
      <c r="F104" s="26"/>
      <c r="G104" s="26"/>
      <c r="H104" s="26"/>
      <c r="I104" s="26"/>
      <c r="J104" s="26"/>
      <c r="K104" s="26"/>
      <c r="L104" s="26"/>
      <c r="M104" s="80"/>
      <c r="N104" s="80"/>
      <c r="O104" s="80"/>
      <c r="P104" s="81"/>
      <c r="Q104" s="81"/>
      <c r="R104" s="81"/>
      <c r="S104" s="81"/>
      <c r="T104" s="81"/>
      <c r="U104" s="3"/>
      <c r="V104" s="88"/>
      <c r="W104" s="88"/>
      <c r="X104" s="88"/>
      <c r="Y104" s="88"/>
      <c r="Z104" s="88"/>
      <c r="AA104" s="88"/>
      <c r="AB104" s="88"/>
      <c r="AC104" s="88"/>
      <c r="AE104">
        <f t="shared" si="4"/>
        <v>-54</v>
      </c>
      <c r="AG104" s="113">
        <f t="shared" si="5"/>
        <v>11.201943558441718</v>
      </c>
      <c r="AH104" s="97"/>
      <c r="AI104" s="97"/>
      <c r="AJ104" s="97"/>
      <c r="AK104" s="97"/>
      <c r="AL104" s="97"/>
      <c r="AM104" s="97"/>
      <c r="AN104" s="97"/>
      <c r="AO104" s="97"/>
    </row>
    <row r="105" spans="1:41" ht="14">
      <c r="A105">
        <f t="shared" si="2"/>
        <v>-53</v>
      </c>
      <c r="B105" s="21">
        <v>27</v>
      </c>
      <c r="C105" s="26">
        <f t="shared" si="3"/>
        <v>12.206223576133153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80"/>
      <c r="N105" s="80"/>
      <c r="O105" s="80"/>
      <c r="P105" s="81"/>
      <c r="Q105" s="81"/>
      <c r="R105" s="81"/>
      <c r="S105" s="81"/>
      <c r="T105" s="81"/>
      <c r="U105" s="3"/>
      <c r="V105" s="88"/>
      <c r="W105" s="88"/>
      <c r="X105" s="88"/>
      <c r="Y105" s="88"/>
      <c r="Z105" s="88"/>
      <c r="AA105" s="88"/>
      <c r="AB105" s="88"/>
      <c r="AC105" s="88"/>
      <c r="AE105">
        <f t="shared" si="4"/>
        <v>-53</v>
      </c>
      <c r="AG105" s="113">
        <f t="shared" si="5"/>
        <v>12.206223576133153</v>
      </c>
      <c r="AH105" s="97"/>
      <c r="AI105" s="97"/>
      <c r="AJ105" s="97"/>
      <c r="AK105" s="97"/>
      <c r="AL105" s="97"/>
      <c r="AM105" s="97"/>
      <c r="AN105" s="97"/>
      <c r="AO105" s="97"/>
    </row>
    <row r="106" spans="1:41" ht="14">
      <c r="A106">
        <f t="shared" si="2"/>
        <v>-52</v>
      </c>
      <c r="B106" s="21">
        <v>28</v>
      </c>
      <c r="C106" s="26">
        <f t="shared" si="3"/>
        <v>13.247185482076821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80"/>
      <c r="N106" s="80"/>
      <c r="O106" s="80"/>
      <c r="P106" s="81"/>
      <c r="Q106" s="81"/>
      <c r="R106" s="81"/>
      <c r="S106" s="81"/>
      <c r="T106" s="81"/>
      <c r="U106" s="3"/>
      <c r="V106" s="88"/>
      <c r="W106" s="88"/>
      <c r="X106" s="88"/>
      <c r="Y106" s="88"/>
      <c r="Z106" s="88"/>
      <c r="AA106" s="88"/>
      <c r="AB106" s="88"/>
      <c r="AC106" s="88"/>
      <c r="AE106">
        <f t="shared" si="4"/>
        <v>-52</v>
      </c>
      <c r="AG106" s="113">
        <f t="shared" si="5"/>
        <v>13.247185482076821</v>
      </c>
      <c r="AH106" s="97"/>
      <c r="AI106" s="97"/>
      <c r="AJ106" s="97"/>
      <c r="AK106" s="97"/>
      <c r="AL106" s="97"/>
      <c r="AM106" s="97"/>
      <c r="AN106" s="97"/>
      <c r="AO106" s="97"/>
    </row>
    <row r="107" spans="1:41" ht="14">
      <c r="A107">
        <f t="shared" si="2"/>
        <v>-51</v>
      </c>
      <c r="B107" s="21">
        <v>29</v>
      </c>
      <c r="C107" s="26">
        <f t="shared" si="3"/>
        <v>14.323388403485012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80"/>
      <c r="N107" s="80"/>
      <c r="O107" s="80"/>
      <c r="P107" s="81"/>
      <c r="Q107" s="81"/>
      <c r="R107" s="81"/>
      <c r="S107" s="81"/>
      <c r="T107" s="81"/>
      <c r="U107" s="3"/>
      <c r="V107" s="88"/>
      <c r="W107" s="88"/>
      <c r="X107" s="88"/>
      <c r="Y107" s="88"/>
      <c r="Z107" s="88"/>
      <c r="AA107" s="88"/>
      <c r="AB107" s="88"/>
      <c r="AC107" s="88"/>
      <c r="AE107">
        <f t="shared" si="4"/>
        <v>-51</v>
      </c>
      <c r="AG107" s="113">
        <f t="shared" si="5"/>
        <v>14.323388403485012</v>
      </c>
      <c r="AH107" s="97"/>
      <c r="AI107" s="97"/>
      <c r="AJ107" s="97"/>
      <c r="AK107" s="97"/>
      <c r="AL107" s="97"/>
      <c r="AM107" s="97"/>
      <c r="AN107" s="97"/>
      <c r="AO107" s="97"/>
    </row>
    <row r="108" spans="1:41" ht="14">
      <c r="A108">
        <f t="shared" si="2"/>
        <v>-50</v>
      </c>
      <c r="B108" s="21">
        <v>30</v>
      </c>
      <c r="C108" s="26">
        <f t="shared" si="3"/>
        <v>15.433360456310989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80"/>
      <c r="N108" s="80"/>
      <c r="O108" s="80"/>
      <c r="P108" s="81"/>
      <c r="Q108" s="81"/>
      <c r="R108" s="81"/>
      <c r="S108" s="81"/>
      <c r="T108" s="81"/>
      <c r="U108" s="3"/>
      <c r="V108" s="88"/>
      <c r="W108" s="88"/>
      <c r="X108" s="88"/>
      <c r="Y108" s="88"/>
      <c r="Z108" s="88"/>
      <c r="AA108" s="88"/>
      <c r="AB108" s="88"/>
      <c r="AC108" s="88"/>
      <c r="AE108">
        <f t="shared" si="4"/>
        <v>-50</v>
      </c>
      <c r="AG108" s="113">
        <f t="shared" si="5"/>
        <v>15.433360456310989</v>
      </c>
      <c r="AH108" s="97"/>
      <c r="AI108" s="97"/>
      <c r="AJ108" s="97"/>
      <c r="AK108" s="97"/>
      <c r="AL108" s="97"/>
      <c r="AM108" s="97"/>
      <c r="AN108" s="97"/>
      <c r="AO108" s="97"/>
    </row>
    <row r="109" spans="1:41" ht="14">
      <c r="A109">
        <f t="shared" si="2"/>
        <v>-49</v>
      </c>
      <c r="B109" s="21">
        <v>31</v>
      </c>
      <c r="C109" s="26">
        <f t="shared" si="3"/>
        <v>16.575606793061986</v>
      </c>
      <c r="D109" s="26"/>
      <c r="E109" s="26"/>
      <c r="F109" s="26"/>
      <c r="G109" s="26"/>
      <c r="H109" s="26"/>
      <c r="I109" s="26"/>
      <c r="J109" s="26"/>
      <c r="K109" s="26"/>
      <c r="L109" s="26"/>
      <c r="M109" s="80"/>
      <c r="N109" s="80"/>
      <c r="O109" s="80"/>
      <c r="P109" s="81"/>
      <c r="Q109" s="81"/>
      <c r="R109" s="81"/>
      <c r="S109" s="81"/>
      <c r="T109" s="81"/>
      <c r="U109" s="3"/>
      <c r="V109" s="88"/>
      <c r="W109" s="88"/>
      <c r="X109" s="88"/>
      <c r="Y109" s="88"/>
      <c r="Z109" s="88"/>
      <c r="AA109" s="88"/>
      <c r="AB109" s="88"/>
      <c r="AC109" s="88"/>
      <c r="AE109">
        <f t="shared" si="4"/>
        <v>-49</v>
      </c>
      <c r="AG109" s="113">
        <f t="shared" si="5"/>
        <v>16.575606793061986</v>
      </c>
      <c r="AH109" s="97"/>
      <c r="AI109" s="97"/>
      <c r="AJ109" s="97"/>
      <c r="AK109" s="97"/>
      <c r="AL109" s="97"/>
      <c r="AM109" s="97"/>
      <c r="AN109" s="97"/>
      <c r="AO109" s="97"/>
    </row>
    <row r="110" spans="1:41" ht="14">
      <c r="A110">
        <f t="shared" si="2"/>
        <v>-48</v>
      </c>
      <c r="B110" s="21">
        <v>32</v>
      </c>
      <c r="C110" s="26">
        <f t="shared" si="3"/>
        <v>17.74861690282755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80"/>
      <c r="N110" s="80"/>
      <c r="O110" s="80"/>
      <c r="P110" s="81"/>
      <c r="Q110" s="81"/>
      <c r="R110" s="81"/>
      <c r="S110" s="81"/>
      <c r="T110" s="81"/>
      <c r="U110" s="3"/>
      <c r="V110" s="88"/>
      <c r="W110" s="88"/>
      <c r="X110" s="88"/>
      <c r="Y110" s="88"/>
      <c r="Z110" s="88"/>
      <c r="AA110" s="88"/>
      <c r="AB110" s="88"/>
      <c r="AC110" s="88"/>
      <c r="AE110">
        <f t="shared" si="4"/>
        <v>-48</v>
      </c>
      <c r="AG110" s="113">
        <f t="shared" si="5"/>
        <v>17.74861690282755</v>
      </c>
      <c r="AH110" s="97"/>
      <c r="AI110" s="97"/>
      <c r="AJ110" s="97"/>
      <c r="AK110" s="97"/>
      <c r="AL110" s="97"/>
      <c r="AM110" s="97"/>
      <c r="AN110" s="97"/>
      <c r="AO110" s="97"/>
    </row>
    <row r="111" spans="1:41" ht="14">
      <c r="A111">
        <f t="shared" si="2"/>
        <v>-47</v>
      </c>
      <c r="B111" s="21">
        <v>33</v>
      </c>
      <c r="C111" s="26">
        <f t="shared" si="3"/>
        <v>18.950871218695532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80"/>
      <c r="N111" s="80"/>
      <c r="O111" s="80"/>
      <c r="P111" s="81"/>
      <c r="Q111" s="81"/>
      <c r="R111" s="81"/>
      <c r="S111" s="81"/>
      <c r="T111" s="81"/>
      <c r="U111" s="3"/>
      <c r="V111" s="88"/>
      <c r="W111" s="88"/>
      <c r="X111" s="88"/>
      <c r="Y111" s="88"/>
      <c r="Z111" s="88"/>
      <c r="AA111" s="88"/>
      <c r="AB111" s="88"/>
      <c r="AC111" s="88"/>
      <c r="AE111">
        <f t="shared" si="4"/>
        <v>-47</v>
      </c>
      <c r="AG111" s="113">
        <f t="shared" si="5"/>
        <v>18.950871218695532</v>
      </c>
      <c r="AH111" s="97"/>
      <c r="AI111" s="97"/>
      <c r="AJ111" s="97"/>
      <c r="AK111" s="97"/>
      <c r="AL111" s="97"/>
      <c r="AM111" s="97"/>
      <c r="AN111" s="97"/>
      <c r="AO111" s="97"/>
    </row>
    <row r="112" spans="1:41" ht="14">
      <c r="A112">
        <f t="shared" si="2"/>
        <v>-46</v>
      </c>
      <c r="B112" s="21">
        <v>34</v>
      </c>
      <c r="C112" s="26">
        <f t="shared" si="3"/>
        <v>20.180847084046018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80"/>
      <c r="N112" s="80"/>
      <c r="O112" s="80"/>
      <c r="P112" s="81"/>
      <c r="Q112" s="81"/>
      <c r="R112" s="81"/>
      <c r="S112" s="81"/>
      <c r="T112" s="81"/>
      <c r="U112" s="3"/>
      <c r="V112" s="88"/>
      <c r="W112" s="88"/>
      <c r="X112" s="88"/>
      <c r="Y112" s="88"/>
      <c r="Z112" s="88"/>
      <c r="AA112" s="88"/>
      <c r="AB112" s="88"/>
      <c r="AC112" s="88"/>
      <c r="AE112">
        <f t="shared" si="4"/>
        <v>-46</v>
      </c>
      <c r="AG112" s="113">
        <f t="shared" si="5"/>
        <v>20.180847084046018</v>
      </c>
      <c r="AH112" s="97"/>
      <c r="AI112" s="97"/>
      <c r="AJ112" s="97"/>
      <c r="AK112" s="97"/>
      <c r="AL112" s="97"/>
      <c r="AM112" s="97"/>
      <c r="AN112" s="97"/>
      <c r="AO112" s="97"/>
    </row>
    <row r="113" spans="1:41" ht="14">
      <c r="A113">
        <f t="shared" si="2"/>
        <v>-45</v>
      </c>
      <c r="B113" s="21">
        <v>35</v>
      </c>
      <c r="C113" s="26">
        <f t="shared" si="3"/>
        <v>21.43702412576425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80"/>
      <c r="N113" s="80"/>
      <c r="O113" s="80"/>
      <c r="P113" s="81"/>
      <c r="Q113" s="81"/>
      <c r="R113" s="81"/>
      <c r="S113" s="81"/>
      <c r="T113" s="81"/>
      <c r="U113" s="3"/>
      <c r="V113" s="88"/>
      <c r="W113" s="88"/>
      <c r="X113" s="88"/>
      <c r="Y113" s="88"/>
      <c r="Z113" s="88"/>
      <c r="AA113" s="88"/>
      <c r="AB113" s="88"/>
      <c r="AC113" s="88"/>
      <c r="AE113">
        <f t="shared" si="4"/>
        <v>-45</v>
      </c>
      <c r="AG113" s="113">
        <f t="shared" si="5"/>
        <v>21.43702412576425</v>
      </c>
      <c r="AH113" s="97"/>
      <c r="AI113" s="97"/>
      <c r="AJ113" s="97"/>
      <c r="AK113" s="97"/>
      <c r="AL113" s="97"/>
      <c r="AM113" s="97"/>
      <c r="AN113" s="97"/>
      <c r="AO113" s="97"/>
    </row>
    <row r="114" spans="1:41" ht="14">
      <c r="A114">
        <f t="shared" si="2"/>
        <v>-44</v>
      </c>
      <c r="B114" s="21">
        <v>36</v>
      </c>
      <c r="C114" s="26">
        <f t="shared" si="3"/>
        <v>22.717889079182989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80"/>
      <c r="N114" s="80"/>
      <c r="O114" s="80"/>
      <c r="P114" s="81"/>
      <c r="Q114" s="81"/>
      <c r="R114" s="81"/>
      <c r="S114" s="81"/>
      <c r="T114" s="81"/>
      <c r="U114" s="3"/>
      <c r="V114" s="88"/>
      <c r="W114" s="88"/>
      <c r="X114" s="88"/>
      <c r="Y114" s="88"/>
      <c r="Z114" s="88"/>
      <c r="AA114" s="88"/>
      <c r="AB114" s="88"/>
      <c r="AC114" s="88"/>
      <c r="AE114">
        <f t="shared" si="4"/>
        <v>-44</v>
      </c>
      <c r="AG114" s="113">
        <f t="shared" si="5"/>
        <v>22.717889079182989</v>
      </c>
      <c r="AH114" s="97"/>
      <c r="AI114" s="97"/>
      <c r="AJ114" s="97"/>
      <c r="AK114" s="97"/>
      <c r="AL114" s="97"/>
      <c r="AM114" s="97"/>
      <c r="AN114" s="97"/>
      <c r="AO114" s="97"/>
    </row>
    <row r="115" spans="1:41" ht="14">
      <c r="A115">
        <f t="shared" si="2"/>
        <v>-43</v>
      </c>
      <c r="B115" s="21">
        <v>37</v>
      </c>
      <c r="C115" s="26">
        <f t="shared" si="3"/>
        <v>24.021940106540239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80"/>
      <c r="N115" s="80"/>
      <c r="O115" s="80"/>
      <c r="P115" s="81"/>
      <c r="Q115" s="81"/>
      <c r="R115" s="81"/>
      <c r="S115" s="81"/>
      <c r="T115" s="81"/>
      <c r="U115" s="3"/>
      <c r="V115" s="88"/>
      <c r="W115" s="88"/>
      <c r="X115" s="88"/>
      <c r="Y115" s="88"/>
      <c r="Z115" s="88"/>
      <c r="AA115" s="88"/>
      <c r="AB115" s="88"/>
      <c r="AC115" s="88"/>
      <c r="AE115">
        <f t="shared" si="4"/>
        <v>-43</v>
      </c>
      <c r="AG115" s="113">
        <f t="shared" si="5"/>
        <v>24.021940106540239</v>
      </c>
      <c r="AH115" s="97"/>
      <c r="AI115" s="97"/>
      <c r="AJ115" s="97"/>
      <c r="AK115" s="97"/>
      <c r="AL115" s="97"/>
      <c r="AM115" s="97"/>
      <c r="AN115" s="97"/>
      <c r="AO115" s="97"/>
    </row>
    <row r="116" spans="1:41" ht="14">
      <c r="A116">
        <f t="shared" si="2"/>
        <v>-42</v>
      </c>
      <c r="B116" s="21">
        <v>38</v>
      </c>
      <c r="C116" s="26">
        <f t="shared" si="3"/>
        <v>25.347690647905036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80"/>
      <c r="N116" s="80"/>
      <c r="O116" s="80"/>
      <c r="P116" s="81"/>
      <c r="Q116" s="81"/>
      <c r="R116" s="81"/>
      <c r="S116" s="81"/>
      <c r="T116" s="81"/>
      <c r="U116" s="3"/>
      <c r="V116" s="88"/>
      <c r="W116" s="88"/>
      <c r="X116" s="88"/>
      <c r="Y116" s="88"/>
      <c r="Z116" s="88"/>
      <c r="AA116" s="88"/>
      <c r="AB116" s="88"/>
      <c r="AC116" s="88"/>
      <c r="AE116">
        <f t="shared" si="4"/>
        <v>-42</v>
      </c>
      <c r="AG116" s="113">
        <f t="shared" si="5"/>
        <v>25.347690647905036</v>
      </c>
      <c r="AH116" s="97"/>
      <c r="AI116" s="97"/>
      <c r="AJ116" s="97"/>
      <c r="AK116" s="97"/>
      <c r="AL116" s="97"/>
      <c r="AM116" s="97"/>
      <c r="AN116" s="97"/>
      <c r="AO116" s="97"/>
    </row>
    <row r="117" spans="1:41" ht="14">
      <c r="A117">
        <f t="shared" si="2"/>
        <v>-41</v>
      </c>
      <c r="B117" s="21">
        <v>39</v>
      </c>
      <c r="C117" s="26">
        <f t="shared" si="3"/>
        <v>26.693672840873621</v>
      </c>
      <c r="D117" s="26"/>
      <c r="E117" s="26"/>
      <c r="F117" s="26"/>
      <c r="G117" s="26"/>
      <c r="H117" s="26"/>
      <c r="I117" s="26"/>
      <c r="J117" s="26"/>
      <c r="K117" s="26"/>
      <c r="L117" s="26"/>
      <c r="M117" s="80"/>
      <c r="N117" s="80"/>
      <c r="O117" s="80"/>
      <c r="P117" s="81"/>
      <c r="Q117" s="81"/>
      <c r="R117" s="81"/>
      <c r="S117" s="81"/>
      <c r="T117" s="81"/>
      <c r="U117" s="3"/>
      <c r="V117" s="88"/>
      <c r="W117" s="88"/>
      <c r="X117" s="88"/>
      <c r="Y117" s="88"/>
      <c r="Z117" s="88"/>
      <c r="AA117" s="88"/>
      <c r="AB117" s="88"/>
      <c r="AC117" s="88"/>
      <c r="AE117">
        <f t="shared" si="4"/>
        <v>-41</v>
      </c>
      <c r="AG117" s="113">
        <f t="shared" si="5"/>
        <v>26.693672840873621</v>
      </c>
      <c r="AH117" s="97"/>
      <c r="AI117" s="97"/>
      <c r="AJ117" s="97"/>
      <c r="AK117" s="97"/>
      <c r="AL117" s="97"/>
      <c r="AM117" s="97"/>
      <c r="AN117" s="97"/>
      <c r="AO117" s="97"/>
    </row>
    <row r="118" spans="1:41" s="121" customFormat="1" ht="14">
      <c r="A118" s="121">
        <f t="shared" si="2"/>
        <v>-40</v>
      </c>
      <c r="B118" s="122">
        <v>40</v>
      </c>
      <c r="C118" s="123">
        <f t="shared" si="3"/>
        <v>28.058440542855632</v>
      </c>
      <c r="D118" s="125">
        <f>(($C$39*$C$118*0.72)*D$40)*('Product half-life and C flows'!B19/100)</f>
        <v>8.0808308763424215</v>
      </c>
      <c r="E118" s="123"/>
      <c r="F118" s="125">
        <f>($C$39*$C118*0.72)*F$40</f>
        <v>0</v>
      </c>
      <c r="G118" s="125">
        <f>($C$39*$C118*0.28)*G$41</f>
        <v>0.7542108817919595</v>
      </c>
      <c r="H118" s="125">
        <f>(($C$39*$C118*0.28)*H$41)*(E145+'Product half-life and C flows'!L19/100)</f>
        <v>2.3569090055998734</v>
      </c>
      <c r="I118" s="125">
        <f>(($C$39*$C$118*0.28)*H$41)*('Product half-life and C flows'!N19/100)</f>
        <v>0</v>
      </c>
      <c r="J118" s="125">
        <f>(($C$39*$C$118*0.28)*H$41)*(+'Product half-life and C flows'!P19/100)</f>
        <v>0</v>
      </c>
      <c r="K118" s="125">
        <f>H118*K42</f>
        <v>1.3434381331919276</v>
      </c>
      <c r="L118" s="123"/>
      <c r="M118" s="124"/>
      <c r="N118" s="124"/>
      <c r="O118" s="124"/>
      <c r="U118" s="124"/>
      <c r="AE118" s="121">
        <f t="shared" si="4"/>
        <v>-40</v>
      </c>
      <c r="AF118"/>
      <c r="AG118" s="124">
        <f t="shared" si="5"/>
        <v>28.058440542855632</v>
      </c>
      <c r="AH118" s="124">
        <f t="shared" ref="AH118:AH149" si="6">D118+M118+V118</f>
        <v>8.0808308763424215</v>
      </c>
      <c r="AI118" s="124">
        <f t="shared" ref="AI118:AI149" si="7">E118+N118+W118</f>
        <v>0</v>
      </c>
      <c r="AJ118" s="124">
        <f t="shared" ref="AJ118:AJ149" si="8">F118+O118+X118</f>
        <v>0</v>
      </c>
      <c r="AK118" s="124">
        <f t="shared" ref="AK118:AK149" si="9">G118+P118+Y118</f>
        <v>0.7542108817919595</v>
      </c>
      <c r="AL118" s="124">
        <f t="shared" ref="AL118:AL149" si="10">H118+Q118+Z118</f>
        <v>2.3569090055998734</v>
      </c>
      <c r="AM118" s="124">
        <f t="shared" ref="AM118:AM149" si="11">I118+R118+AA118</f>
        <v>0</v>
      </c>
      <c r="AN118" s="124">
        <f t="shared" ref="AN118:AN149" si="12">J118+S118+AB118</f>
        <v>0</v>
      </c>
      <c r="AO118" s="124">
        <f t="shared" ref="AO118:AO149" si="13">K118+T118+AC118</f>
        <v>1.3434381331919276</v>
      </c>
    </row>
    <row r="119" spans="1:41" ht="14">
      <c r="A119">
        <f t="shared" si="2"/>
        <v>-39</v>
      </c>
      <c r="B119" s="21">
        <v>41</v>
      </c>
      <c r="C119" s="26">
        <f>(B$8*(1-EXP(-B$9*$B119))^3)-(C$39*C$118)</f>
        <v>18.217195770305299</v>
      </c>
      <c r="D119" s="125">
        <f>(($C$39*$C$118*0.72)*D$40)*('Product half-life and C flows'!B20/100)</f>
        <v>7.8055681113567417</v>
      </c>
      <c r="E119" s="26"/>
      <c r="F119" s="54">
        <f>F118</f>
        <v>0</v>
      </c>
      <c r="G119" s="54">
        <f>G118</f>
        <v>0.7542108817919595</v>
      </c>
      <c r="H119" s="125">
        <f>(H$118)*('Product half-life and C flows'!L20/100)</f>
        <v>2.3208830691382154</v>
      </c>
      <c r="I119" s="125">
        <f>(($C$39*$C$118*0.28)*H$41)*('Product half-life and C flows'!N20/100)</f>
        <v>1.8030981199059895E-2</v>
      </c>
      <c r="J119" s="125">
        <f>(($C$39*$C$118*0.28)*H$41)*(+'Product half-life and C flows'!P20/100)</f>
        <v>9.0064841154145342E-3</v>
      </c>
      <c r="K119" s="54">
        <f>K118</f>
        <v>1.3434381331919276</v>
      </c>
      <c r="L119" s="26"/>
      <c r="M119" s="80"/>
      <c r="N119" s="80"/>
      <c r="O119" s="80"/>
      <c r="P119" s="81"/>
      <c r="Q119" s="81"/>
      <c r="R119" s="81"/>
      <c r="S119" s="81"/>
      <c r="T119" s="81"/>
      <c r="U119" s="3"/>
      <c r="V119" s="88"/>
      <c r="W119" s="88"/>
      <c r="X119" s="88"/>
      <c r="Y119" s="88"/>
      <c r="Z119" s="88"/>
      <c r="AA119" s="88"/>
      <c r="AB119" s="88"/>
      <c r="AC119" s="88"/>
      <c r="AE119">
        <f t="shared" si="4"/>
        <v>-39</v>
      </c>
      <c r="AG119" s="113">
        <f t="shared" si="5"/>
        <v>18.217195770305299</v>
      </c>
      <c r="AH119" s="124">
        <f t="shared" si="6"/>
        <v>7.8055681113567417</v>
      </c>
      <c r="AI119" s="124">
        <f t="shared" si="7"/>
        <v>0</v>
      </c>
      <c r="AJ119" s="124">
        <f t="shared" si="8"/>
        <v>0</v>
      </c>
      <c r="AK119" s="124">
        <f t="shared" si="9"/>
        <v>0.7542108817919595</v>
      </c>
      <c r="AL119" s="124">
        <f t="shared" si="10"/>
        <v>2.3208830691382154</v>
      </c>
      <c r="AM119" s="124">
        <f t="shared" si="11"/>
        <v>1.8030981199059895E-2</v>
      </c>
      <c r="AN119" s="124">
        <f t="shared" si="12"/>
        <v>9.0064841154145342E-3</v>
      </c>
      <c r="AO119" s="124">
        <f t="shared" si="13"/>
        <v>1.3434381331919276</v>
      </c>
    </row>
    <row r="120" spans="1:41" ht="14">
      <c r="A120">
        <f t="shared" si="2"/>
        <v>-38</v>
      </c>
      <c r="B120" s="21">
        <v>42</v>
      </c>
      <c r="C120" s="127">
        <f>C119+(C$158-C$119)/39</f>
        <v>19.940369192884187</v>
      </c>
      <c r="D120" s="125">
        <f>(($C$39*$C$118*0.72)*D$40)*('Product half-life and C flows'!B21/100)</f>
        <v>7.5396818066567706</v>
      </c>
      <c r="E120" s="26"/>
      <c r="F120" s="54">
        <f t="shared" ref="F120:G135" si="14">F119</f>
        <v>0</v>
      </c>
      <c r="G120" s="54">
        <f t="shared" si="14"/>
        <v>0.7542108817919595</v>
      </c>
      <c r="H120" s="125">
        <f>(H$118)*('Product half-life and C flows'!L21/100)</f>
        <v>2.2854077980161422</v>
      </c>
      <c r="I120" s="125">
        <f>(($C$39*$C$118*0.28)*H$41)*('Product half-life and C flows'!N21/100)</f>
        <v>3.5786354395657444E-2</v>
      </c>
      <c r="J120" s="125">
        <f>(($C$39*$C$118*0.28)*H$41)*(+'Product half-life and C flows'!P21/100)</f>
        <v>1.7875301895932786E-2</v>
      </c>
      <c r="K120" s="54">
        <f t="shared" ref="K120:K183" si="15">K119</f>
        <v>1.3434381331919276</v>
      </c>
      <c r="L120" s="26"/>
      <c r="M120" s="80"/>
      <c r="N120" s="80"/>
      <c r="O120" s="80"/>
      <c r="P120" s="81"/>
      <c r="Q120" s="81"/>
      <c r="R120" s="81"/>
      <c r="S120" s="81"/>
      <c r="T120" s="81"/>
      <c r="U120" s="3"/>
      <c r="V120" s="88"/>
      <c r="W120" s="88"/>
      <c r="X120" s="88"/>
      <c r="Y120" s="88"/>
      <c r="Z120" s="88"/>
      <c r="AA120" s="88"/>
      <c r="AB120" s="88"/>
      <c r="AC120" s="88"/>
      <c r="AE120">
        <f t="shared" si="4"/>
        <v>-38</v>
      </c>
      <c r="AG120" s="113">
        <f t="shared" si="5"/>
        <v>19.940369192884187</v>
      </c>
      <c r="AH120" s="124">
        <f t="shared" si="6"/>
        <v>7.5396818066567706</v>
      </c>
      <c r="AI120" s="124">
        <f t="shared" si="7"/>
        <v>0</v>
      </c>
      <c r="AJ120" s="124">
        <f t="shared" si="8"/>
        <v>0</v>
      </c>
      <c r="AK120" s="124">
        <f t="shared" si="9"/>
        <v>0.7542108817919595</v>
      </c>
      <c r="AL120" s="124">
        <f t="shared" si="10"/>
        <v>2.2854077980161422</v>
      </c>
      <c r="AM120" s="124">
        <f t="shared" si="11"/>
        <v>3.5786354395657444E-2</v>
      </c>
      <c r="AN120" s="124">
        <f t="shared" si="12"/>
        <v>1.7875301895932786E-2</v>
      </c>
      <c r="AO120" s="124">
        <f t="shared" si="13"/>
        <v>1.3434381331919276</v>
      </c>
    </row>
    <row r="121" spans="1:41" ht="14">
      <c r="A121">
        <f t="shared" si="2"/>
        <v>-37</v>
      </c>
      <c r="B121" s="21">
        <v>43</v>
      </c>
      <c r="C121" s="127">
        <f t="shared" ref="C121:C157" si="16">C120+(C$158-C$119)/39</f>
        <v>21.663542615463076</v>
      </c>
      <c r="D121" s="125">
        <f>(($C$39*$C$118*0.72)*D$40)*('Product half-life and C flows'!B22/100)</f>
        <v>7.2828525655834877</v>
      </c>
      <c r="E121" s="26"/>
      <c r="F121" s="54">
        <f t="shared" si="14"/>
        <v>0</v>
      </c>
      <c r="G121" s="54">
        <f t="shared" si="14"/>
        <v>0.7542108817919595</v>
      </c>
      <c r="H121" s="125">
        <f>(H$118)*('Product half-life and C flows'!L22/100)</f>
        <v>2.2504747751778877</v>
      </c>
      <c r="I121" s="125">
        <f>(($C$39*$C$118*0.28)*H$41)*('Product half-life and C flows'!N22/100)</f>
        <v>5.3270332326203665E-2</v>
      </c>
      <c r="J121" s="125">
        <f>(($C$39*$C$118*0.28)*H$41)*(+'Product half-life and C flows'!P22/100)</f>
        <v>2.6608557605496335E-2</v>
      </c>
      <c r="K121" s="54">
        <f t="shared" si="15"/>
        <v>1.3434381331919276</v>
      </c>
      <c r="L121" s="26"/>
      <c r="M121" s="80"/>
      <c r="N121" s="80"/>
      <c r="O121" s="80"/>
      <c r="P121" s="81"/>
      <c r="Q121" s="81"/>
      <c r="R121" s="81"/>
      <c r="S121" s="81"/>
      <c r="T121" s="81"/>
      <c r="U121" s="3"/>
      <c r="V121" s="88"/>
      <c r="W121" s="88"/>
      <c r="X121" s="88"/>
      <c r="Y121" s="88"/>
      <c r="Z121" s="88"/>
      <c r="AA121" s="88"/>
      <c r="AB121" s="88"/>
      <c r="AC121" s="88"/>
      <c r="AE121">
        <f t="shared" si="4"/>
        <v>-37</v>
      </c>
      <c r="AG121" s="113">
        <f t="shared" si="5"/>
        <v>21.663542615463076</v>
      </c>
      <c r="AH121" s="124">
        <f t="shared" si="6"/>
        <v>7.2828525655834877</v>
      </c>
      <c r="AI121" s="124">
        <f t="shared" si="7"/>
        <v>0</v>
      </c>
      <c r="AJ121" s="124">
        <f t="shared" si="8"/>
        <v>0</v>
      </c>
      <c r="AK121" s="124">
        <f t="shared" si="9"/>
        <v>0.7542108817919595</v>
      </c>
      <c r="AL121" s="124">
        <f t="shared" si="10"/>
        <v>2.2504747751778877</v>
      </c>
      <c r="AM121" s="124">
        <f t="shared" si="11"/>
        <v>5.3270332326203665E-2</v>
      </c>
      <c r="AN121" s="124">
        <f t="shared" si="12"/>
        <v>2.6608557605496335E-2</v>
      </c>
      <c r="AO121" s="124">
        <f t="shared" si="13"/>
        <v>1.3434381331919276</v>
      </c>
    </row>
    <row r="122" spans="1:41" ht="14">
      <c r="A122">
        <f t="shared" si="2"/>
        <v>-36</v>
      </c>
      <c r="B122" s="21">
        <v>44</v>
      </c>
      <c r="C122" s="127">
        <f t="shared" si="16"/>
        <v>23.386716038041964</v>
      </c>
      <c r="D122" s="125">
        <f>(($C$39*$C$118*0.72)*D$40)*('Product half-life and C flows'!B23/100)</f>
        <v>7.0347718713006078</v>
      </c>
      <c r="E122" s="26"/>
      <c r="F122" s="54">
        <f t="shared" si="14"/>
        <v>0</v>
      </c>
      <c r="G122" s="54">
        <f t="shared" si="14"/>
        <v>0.7542108817919595</v>
      </c>
      <c r="H122" s="125">
        <f>(H$118)*('Product half-life and C flows'!L23/100)</f>
        <v>2.2160757122244639</v>
      </c>
      <c r="I122" s="125">
        <f>(($C$39*$C$118*0.28)*H$41)*('Product half-life and C flows'!N23/100)</f>
        <v>7.0487063334392447E-2</v>
      </c>
      <c r="J122" s="125">
        <f>(($C$39*$C$118*0.28)*H$41)*(+'Product half-life and C flows'!P23/100)</f>
        <v>3.520832334385237E-2</v>
      </c>
      <c r="K122" s="54">
        <f t="shared" si="15"/>
        <v>1.3434381331919276</v>
      </c>
      <c r="L122" s="26"/>
      <c r="M122" s="80"/>
      <c r="N122" s="80"/>
      <c r="O122" s="80"/>
      <c r="P122" s="81"/>
      <c r="Q122" s="81"/>
      <c r="R122" s="81"/>
      <c r="S122" s="81"/>
      <c r="T122" s="81"/>
      <c r="U122" s="3"/>
      <c r="V122" s="88"/>
      <c r="W122" s="88"/>
      <c r="X122" s="88"/>
      <c r="Y122" s="88"/>
      <c r="Z122" s="88"/>
      <c r="AA122" s="88"/>
      <c r="AB122" s="88"/>
      <c r="AC122" s="88"/>
      <c r="AE122">
        <f t="shared" si="4"/>
        <v>-36</v>
      </c>
      <c r="AG122" s="113">
        <f t="shared" si="5"/>
        <v>23.386716038041964</v>
      </c>
      <c r="AH122" s="124">
        <f t="shared" si="6"/>
        <v>7.0347718713006078</v>
      </c>
      <c r="AI122" s="124">
        <f t="shared" si="7"/>
        <v>0</v>
      </c>
      <c r="AJ122" s="124">
        <f t="shared" si="8"/>
        <v>0</v>
      </c>
      <c r="AK122" s="124">
        <f t="shared" si="9"/>
        <v>0.7542108817919595</v>
      </c>
      <c r="AL122" s="124">
        <f t="shared" si="10"/>
        <v>2.2160757122244639</v>
      </c>
      <c r="AM122" s="124">
        <f t="shared" si="11"/>
        <v>7.0487063334392447E-2</v>
      </c>
      <c r="AN122" s="124">
        <f t="shared" si="12"/>
        <v>3.520832334385237E-2</v>
      </c>
      <c r="AO122" s="124">
        <f t="shared" si="13"/>
        <v>1.3434381331919276</v>
      </c>
    </row>
    <row r="123" spans="1:41" ht="14">
      <c r="A123">
        <f t="shared" si="2"/>
        <v>-35</v>
      </c>
      <c r="B123" s="21">
        <v>45</v>
      </c>
      <c r="C123" s="127">
        <f t="shared" si="16"/>
        <v>25.109889460620852</v>
      </c>
      <c r="D123" s="125">
        <f>(($C$39*$C$118*0.72)*D$40)*('Product half-life and C flows'!B24/100)</f>
        <v>6.7951417161878744</v>
      </c>
      <c r="E123" s="26"/>
      <c r="F123" s="54">
        <f t="shared" si="14"/>
        <v>0</v>
      </c>
      <c r="G123" s="54">
        <f t="shared" si="14"/>
        <v>0.7542108817919595</v>
      </c>
      <c r="H123" s="125">
        <f>(H$118)*('Product half-life and C flows'!L24/100)</f>
        <v>2.1822024474471067</v>
      </c>
      <c r="I123" s="125">
        <f>(($C$39*$C$118*0.28)*H$41)*('Product half-life and C flows'!N24/100)</f>
        <v>8.7440632355459791E-2</v>
      </c>
      <c r="J123" s="125">
        <f>(($C$39*$C$118*0.28)*H$41)*(+'Product half-life and C flows'!P24/100)</f>
        <v>4.3676639538191703E-2</v>
      </c>
      <c r="K123" s="54">
        <f t="shared" si="15"/>
        <v>1.3434381331919276</v>
      </c>
      <c r="L123" s="26"/>
      <c r="M123" s="80"/>
      <c r="N123" s="80"/>
      <c r="O123" s="80"/>
      <c r="P123" s="81"/>
      <c r="Q123" s="81"/>
      <c r="R123" s="81"/>
      <c r="S123" s="81"/>
      <c r="T123" s="81"/>
      <c r="U123" s="3"/>
      <c r="V123" s="88"/>
      <c r="W123" s="88"/>
      <c r="X123" s="88"/>
      <c r="Y123" s="88"/>
      <c r="Z123" s="88"/>
      <c r="AA123" s="88"/>
      <c r="AB123" s="88"/>
      <c r="AC123" s="88"/>
      <c r="AE123">
        <f t="shared" si="4"/>
        <v>-35</v>
      </c>
      <c r="AG123" s="113">
        <f t="shared" si="5"/>
        <v>25.109889460620852</v>
      </c>
      <c r="AH123" s="124">
        <f t="shared" si="6"/>
        <v>6.7951417161878744</v>
      </c>
      <c r="AI123" s="124">
        <f t="shared" si="7"/>
        <v>0</v>
      </c>
      <c r="AJ123" s="124">
        <f t="shared" si="8"/>
        <v>0</v>
      </c>
      <c r="AK123" s="124">
        <f t="shared" si="9"/>
        <v>0.7542108817919595</v>
      </c>
      <c r="AL123" s="124">
        <f t="shared" si="10"/>
        <v>2.1822024474471067</v>
      </c>
      <c r="AM123" s="124">
        <f t="shared" si="11"/>
        <v>8.7440632355459791E-2</v>
      </c>
      <c r="AN123" s="124">
        <f t="shared" si="12"/>
        <v>4.3676639538191703E-2</v>
      </c>
      <c r="AO123" s="124">
        <f t="shared" si="13"/>
        <v>1.3434381331919276</v>
      </c>
    </row>
    <row r="124" spans="1:41" ht="14">
      <c r="A124">
        <f t="shared" si="2"/>
        <v>-34</v>
      </c>
      <c r="B124" s="21">
        <v>46</v>
      </c>
      <c r="C124" s="127">
        <f t="shared" si="16"/>
        <v>26.833062883199741</v>
      </c>
      <c r="D124" s="125">
        <f>(($C$39*$C$118*0.72)*D$40)*('Product half-life and C flows'!B25/100)</f>
        <v>6.56367424385859</v>
      </c>
      <c r="E124" s="26"/>
      <c r="F124" s="54">
        <f t="shared" si="14"/>
        <v>0</v>
      </c>
      <c r="G124" s="54">
        <f t="shared" si="14"/>
        <v>0.7542108817919595</v>
      </c>
      <c r="H124" s="125">
        <f>(H$118)*('Product half-life and C flows'!L25/100)</f>
        <v>2.1488469438907889</v>
      </c>
      <c r="I124" s="125">
        <f>(($C$39*$C$118*0.28)*H$41)*('Product half-life and C flows'!N25/100)</f>
        <v>0.10413506188539691</v>
      </c>
      <c r="J124" s="125">
        <f>(($C$39*$C$118*0.28)*H$41)*(+'Product half-life and C flows'!P25/100)</f>
        <v>5.2015515427271189E-2</v>
      </c>
      <c r="K124" s="54">
        <f t="shared" si="15"/>
        <v>1.3434381331919276</v>
      </c>
      <c r="L124" s="26"/>
      <c r="M124" s="80"/>
      <c r="N124" s="80"/>
      <c r="O124" s="80"/>
      <c r="P124" s="81"/>
      <c r="Q124" s="81"/>
      <c r="R124" s="81"/>
      <c r="S124" s="81"/>
      <c r="T124" s="81"/>
      <c r="U124" s="3"/>
      <c r="V124" s="88"/>
      <c r="W124" s="88"/>
      <c r="X124" s="88"/>
      <c r="Y124" s="88"/>
      <c r="Z124" s="88"/>
      <c r="AA124" s="88"/>
      <c r="AB124" s="88"/>
      <c r="AC124" s="88"/>
      <c r="AE124">
        <f t="shared" si="4"/>
        <v>-34</v>
      </c>
      <c r="AG124" s="113">
        <f t="shared" si="5"/>
        <v>26.833062883199741</v>
      </c>
      <c r="AH124" s="124">
        <f t="shared" si="6"/>
        <v>6.56367424385859</v>
      </c>
      <c r="AI124" s="124">
        <f t="shared" si="7"/>
        <v>0</v>
      </c>
      <c r="AJ124" s="124">
        <f t="shared" si="8"/>
        <v>0</v>
      </c>
      <c r="AK124" s="124">
        <f t="shared" si="9"/>
        <v>0.7542108817919595</v>
      </c>
      <c r="AL124" s="124">
        <f t="shared" si="10"/>
        <v>2.1488469438907889</v>
      </c>
      <c r="AM124" s="124">
        <f t="shared" si="11"/>
        <v>0.10413506188539691</v>
      </c>
      <c r="AN124" s="124">
        <f t="shared" si="12"/>
        <v>5.2015515427271189E-2</v>
      </c>
      <c r="AO124" s="124">
        <f t="shared" si="13"/>
        <v>1.3434381331919276</v>
      </c>
    </row>
    <row r="125" spans="1:41" ht="14">
      <c r="A125">
        <f t="shared" si="2"/>
        <v>-33</v>
      </c>
      <c r="B125" s="21">
        <v>47</v>
      </c>
      <c r="C125" s="127">
        <f t="shared" si="16"/>
        <v>28.556236305778629</v>
      </c>
      <c r="D125" s="125">
        <f>(($C$39*$C$118*0.72)*D$40)*('Product half-life and C flows'!B26/100)</f>
        <v>6.3400914033713285</v>
      </c>
      <c r="E125" s="26"/>
      <c r="F125" s="54">
        <f t="shared" si="14"/>
        <v>0</v>
      </c>
      <c r="G125" s="54">
        <f t="shared" si="14"/>
        <v>0.7542108817919595</v>
      </c>
      <c r="H125" s="125">
        <f>(H$118)*('Product half-life and C flows'!L26/100)</f>
        <v>2.1160012874473257</v>
      </c>
      <c r="I125" s="125">
        <f>(($C$39*$C$118*0.28)*H$41)*('Product half-life and C flows'!N26/100)</f>
        <v>0.12057431293535013</v>
      </c>
      <c r="J125" s="125">
        <f>(($C$39*$C$118*0.28)*H$41)*(+'Product half-life and C flows'!P26/100)</f>
        <v>6.0226929538136936E-2</v>
      </c>
      <c r="K125" s="54">
        <f t="shared" si="15"/>
        <v>1.3434381331919276</v>
      </c>
      <c r="L125" s="26"/>
      <c r="M125" s="80"/>
      <c r="N125" s="80"/>
      <c r="O125" s="80"/>
      <c r="P125" s="81"/>
      <c r="Q125" s="81"/>
      <c r="R125" s="81"/>
      <c r="S125" s="81"/>
      <c r="T125" s="81"/>
      <c r="U125" s="3"/>
      <c r="V125" s="88"/>
      <c r="W125" s="88"/>
      <c r="X125" s="88"/>
      <c r="Y125" s="88"/>
      <c r="Z125" s="88"/>
      <c r="AA125" s="88"/>
      <c r="AB125" s="88"/>
      <c r="AC125" s="88"/>
      <c r="AE125">
        <f t="shared" si="4"/>
        <v>-33</v>
      </c>
      <c r="AG125" s="113">
        <f t="shared" si="5"/>
        <v>28.556236305778629</v>
      </c>
      <c r="AH125" s="124">
        <f t="shared" si="6"/>
        <v>6.3400914033713285</v>
      </c>
      <c r="AI125" s="124">
        <f t="shared" si="7"/>
        <v>0</v>
      </c>
      <c r="AJ125" s="124">
        <f t="shared" si="8"/>
        <v>0</v>
      </c>
      <c r="AK125" s="124">
        <f t="shared" si="9"/>
        <v>0.7542108817919595</v>
      </c>
      <c r="AL125" s="124">
        <f t="shared" si="10"/>
        <v>2.1160012874473257</v>
      </c>
      <c r="AM125" s="124">
        <f t="shared" si="11"/>
        <v>0.12057431293535013</v>
      </c>
      <c r="AN125" s="124">
        <f t="shared" si="12"/>
        <v>6.0226929538136936E-2</v>
      </c>
      <c r="AO125" s="124">
        <f t="shared" si="13"/>
        <v>1.3434381331919276</v>
      </c>
    </row>
    <row r="126" spans="1:41" ht="14">
      <c r="A126">
        <f t="shared" si="2"/>
        <v>-32</v>
      </c>
      <c r="B126" s="21">
        <v>48</v>
      </c>
      <c r="C126" s="127">
        <f t="shared" si="16"/>
        <v>30.279409728357518</v>
      </c>
      <c r="D126" s="125">
        <f>(($C$39*$C$118*0.72)*D$40)*('Product half-life and C flows'!B27/100)</f>
        <v>6.1241246152204738</v>
      </c>
      <c r="E126" s="26"/>
      <c r="F126" s="54">
        <f t="shared" si="14"/>
        <v>0</v>
      </c>
      <c r="G126" s="54">
        <f t="shared" si="14"/>
        <v>0.7542108817919595</v>
      </c>
      <c r="H126" s="125">
        <f>(H$118)*('Product half-life and C flows'!L27/100)</f>
        <v>2.0836576849776316</v>
      </c>
      <c r="I126" s="125">
        <f>(($C$39*$C$118*0.28)*H$41)*('Product half-life and C flows'!N27/100)</f>
        <v>0.13676228597143189</v>
      </c>
      <c r="J126" s="125">
        <f>(($C$39*$C$118*0.28)*H$41)*(+'Product half-life and C flows'!P27/100)</f>
        <v>6.8312830155560389E-2</v>
      </c>
      <c r="K126" s="54">
        <f t="shared" si="15"/>
        <v>1.3434381331919276</v>
      </c>
      <c r="L126" s="26"/>
      <c r="M126" s="80"/>
      <c r="N126" s="80"/>
      <c r="O126" s="80"/>
      <c r="P126" s="81"/>
      <c r="Q126" s="81"/>
      <c r="R126" s="81"/>
      <c r="S126" s="81"/>
      <c r="T126" s="81"/>
      <c r="U126" s="3"/>
      <c r="V126" s="88"/>
      <c r="W126" s="88"/>
      <c r="X126" s="88"/>
      <c r="Y126" s="88"/>
      <c r="Z126" s="88"/>
      <c r="AA126" s="88"/>
      <c r="AB126" s="88"/>
      <c r="AC126" s="88"/>
      <c r="AE126">
        <f t="shared" si="4"/>
        <v>-32</v>
      </c>
      <c r="AG126" s="113">
        <f t="shared" si="5"/>
        <v>30.279409728357518</v>
      </c>
      <c r="AH126" s="124">
        <f t="shared" si="6"/>
        <v>6.1241246152204738</v>
      </c>
      <c r="AI126" s="124">
        <f t="shared" si="7"/>
        <v>0</v>
      </c>
      <c r="AJ126" s="124">
        <f t="shared" si="8"/>
        <v>0</v>
      </c>
      <c r="AK126" s="124">
        <f t="shared" si="9"/>
        <v>0.7542108817919595</v>
      </c>
      <c r="AL126" s="124">
        <f t="shared" si="10"/>
        <v>2.0836576849776316</v>
      </c>
      <c r="AM126" s="124">
        <f t="shared" si="11"/>
        <v>0.13676228597143189</v>
      </c>
      <c r="AN126" s="124">
        <f t="shared" si="12"/>
        <v>6.8312830155560389E-2</v>
      </c>
      <c r="AO126" s="124">
        <f t="shared" si="13"/>
        <v>1.3434381331919276</v>
      </c>
    </row>
    <row r="127" spans="1:41" ht="14">
      <c r="A127">
        <f t="shared" si="2"/>
        <v>-31</v>
      </c>
      <c r="B127" s="21">
        <v>49</v>
      </c>
      <c r="C127" s="127">
        <f t="shared" si="16"/>
        <v>32.00258315093641</v>
      </c>
      <c r="D127" s="125">
        <f>(($C$39*$C$118*0.72)*D$40)*('Product half-life and C flows'!B28/100)</f>
        <v>5.9155144487043465</v>
      </c>
      <c r="E127" s="26"/>
      <c r="F127" s="54">
        <f t="shared" si="14"/>
        <v>0</v>
      </c>
      <c r="G127" s="54">
        <f t="shared" si="14"/>
        <v>0.7542108817919595</v>
      </c>
      <c r="H127" s="125">
        <f>(H$118)*('Product half-life and C flows'!L28/100)</f>
        <v>2.0518084624626773</v>
      </c>
      <c r="I127" s="125">
        <f>(($C$39*$C$118*0.28)*H$41)*('Product half-life and C flows'!N28/100)</f>
        <v>0.15270282184016651</v>
      </c>
      <c r="J127" s="125">
        <f>(($C$39*$C$118*0.28)*H$41)*(+'Product half-life and C flows'!P28/100)</f>
        <v>7.6275135784298953E-2</v>
      </c>
      <c r="K127" s="54">
        <f t="shared" si="15"/>
        <v>1.3434381331919276</v>
      </c>
      <c r="L127" s="26"/>
      <c r="M127" s="80"/>
      <c r="N127" s="80"/>
      <c r="O127" s="82"/>
      <c r="P127" s="81"/>
      <c r="Q127" s="81"/>
      <c r="R127" s="81"/>
      <c r="S127" s="81"/>
      <c r="T127" s="81"/>
      <c r="U127" s="3"/>
      <c r="V127" s="88"/>
      <c r="W127" s="88"/>
      <c r="X127" s="88"/>
      <c r="Y127" s="88"/>
      <c r="Z127" s="88"/>
      <c r="AA127" s="88"/>
      <c r="AB127" s="88"/>
      <c r="AC127" s="88"/>
      <c r="AE127">
        <f t="shared" si="4"/>
        <v>-31</v>
      </c>
      <c r="AG127" s="113">
        <f t="shared" si="5"/>
        <v>32.00258315093641</v>
      </c>
      <c r="AH127" s="124">
        <f t="shared" si="6"/>
        <v>5.9155144487043465</v>
      </c>
      <c r="AI127" s="124">
        <f t="shared" si="7"/>
        <v>0</v>
      </c>
      <c r="AJ127" s="124">
        <f t="shared" si="8"/>
        <v>0</v>
      </c>
      <c r="AK127" s="124">
        <f t="shared" si="9"/>
        <v>0.7542108817919595</v>
      </c>
      <c r="AL127" s="124">
        <f t="shared" si="10"/>
        <v>2.0518084624626773</v>
      </c>
      <c r="AM127" s="124">
        <f t="shared" si="11"/>
        <v>0.15270282184016651</v>
      </c>
      <c r="AN127" s="124">
        <f t="shared" si="12"/>
        <v>7.6275135784298953E-2</v>
      </c>
      <c r="AO127" s="124">
        <f t="shared" si="13"/>
        <v>1.3434381331919276</v>
      </c>
    </row>
    <row r="128" spans="1:41" ht="14">
      <c r="A128">
        <f t="shared" si="2"/>
        <v>-30</v>
      </c>
      <c r="B128" s="21">
        <v>50</v>
      </c>
      <c r="C128" s="127">
        <f t="shared" si="16"/>
        <v>33.725756573515298</v>
      </c>
      <c r="D128" s="125">
        <f>(($C$39*$C$118*0.72)*D$40)*('Product half-life and C flows'!B29/100)</f>
        <v>5.7140103102833582</v>
      </c>
      <c r="E128" s="26"/>
      <c r="F128" s="54">
        <f t="shared" si="14"/>
        <v>0</v>
      </c>
      <c r="G128" s="54">
        <f t="shared" si="14"/>
        <v>0.7542108817919595</v>
      </c>
      <c r="H128" s="125">
        <f>(H$118)*('Product half-life and C flows'!L29/100)</f>
        <v>2.0204460631827104</v>
      </c>
      <c r="I128" s="125">
        <f>(($C$39*$C$118*0.28)*H$41)*('Product half-life and C flows'!N29/100)</f>
        <v>0.16839970267978996</v>
      </c>
      <c r="J128" s="125">
        <f>(($C$39*$C$118*0.28)*H$41)*(+'Product half-life and C flows'!P29/100)</f>
        <v>8.4115735604290698E-2</v>
      </c>
      <c r="K128" s="54">
        <f t="shared" si="15"/>
        <v>1.3434381331919276</v>
      </c>
      <c r="L128" s="26"/>
      <c r="M128" s="80"/>
      <c r="N128" s="80"/>
      <c r="O128" s="82"/>
      <c r="P128" s="81"/>
      <c r="Q128" s="81"/>
      <c r="R128" s="81"/>
      <c r="S128" s="81"/>
      <c r="T128" s="81"/>
      <c r="U128" s="3"/>
      <c r="V128" s="88"/>
      <c r="W128" s="88"/>
      <c r="X128" s="88"/>
      <c r="Y128" s="88"/>
      <c r="Z128" s="88"/>
      <c r="AA128" s="88"/>
      <c r="AB128" s="88"/>
      <c r="AC128" s="88"/>
      <c r="AE128">
        <f t="shared" si="4"/>
        <v>-30</v>
      </c>
      <c r="AG128" s="113">
        <f t="shared" si="5"/>
        <v>33.725756573515298</v>
      </c>
      <c r="AH128" s="124">
        <f t="shared" si="6"/>
        <v>5.7140103102833582</v>
      </c>
      <c r="AI128" s="124">
        <f t="shared" si="7"/>
        <v>0</v>
      </c>
      <c r="AJ128" s="124">
        <f t="shared" si="8"/>
        <v>0</v>
      </c>
      <c r="AK128" s="124">
        <f t="shared" si="9"/>
        <v>0.7542108817919595</v>
      </c>
      <c r="AL128" s="124">
        <f t="shared" si="10"/>
        <v>2.0204460631827104</v>
      </c>
      <c r="AM128" s="124">
        <f t="shared" si="11"/>
        <v>0.16839970267978996</v>
      </c>
      <c r="AN128" s="124">
        <f t="shared" si="12"/>
        <v>8.4115735604290698E-2</v>
      </c>
      <c r="AO128" s="124">
        <f t="shared" si="13"/>
        <v>1.3434381331919276</v>
      </c>
    </row>
    <row r="129" spans="1:41" ht="14">
      <c r="A129">
        <f t="shared" si="2"/>
        <v>-29</v>
      </c>
      <c r="B129" s="21">
        <v>51</v>
      </c>
      <c r="C129" s="127">
        <f t="shared" si="16"/>
        <v>35.448929996094186</v>
      </c>
      <c r="D129" s="125">
        <f>(($C$39*$C$118*0.72)*D$40)*('Product half-life and C flows'!B30/100)</f>
        <v>5.5193701425538242</v>
      </c>
      <c r="E129" s="26"/>
      <c r="F129" s="54">
        <f t="shared" si="14"/>
        <v>0</v>
      </c>
      <c r="G129" s="54">
        <f t="shared" si="14"/>
        <v>0.7542108817919595</v>
      </c>
      <c r="H129" s="125">
        <f>(H$118)*('Product half-life and C flows'!L30/100)</f>
        <v>1.9895630459243074</v>
      </c>
      <c r="I129" s="125">
        <f>(($C$39*$C$118*0.28)*H$41)*('Product half-life and C flows'!N30/100)</f>
        <v>0.18385665281762081</v>
      </c>
      <c r="J129" s="125">
        <f>(($C$39*$C$118*0.28)*H$41)*(+'Product half-life and C flows'!P30/100)</f>
        <v>9.1836489918891512E-2</v>
      </c>
      <c r="K129" s="54">
        <f t="shared" si="15"/>
        <v>1.3434381331919276</v>
      </c>
      <c r="L129" s="26"/>
      <c r="M129" s="80"/>
      <c r="N129" s="80"/>
      <c r="O129" s="82"/>
      <c r="P129" s="81"/>
      <c r="Q129" s="81"/>
      <c r="R129" s="81"/>
      <c r="S129" s="81"/>
      <c r="T129" s="81"/>
      <c r="U129" s="3"/>
      <c r="V129" s="88"/>
      <c r="W129" s="88"/>
      <c r="X129" s="88"/>
      <c r="Y129" s="88"/>
      <c r="Z129" s="88"/>
      <c r="AA129" s="88"/>
      <c r="AB129" s="88"/>
      <c r="AC129" s="88"/>
      <c r="AE129">
        <f t="shared" si="4"/>
        <v>-29</v>
      </c>
      <c r="AG129" s="113">
        <f t="shared" si="5"/>
        <v>35.448929996094186</v>
      </c>
      <c r="AH129" s="124">
        <f t="shared" si="6"/>
        <v>5.5193701425538242</v>
      </c>
      <c r="AI129" s="124">
        <f t="shared" si="7"/>
        <v>0</v>
      </c>
      <c r="AJ129" s="124">
        <f t="shared" si="8"/>
        <v>0</v>
      </c>
      <c r="AK129" s="124">
        <f t="shared" si="9"/>
        <v>0.7542108817919595</v>
      </c>
      <c r="AL129" s="124">
        <f t="shared" si="10"/>
        <v>1.9895630459243074</v>
      </c>
      <c r="AM129" s="124">
        <f t="shared" si="11"/>
        <v>0.18385665281762081</v>
      </c>
      <c r="AN129" s="124">
        <f t="shared" si="12"/>
        <v>9.1836489918891512E-2</v>
      </c>
      <c r="AO129" s="124">
        <f t="shared" si="13"/>
        <v>1.3434381331919276</v>
      </c>
    </row>
    <row r="130" spans="1:41" ht="14">
      <c r="A130">
        <f t="shared" si="2"/>
        <v>-28</v>
      </c>
      <c r="B130" s="21">
        <v>52</v>
      </c>
      <c r="C130" s="127">
        <f t="shared" si="16"/>
        <v>37.172103418673075</v>
      </c>
      <c r="D130" s="125">
        <f>(($C$39*$C$118*0.72)*D$40)*('Product half-life and C flows'!B31/100)</f>
        <v>5.331360133475842</v>
      </c>
      <c r="E130" s="26"/>
      <c r="F130" s="54">
        <f t="shared" si="14"/>
        <v>0</v>
      </c>
      <c r="G130" s="54">
        <f t="shared" si="14"/>
        <v>0.7542108817919595</v>
      </c>
      <c r="H130" s="125">
        <f>(H$118)*('Product half-life and C flows'!L31/100)</f>
        <v>1.9591520832148288</v>
      </c>
      <c r="I130" s="125">
        <f>(($C$39*$C$118*0.28)*H$41)*('Product half-life and C flows'!N31/100)</f>
        <v>0.19907733965371482</v>
      </c>
      <c r="J130" s="125">
        <f>(($C$39*$C$118*0.28)*H$41)*(+'Product half-life and C flows'!P31/100)</f>
        <v>9.9439230596261155E-2</v>
      </c>
      <c r="K130" s="54">
        <f t="shared" si="15"/>
        <v>1.3434381331919276</v>
      </c>
      <c r="L130" s="26"/>
      <c r="M130" s="80"/>
      <c r="N130" s="80"/>
      <c r="O130" s="82"/>
      <c r="P130" s="81"/>
      <c r="Q130" s="81"/>
      <c r="R130" s="81"/>
      <c r="S130" s="81"/>
      <c r="T130" s="81"/>
      <c r="U130" s="3"/>
      <c r="V130" s="88"/>
      <c r="W130" s="88"/>
      <c r="X130" s="88"/>
      <c r="Y130" s="88"/>
      <c r="Z130" s="88"/>
      <c r="AA130" s="88"/>
      <c r="AB130" s="88"/>
      <c r="AC130" s="88"/>
      <c r="AE130">
        <f t="shared" si="4"/>
        <v>-28</v>
      </c>
      <c r="AG130" s="113">
        <f t="shared" si="5"/>
        <v>37.172103418673075</v>
      </c>
      <c r="AH130" s="124">
        <f t="shared" si="6"/>
        <v>5.331360133475842</v>
      </c>
      <c r="AI130" s="124">
        <f t="shared" si="7"/>
        <v>0</v>
      </c>
      <c r="AJ130" s="124">
        <f t="shared" si="8"/>
        <v>0</v>
      </c>
      <c r="AK130" s="124">
        <f t="shared" si="9"/>
        <v>0.7542108817919595</v>
      </c>
      <c r="AL130" s="124">
        <f t="shared" si="10"/>
        <v>1.9591520832148288</v>
      </c>
      <c r="AM130" s="124">
        <f t="shared" si="11"/>
        <v>0.19907733965371482</v>
      </c>
      <c r="AN130" s="124">
        <f t="shared" si="12"/>
        <v>9.9439230596261155E-2</v>
      </c>
      <c r="AO130" s="124">
        <f t="shared" si="13"/>
        <v>1.3434381331919276</v>
      </c>
    </row>
    <row r="131" spans="1:41" ht="14">
      <c r="A131">
        <f t="shared" si="2"/>
        <v>-27</v>
      </c>
      <c r="B131" s="21">
        <v>53</v>
      </c>
      <c r="C131" s="127">
        <f t="shared" si="16"/>
        <v>38.895276841251963</v>
      </c>
      <c r="D131" s="125">
        <f>(($C$39*$C$118*0.72)*D$40)*('Product half-life and C flows'!B32/100)</f>
        <v>5.1497544355059297</v>
      </c>
      <c r="E131" s="26"/>
      <c r="F131" s="54">
        <f t="shared" si="14"/>
        <v>0</v>
      </c>
      <c r="G131" s="54">
        <f t="shared" si="14"/>
        <v>0.7542108817919595</v>
      </c>
      <c r="H131" s="125">
        <f>(H$118)*('Product half-life and C flows'!L32/100)</f>
        <v>1.9292059595838664</v>
      </c>
      <c r="I131" s="125">
        <f>(($C$39*$C$118*0.28)*H$41)*('Product half-life and C flows'!N32/100)</f>
        <v>0.21406537453101146</v>
      </c>
      <c r="J131" s="125">
        <f>(($C$39*$C$118*0.28)*H$41)*(+'Product half-life and C flows'!P32/100)</f>
        <v>0.10692576150400175</v>
      </c>
      <c r="K131" s="54">
        <f t="shared" si="15"/>
        <v>1.3434381331919276</v>
      </c>
      <c r="L131" s="26"/>
      <c r="M131" s="80"/>
      <c r="N131" s="80"/>
      <c r="O131" s="82"/>
      <c r="P131" s="81"/>
      <c r="Q131" s="81"/>
      <c r="R131" s="81"/>
      <c r="S131" s="81"/>
      <c r="T131" s="81"/>
      <c r="U131" s="3"/>
      <c r="V131" s="88"/>
      <c r="W131" s="88"/>
      <c r="X131" s="88"/>
      <c r="Y131" s="88"/>
      <c r="Z131" s="88"/>
      <c r="AA131" s="88"/>
      <c r="AB131" s="88"/>
      <c r="AC131" s="88"/>
      <c r="AE131">
        <f t="shared" si="4"/>
        <v>-27</v>
      </c>
      <c r="AG131" s="113">
        <f t="shared" si="5"/>
        <v>38.895276841251963</v>
      </c>
      <c r="AH131" s="124">
        <f t="shared" si="6"/>
        <v>5.1497544355059297</v>
      </c>
      <c r="AI131" s="124">
        <f t="shared" si="7"/>
        <v>0</v>
      </c>
      <c r="AJ131" s="124">
        <f t="shared" si="8"/>
        <v>0</v>
      </c>
      <c r="AK131" s="124">
        <f t="shared" si="9"/>
        <v>0.7542108817919595</v>
      </c>
      <c r="AL131" s="124">
        <f t="shared" si="10"/>
        <v>1.9292059595838664</v>
      </c>
      <c r="AM131" s="124">
        <f t="shared" si="11"/>
        <v>0.21406537453101146</v>
      </c>
      <c r="AN131" s="124">
        <f t="shared" si="12"/>
        <v>0.10692576150400175</v>
      </c>
      <c r="AO131" s="124">
        <f t="shared" si="13"/>
        <v>1.3434381331919276</v>
      </c>
    </row>
    <row r="132" spans="1:41" ht="14">
      <c r="A132">
        <f t="shared" si="2"/>
        <v>-26</v>
      </c>
      <c r="B132" s="21">
        <v>54</v>
      </c>
      <c r="C132" s="127">
        <f t="shared" si="16"/>
        <v>40.618450263830852</v>
      </c>
      <c r="D132" s="125">
        <f>(($C$39*$C$118*0.72)*D$40)*('Product half-life and C flows'!B33/100)</f>
        <v>4.974334894297038</v>
      </c>
      <c r="E132" s="26"/>
      <c r="F132" s="54">
        <f t="shared" si="14"/>
        <v>0</v>
      </c>
      <c r="G132" s="54">
        <f t="shared" si="14"/>
        <v>0.7542108817919595</v>
      </c>
      <c r="H132" s="125">
        <f>(H$118)*('Product half-life and C flows'!L33/100)</f>
        <v>1.8997175698512594</v>
      </c>
      <c r="I132" s="125">
        <f>(($C$39*$C$118*0.28)*H$41)*('Product half-life and C flows'!N33/100)</f>
        <v>0.22882431359218125</v>
      </c>
      <c r="J132" s="125">
        <f>(($C$39*$C$118*0.28)*H$41)*(+'Product half-life and C flows'!P33/100)</f>
        <v>0.11429785893715347</v>
      </c>
      <c r="K132" s="54">
        <f t="shared" si="15"/>
        <v>1.3434381331919276</v>
      </c>
      <c r="L132" s="26"/>
      <c r="M132" s="80"/>
      <c r="N132" s="80"/>
      <c r="O132" s="82"/>
      <c r="P132" s="81"/>
      <c r="Q132" s="81"/>
      <c r="R132" s="81"/>
      <c r="S132" s="81"/>
      <c r="T132" s="81"/>
      <c r="U132" s="3"/>
      <c r="V132" s="88"/>
      <c r="W132" s="88"/>
      <c r="X132" s="88"/>
      <c r="Y132" s="88"/>
      <c r="Z132" s="88"/>
      <c r="AA132" s="88"/>
      <c r="AB132" s="88"/>
      <c r="AC132" s="88"/>
      <c r="AE132">
        <f t="shared" si="4"/>
        <v>-26</v>
      </c>
      <c r="AG132" s="113">
        <f t="shared" si="5"/>
        <v>40.618450263830852</v>
      </c>
      <c r="AH132" s="124">
        <f t="shared" si="6"/>
        <v>4.974334894297038</v>
      </c>
      <c r="AI132" s="124">
        <f t="shared" si="7"/>
        <v>0</v>
      </c>
      <c r="AJ132" s="124">
        <f t="shared" si="8"/>
        <v>0</v>
      </c>
      <c r="AK132" s="124">
        <f t="shared" si="9"/>
        <v>0.7542108817919595</v>
      </c>
      <c r="AL132" s="124">
        <f t="shared" si="10"/>
        <v>1.8997175698512594</v>
      </c>
      <c r="AM132" s="124">
        <f t="shared" si="11"/>
        <v>0.22882431359218125</v>
      </c>
      <c r="AN132" s="124">
        <f t="shared" si="12"/>
        <v>0.11429785893715347</v>
      </c>
      <c r="AO132" s="124">
        <f t="shared" si="13"/>
        <v>1.3434381331919276</v>
      </c>
    </row>
    <row r="133" spans="1:41" ht="14">
      <c r="A133">
        <f t="shared" si="2"/>
        <v>-25</v>
      </c>
      <c r="B133" s="21">
        <v>55</v>
      </c>
      <c r="C133" s="127">
        <f t="shared" si="16"/>
        <v>42.34162368640974</v>
      </c>
      <c r="D133" s="125">
        <f>(($C$39*$C$118*0.72)*D$40)*('Product half-life and C flows'!B34/100)</f>
        <v>4.8048907866400405</v>
      </c>
      <c r="E133" s="26"/>
      <c r="F133" s="54">
        <f t="shared" si="14"/>
        <v>0</v>
      </c>
      <c r="G133" s="54">
        <f t="shared" si="14"/>
        <v>0.7542108817919595</v>
      </c>
      <c r="H133" s="125">
        <f>(H$118)*('Product half-life and C flows'!L34/100)</f>
        <v>1.8706799174412811</v>
      </c>
      <c r="I133" s="125">
        <f>(($C$39*$C$118*0.28)*H$41)*('Product half-life and C flows'!N34/100)</f>
        <v>0.24335765862337541</v>
      </c>
      <c r="J133" s="125">
        <f>(($C$39*$C$118*0.28)*H$41)*(+'Product half-life and C flows'!P34/100)</f>
        <v>0.12155727203964804</v>
      </c>
      <c r="K133" s="54">
        <f t="shared" si="15"/>
        <v>1.3434381331919276</v>
      </c>
      <c r="L133" s="26"/>
      <c r="M133" s="80"/>
      <c r="N133" s="80"/>
      <c r="O133" s="82"/>
      <c r="P133" s="81"/>
      <c r="Q133" s="81"/>
      <c r="R133" s="81"/>
      <c r="S133" s="81"/>
      <c r="T133" s="81"/>
      <c r="U133" s="3"/>
      <c r="V133" s="88"/>
      <c r="W133" s="88"/>
      <c r="X133" s="88"/>
      <c r="Y133" s="88"/>
      <c r="Z133" s="88"/>
      <c r="AA133" s="88"/>
      <c r="AB133" s="88"/>
      <c r="AC133" s="88"/>
      <c r="AE133">
        <f t="shared" si="4"/>
        <v>-25</v>
      </c>
      <c r="AG133" s="113">
        <f t="shared" si="5"/>
        <v>42.34162368640974</v>
      </c>
      <c r="AH133" s="124">
        <f t="shared" si="6"/>
        <v>4.8048907866400405</v>
      </c>
      <c r="AI133" s="124">
        <f t="shared" si="7"/>
        <v>0</v>
      </c>
      <c r="AJ133" s="124">
        <f t="shared" si="8"/>
        <v>0</v>
      </c>
      <c r="AK133" s="124">
        <f t="shared" si="9"/>
        <v>0.7542108817919595</v>
      </c>
      <c r="AL133" s="124">
        <f t="shared" si="10"/>
        <v>1.8706799174412811</v>
      </c>
      <c r="AM133" s="124">
        <f t="shared" si="11"/>
        <v>0.24335765862337541</v>
      </c>
      <c r="AN133" s="124">
        <f t="shared" si="12"/>
        <v>0.12155727203964804</v>
      </c>
      <c r="AO133" s="124">
        <f t="shared" si="13"/>
        <v>1.3434381331919276</v>
      </c>
    </row>
    <row r="134" spans="1:41" ht="14">
      <c r="A134">
        <f t="shared" si="2"/>
        <v>-24</v>
      </c>
      <c r="B134" s="21">
        <v>56</v>
      </c>
      <c r="C134" s="127">
        <f t="shared" si="16"/>
        <v>44.064797108988628</v>
      </c>
      <c r="D134" s="125">
        <f>(($C$39*$C$118*0.72)*D$40)*('Product half-life and C flows'!B35/100)</f>
        <v>4.6412185673318946</v>
      </c>
      <c r="E134" s="26"/>
      <c r="F134" s="54">
        <f t="shared" si="14"/>
        <v>0</v>
      </c>
      <c r="G134" s="54">
        <f t="shared" si="14"/>
        <v>0.7542108817919595</v>
      </c>
      <c r="H134" s="125">
        <f>(H$118)*('Product half-life and C flows'!L35/100)</f>
        <v>1.8420861127225936</v>
      </c>
      <c r="I134" s="125">
        <f>(($C$39*$C$118*0.28)*H$41)*('Product half-life and C flows'!N35/100)</f>
        <v>0.25766885788507859</v>
      </c>
      <c r="J134" s="125">
        <f>(($C$39*$C$118*0.28)*H$41)*(+'Product half-life and C flows'!P35/100)</f>
        <v>0.12870572321931997</v>
      </c>
      <c r="K134" s="54">
        <f t="shared" si="15"/>
        <v>1.3434381331919276</v>
      </c>
      <c r="L134" s="26"/>
      <c r="M134" s="80"/>
      <c r="N134" s="80"/>
      <c r="O134" s="82"/>
      <c r="P134" s="81"/>
      <c r="Q134" s="81"/>
      <c r="R134" s="81"/>
      <c r="S134" s="81"/>
      <c r="T134" s="81"/>
      <c r="U134" s="3"/>
      <c r="V134" s="88"/>
      <c r="W134" s="88"/>
      <c r="X134" s="88"/>
      <c r="Y134" s="88"/>
      <c r="Z134" s="88"/>
      <c r="AA134" s="88"/>
      <c r="AB134" s="88"/>
      <c r="AC134" s="88"/>
      <c r="AE134">
        <f t="shared" si="4"/>
        <v>-24</v>
      </c>
      <c r="AG134" s="113">
        <f t="shared" si="5"/>
        <v>44.064797108988628</v>
      </c>
      <c r="AH134" s="124">
        <f t="shared" si="6"/>
        <v>4.6412185673318946</v>
      </c>
      <c r="AI134" s="124">
        <f t="shared" si="7"/>
        <v>0</v>
      </c>
      <c r="AJ134" s="124">
        <f t="shared" si="8"/>
        <v>0</v>
      </c>
      <c r="AK134" s="124">
        <f t="shared" si="9"/>
        <v>0.7542108817919595</v>
      </c>
      <c r="AL134" s="124">
        <f t="shared" si="10"/>
        <v>1.8420861127225936</v>
      </c>
      <c r="AM134" s="124">
        <f t="shared" si="11"/>
        <v>0.25766885788507859</v>
      </c>
      <c r="AN134" s="124">
        <f t="shared" si="12"/>
        <v>0.12870572321931997</v>
      </c>
      <c r="AO134" s="124">
        <f t="shared" si="13"/>
        <v>1.3434381331919276</v>
      </c>
    </row>
    <row r="135" spans="1:41" ht="14">
      <c r="A135">
        <f t="shared" si="2"/>
        <v>-23</v>
      </c>
      <c r="B135" s="21">
        <v>57</v>
      </c>
      <c r="C135" s="127">
        <f t="shared" si="16"/>
        <v>45.787970531567517</v>
      </c>
      <c r="D135" s="125">
        <f>(($C$39*$C$118*0.72)*D$40)*('Product half-life and C flows'!B36/100)</f>
        <v>4.483121624666401</v>
      </c>
      <c r="E135" s="26"/>
      <c r="F135" s="54">
        <f t="shared" si="14"/>
        <v>0</v>
      </c>
      <c r="G135" s="54">
        <f t="shared" si="14"/>
        <v>0.7542108817919595</v>
      </c>
      <c r="H135" s="125">
        <f>(H$118)*('Product half-life and C flows'!L36/100)</f>
        <v>1.8139293713735753</v>
      </c>
      <c r="I135" s="125">
        <f>(($C$39*$C$118*0.28)*H$41)*('Product half-life and C flows'!N36/100)</f>
        <v>0.27176130693026213</v>
      </c>
      <c r="J135" s="125">
        <f>(($C$39*$C$118*0.28)*H$41)*(+'Product half-life and C flows'!P36/100)</f>
        <v>0.13574490855657448</v>
      </c>
      <c r="K135" s="54">
        <f t="shared" si="15"/>
        <v>1.3434381331919276</v>
      </c>
      <c r="L135" s="26"/>
      <c r="M135" s="80"/>
      <c r="N135" s="80"/>
      <c r="O135" s="82"/>
      <c r="P135" s="81"/>
      <c r="Q135" s="81"/>
      <c r="R135" s="81"/>
      <c r="S135" s="81"/>
      <c r="T135" s="81"/>
      <c r="U135" s="3"/>
      <c r="V135" s="88"/>
      <c r="W135" s="88"/>
      <c r="X135" s="88"/>
      <c r="Y135" s="88"/>
      <c r="Z135" s="88"/>
      <c r="AA135" s="88"/>
      <c r="AB135" s="88"/>
      <c r="AC135" s="88"/>
      <c r="AE135">
        <f t="shared" si="4"/>
        <v>-23</v>
      </c>
      <c r="AG135" s="113">
        <f t="shared" si="5"/>
        <v>45.787970531567517</v>
      </c>
      <c r="AH135" s="124">
        <f t="shared" si="6"/>
        <v>4.483121624666401</v>
      </c>
      <c r="AI135" s="124">
        <f t="shared" si="7"/>
        <v>0</v>
      </c>
      <c r="AJ135" s="124">
        <f t="shared" si="8"/>
        <v>0</v>
      </c>
      <c r="AK135" s="124">
        <f t="shared" si="9"/>
        <v>0.7542108817919595</v>
      </c>
      <c r="AL135" s="124">
        <f t="shared" si="10"/>
        <v>1.8139293713735753</v>
      </c>
      <c r="AM135" s="124">
        <f t="shared" si="11"/>
        <v>0.27176130693026213</v>
      </c>
      <c r="AN135" s="124">
        <f t="shared" si="12"/>
        <v>0.13574490855657448</v>
      </c>
      <c r="AO135" s="124">
        <f t="shared" si="13"/>
        <v>1.3434381331919276</v>
      </c>
    </row>
    <row r="136" spans="1:41" ht="14">
      <c r="A136">
        <f t="shared" si="2"/>
        <v>-22</v>
      </c>
      <c r="B136" s="21">
        <v>58</v>
      </c>
      <c r="C136" s="127">
        <f t="shared" si="16"/>
        <v>47.511143954146405</v>
      </c>
      <c r="D136" s="125">
        <f>(($C$39*$C$118*0.72)*D$40)*('Product half-life and C flows'!B37/100)</f>
        <v>4.3304100442538527</v>
      </c>
      <c r="E136" s="26"/>
      <c r="F136" s="54">
        <f t="shared" ref="F136:G151" si="17">F135</f>
        <v>0</v>
      </c>
      <c r="G136" s="54">
        <f t="shared" si="17"/>
        <v>0.7542108817919595</v>
      </c>
      <c r="H136" s="125">
        <f>(H$118)*('Product half-life and C flows'!L37/100)</f>
        <v>1.7862030127726385</v>
      </c>
      <c r="I136" s="125">
        <f>(($C$39*$C$118*0.28)*H$41)*('Product half-life and C flows'!N37/100)</f>
        <v>0.28563834941003102</v>
      </c>
      <c r="J136" s="125">
        <f>(($C$39*$C$118*0.28)*H$41)*(+'Product half-life and C flows'!P37/100)</f>
        <v>0.14267649820680869</v>
      </c>
      <c r="K136" s="54">
        <f t="shared" si="15"/>
        <v>1.3434381331919276</v>
      </c>
      <c r="L136" s="26"/>
      <c r="M136" s="80"/>
      <c r="N136" s="80"/>
      <c r="O136" s="82"/>
      <c r="P136" s="81"/>
      <c r="Q136" s="81"/>
      <c r="R136" s="81"/>
      <c r="S136" s="81"/>
      <c r="T136" s="81"/>
      <c r="U136" s="3"/>
      <c r="V136" s="88"/>
      <c r="W136" s="88"/>
      <c r="X136" s="88"/>
      <c r="Y136" s="88"/>
      <c r="Z136" s="88"/>
      <c r="AA136" s="88"/>
      <c r="AB136" s="88"/>
      <c r="AC136" s="88"/>
      <c r="AE136">
        <f t="shared" si="4"/>
        <v>-22</v>
      </c>
      <c r="AG136" s="113">
        <f t="shared" si="5"/>
        <v>47.511143954146405</v>
      </c>
      <c r="AH136" s="124">
        <f t="shared" si="6"/>
        <v>4.3304100442538527</v>
      </c>
      <c r="AI136" s="124">
        <f t="shared" si="7"/>
        <v>0</v>
      </c>
      <c r="AJ136" s="124">
        <f t="shared" si="8"/>
        <v>0</v>
      </c>
      <c r="AK136" s="124">
        <f t="shared" si="9"/>
        <v>0.7542108817919595</v>
      </c>
      <c r="AL136" s="124">
        <f t="shared" si="10"/>
        <v>1.7862030127726385</v>
      </c>
      <c r="AM136" s="124">
        <f t="shared" si="11"/>
        <v>0.28563834941003102</v>
      </c>
      <c r="AN136" s="124">
        <f t="shared" si="12"/>
        <v>0.14267649820680869</v>
      </c>
      <c r="AO136" s="124">
        <f t="shared" si="13"/>
        <v>1.3434381331919276</v>
      </c>
    </row>
    <row r="137" spans="1:41" ht="14">
      <c r="A137">
        <f t="shared" si="2"/>
        <v>-21</v>
      </c>
      <c r="B137" s="21">
        <v>59</v>
      </c>
      <c r="C137" s="127">
        <f t="shared" si="16"/>
        <v>49.234317376725294</v>
      </c>
      <c r="D137" s="125">
        <f>(($C$39*$C$118*0.72)*D$40)*('Product half-life and C flows'!B38/100)</f>
        <v>4.1829003808858447</v>
      </c>
      <c r="E137" s="26"/>
      <c r="F137" s="54">
        <f t="shared" si="17"/>
        <v>0</v>
      </c>
      <c r="G137" s="54">
        <f t="shared" si="17"/>
        <v>0.7542108817919595</v>
      </c>
      <c r="H137" s="125">
        <f>(H$118)*('Product half-life and C flows'!L38/100)</f>
        <v>1.7589004584131454</v>
      </c>
      <c r="I137" s="125">
        <f>(($C$39*$C$118*0.28)*H$41)*('Product half-life and C flows'!N38/100)</f>
        <v>0.29930327786695743</v>
      </c>
      <c r="J137" s="125">
        <f>(($C$39*$C$118*0.28)*H$41)*(+'Product half-life and C flows'!P38/100)</f>
        <v>0.14950213679668203</v>
      </c>
      <c r="K137" s="54">
        <f t="shared" si="15"/>
        <v>1.3434381331919276</v>
      </c>
      <c r="L137" s="26"/>
      <c r="M137" s="80"/>
      <c r="N137" s="80"/>
      <c r="O137" s="82"/>
      <c r="P137" s="81"/>
      <c r="Q137" s="81"/>
      <c r="R137" s="81"/>
      <c r="S137" s="81"/>
      <c r="T137" s="81"/>
      <c r="U137" s="3"/>
      <c r="V137" s="88"/>
      <c r="W137" s="88"/>
      <c r="X137" s="88"/>
      <c r="Y137" s="88"/>
      <c r="Z137" s="88"/>
      <c r="AA137" s="88"/>
      <c r="AB137" s="88"/>
      <c r="AC137" s="88"/>
      <c r="AE137">
        <f t="shared" si="4"/>
        <v>-21</v>
      </c>
      <c r="AG137" s="113">
        <f t="shared" si="5"/>
        <v>49.234317376725294</v>
      </c>
      <c r="AH137" s="124">
        <f t="shared" si="6"/>
        <v>4.1829003808858447</v>
      </c>
      <c r="AI137" s="124">
        <f t="shared" si="7"/>
        <v>0</v>
      </c>
      <c r="AJ137" s="124">
        <f t="shared" si="8"/>
        <v>0</v>
      </c>
      <c r="AK137" s="124">
        <f t="shared" si="9"/>
        <v>0.7542108817919595</v>
      </c>
      <c r="AL137" s="124">
        <f t="shared" si="10"/>
        <v>1.7589004584131454</v>
      </c>
      <c r="AM137" s="124">
        <f t="shared" si="11"/>
        <v>0.29930327786695743</v>
      </c>
      <c r="AN137" s="124">
        <f t="shared" si="12"/>
        <v>0.14950213679668203</v>
      </c>
      <c r="AO137" s="124">
        <f t="shared" si="13"/>
        <v>1.3434381331919276</v>
      </c>
    </row>
    <row r="138" spans="1:41" ht="14">
      <c r="A138">
        <f t="shared" si="2"/>
        <v>-20</v>
      </c>
      <c r="B138" s="21">
        <v>60</v>
      </c>
      <c r="C138" s="127">
        <f t="shared" si="16"/>
        <v>50.957490799304182</v>
      </c>
      <c r="D138" s="125">
        <f>(($C$39*$C$118*0.72)*D$40)*('Product half-life and C flows'!B39/100)</f>
        <v>4.0404154381712107</v>
      </c>
      <c r="E138" s="26"/>
      <c r="F138" s="54">
        <f t="shared" si="17"/>
        <v>0</v>
      </c>
      <c r="G138" s="54">
        <f t="shared" si="17"/>
        <v>0.7542108817919595</v>
      </c>
      <c r="H138" s="125">
        <f>(H$118)*('Product half-life and C flows'!L39/100)</f>
        <v>1.7320152303425582</v>
      </c>
      <c r="I138" s="125">
        <f>(($C$39*$C$118*0.28)*H$41)*('Product half-life and C flows'!N39/100)</f>
        <v>0.31275933451628624</v>
      </c>
      <c r="J138" s="125">
        <f>(($C$39*$C$118*0.28)*H$41)*(+'Product half-life and C flows'!P39/100)</f>
        <v>0.15622344381432879</v>
      </c>
      <c r="K138" s="54">
        <f t="shared" si="15"/>
        <v>1.3434381331919276</v>
      </c>
      <c r="L138" s="26"/>
      <c r="M138" s="80"/>
      <c r="N138" s="80"/>
      <c r="O138" s="82"/>
      <c r="P138" s="81"/>
      <c r="Q138" s="81"/>
      <c r="R138" s="81"/>
      <c r="S138" s="81"/>
      <c r="T138" s="81"/>
      <c r="U138" s="3"/>
      <c r="V138" s="88"/>
      <c r="W138" s="88"/>
      <c r="X138" s="88"/>
      <c r="Y138" s="88"/>
      <c r="Z138" s="88"/>
      <c r="AA138" s="88"/>
      <c r="AB138" s="88"/>
      <c r="AC138" s="88"/>
      <c r="AE138">
        <f t="shared" si="4"/>
        <v>-20</v>
      </c>
      <c r="AG138" s="113">
        <f t="shared" si="5"/>
        <v>50.957490799304182</v>
      </c>
      <c r="AH138" s="124">
        <f t="shared" si="6"/>
        <v>4.0404154381712107</v>
      </c>
      <c r="AI138" s="124">
        <f t="shared" si="7"/>
        <v>0</v>
      </c>
      <c r="AJ138" s="124">
        <f t="shared" si="8"/>
        <v>0</v>
      </c>
      <c r="AK138" s="124">
        <f t="shared" si="9"/>
        <v>0.7542108817919595</v>
      </c>
      <c r="AL138" s="124">
        <f t="shared" si="10"/>
        <v>1.7320152303425582</v>
      </c>
      <c r="AM138" s="124">
        <f t="shared" si="11"/>
        <v>0.31275933451628624</v>
      </c>
      <c r="AN138" s="124">
        <f t="shared" si="12"/>
        <v>0.15622344381432879</v>
      </c>
      <c r="AO138" s="124">
        <f t="shared" si="13"/>
        <v>1.3434381331919276</v>
      </c>
    </row>
    <row r="139" spans="1:41" ht="14">
      <c r="A139">
        <f t="shared" si="2"/>
        <v>-19</v>
      </c>
      <c r="B139" s="21">
        <v>61</v>
      </c>
      <c r="C139" s="127">
        <f t="shared" si="16"/>
        <v>52.68066422188307</v>
      </c>
      <c r="D139" s="125">
        <f>(($C$39*$C$118*0.72)*D$40)*('Product half-life and C flows'!B40/100)</f>
        <v>3.9027840556783708</v>
      </c>
      <c r="E139" s="26"/>
      <c r="F139" s="54">
        <f t="shared" si="17"/>
        <v>0</v>
      </c>
      <c r="G139" s="54">
        <f t="shared" si="17"/>
        <v>0.7542108817919595</v>
      </c>
      <c r="H139" s="125">
        <f>(H$118)*('Product half-life and C flows'!L40/100)</f>
        <v>1.7055409496254441</v>
      </c>
      <c r="I139" s="125">
        <f>(($C$39*$C$118*0.28)*H$41)*('Product half-life and C flows'!N40/100)</f>
        <v>0.32600971201520185</v>
      </c>
      <c r="J139" s="125">
        <f>(($C$39*$C$118*0.28)*H$41)*(+'Product half-life and C flows'!P40/100)</f>
        <v>0.16284201399360729</v>
      </c>
      <c r="K139" s="54">
        <f t="shared" si="15"/>
        <v>1.3434381331919276</v>
      </c>
      <c r="L139" s="26"/>
      <c r="M139" s="80"/>
      <c r="N139" s="80"/>
      <c r="O139" s="82"/>
      <c r="P139" s="81"/>
      <c r="Q139" s="81"/>
      <c r="R139" s="81"/>
      <c r="S139" s="81"/>
      <c r="T139" s="81"/>
      <c r="U139" s="3"/>
      <c r="V139" s="88"/>
      <c r="W139" s="88"/>
      <c r="X139" s="88"/>
      <c r="Y139" s="88"/>
      <c r="Z139" s="88"/>
      <c r="AA139" s="88"/>
      <c r="AB139" s="88"/>
      <c r="AC139" s="88"/>
      <c r="AE139">
        <f t="shared" si="4"/>
        <v>-19</v>
      </c>
      <c r="AG139" s="113">
        <f t="shared" si="5"/>
        <v>52.68066422188307</v>
      </c>
      <c r="AH139" s="124">
        <f t="shared" si="6"/>
        <v>3.9027840556783708</v>
      </c>
      <c r="AI139" s="124">
        <f t="shared" si="7"/>
        <v>0</v>
      </c>
      <c r="AJ139" s="124">
        <f t="shared" si="8"/>
        <v>0</v>
      </c>
      <c r="AK139" s="124">
        <f t="shared" si="9"/>
        <v>0.7542108817919595</v>
      </c>
      <c r="AL139" s="124">
        <f t="shared" si="10"/>
        <v>1.7055409496254441</v>
      </c>
      <c r="AM139" s="124">
        <f t="shared" si="11"/>
        <v>0.32600971201520185</v>
      </c>
      <c r="AN139" s="124">
        <f t="shared" si="12"/>
        <v>0.16284201399360729</v>
      </c>
      <c r="AO139" s="124">
        <f t="shared" si="13"/>
        <v>1.3434381331919276</v>
      </c>
    </row>
    <row r="140" spans="1:41" ht="14">
      <c r="A140">
        <f t="shared" si="2"/>
        <v>-18</v>
      </c>
      <c r="B140" s="21">
        <v>62</v>
      </c>
      <c r="C140" s="127">
        <f t="shared" si="16"/>
        <v>54.403837644461959</v>
      </c>
      <c r="D140" s="125">
        <f>(($C$39*$C$118*0.72)*D$40)*('Product half-life and C flows'!B41/100)</f>
        <v>3.7698409033283853</v>
      </c>
      <c r="E140" s="26"/>
      <c r="F140" s="54">
        <f t="shared" si="17"/>
        <v>0</v>
      </c>
      <c r="G140" s="54">
        <f t="shared" si="17"/>
        <v>0.7542108817919595</v>
      </c>
      <c r="H140" s="125">
        <f>(H$118)*('Product half-life and C flows'!L41/100)</f>
        <v>1.6794713348299748</v>
      </c>
      <c r="I140" s="125">
        <f>(($C$39*$C$118*0.28)*H$41)*('Product half-life and C flows'!N41/100)</f>
        <v>0.33905755422033429</v>
      </c>
      <c r="J140" s="125">
        <f>(($C$39*$C$118*0.28)*H$41)*(+'Product half-life and C flows'!P41/100)</f>
        <v>0.16935941769247465</v>
      </c>
      <c r="K140" s="54">
        <f t="shared" si="15"/>
        <v>1.3434381331919276</v>
      </c>
      <c r="L140" s="26"/>
      <c r="M140" s="80"/>
      <c r="N140" s="80"/>
      <c r="O140" s="82"/>
      <c r="P140" s="81"/>
      <c r="Q140" s="81"/>
      <c r="R140" s="81"/>
      <c r="S140" s="81"/>
      <c r="T140" s="81"/>
      <c r="U140" s="3"/>
      <c r="V140" s="88"/>
      <c r="W140" s="88"/>
      <c r="X140" s="88"/>
      <c r="Y140" s="88"/>
      <c r="Z140" s="88"/>
      <c r="AA140" s="88"/>
      <c r="AB140" s="88"/>
      <c r="AC140" s="88"/>
      <c r="AE140">
        <f t="shared" si="4"/>
        <v>-18</v>
      </c>
      <c r="AG140" s="113">
        <f t="shared" si="5"/>
        <v>54.403837644461959</v>
      </c>
      <c r="AH140" s="124">
        <f t="shared" si="6"/>
        <v>3.7698409033283853</v>
      </c>
      <c r="AI140" s="124">
        <f t="shared" si="7"/>
        <v>0</v>
      </c>
      <c r="AJ140" s="124">
        <f t="shared" si="8"/>
        <v>0</v>
      </c>
      <c r="AK140" s="124">
        <f t="shared" si="9"/>
        <v>0.7542108817919595</v>
      </c>
      <c r="AL140" s="124">
        <f t="shared" si="10"/>
        <v>1.6794713348299748</v>
      </c>
      <c r="AM140" s="124">
        <f t="shared" si="11"/>
        <v>0.33905755422033429</v>
      </c>
      <c r="AN140" s="124">
        <f t="shared" si="12"/>
        <v>0.16935941769247465</v>
      </c>
      <c r="AO140" s="124">
        <f t="shared" si="13"/>
        <v>1.3434381331919276</v>
      </c>
    </row>
    <row r="141" spans="1:41" ht="14">
      <c r="A141">
        <f t="shared" si="2"/>
        <v>-17</v>
      </c>
      <c r="B141" s="21">
        <v>63</v>
      </c>
      <c r="C141" s="127">
        <f t="shared" si="16"/>
        <v>56.127011067040847</v>
      </c>
      <c r="D141" s="125">
        <f>(($C$39*$C$118*0.72)*D$40)*('Product half-life and C flows'!B42/100)</f>
        <v>3.6414262827917443</v>
      </c>
      <c r="E141" s="26"/>
      <c r="F141" s="54">
        <f t="shared" si="17"/>
        <v>0</v>
      </c>
      <c r="G141" s="54">
        <f t="shared" si="17"/>
        <v>0.7542108817919595</v>
      </c>
      <c r="H141" s="125">
        <f>(H$118)*('Product half-life and C flows'!L42/100)</f>
        <v>1.6538002005375578</v>
      </c>
      <c r="I141" s="125">
        <f>(($C$39*$C$118*0.28)*H$41)*('Product half-life and C flows'!N42/100)</f>
        <v>0.35190595693368892</v>
      </c>
      <c r="J141" s="125">
        <f>(($C$39*$C$118*0.28)*H$41)*(+'Product half-life and C flows'!P42/100)</f>
        <v>0.17577720126557886</v>
      </c>
      <c r="K141" s="54">
        <f t="shared" si="15"/>
        <v>1.3434381331919276</v>
      </c>
      <c r="L141" s="26"/>
      <c r="M141" s="80"/>
      <c r="N141" s="80"/>
      <c r="O141" s="82"/>
      <c r="P141" s="81"/>
      <c r="Q141" s="81"/>
      <c r="R141" s="81"/>
      <c r="S141" s="81"/>
      <c r="T141" s="81"/>
      <c r="U141" s="3"/>
      <c r="V141" s="88"/>
      <c r="W141" s="88"/>
      <c r="X141" s="88"/>
      <c r="Y141" s="88"/>
      <c r="Z141" s="88"/>
      <c r="AA141" s="88"/>
      <c r="AB141" s="88"/>
      <c r="AC141" s="88"/>
      <c r="AE141">
        <f t="shared" si="4"/>
        <v>-17</v>
      </c>
      <c r="AG141" s="113">
        <f t="shared" si="5"/>
        <v>56.127011067040847</v>
      </c>
      <c r="AH141" s="124">
        <f t="shared" si="6"/>
        <v>3.6414262827917443</v>
      </c>
      <c r="AI141" s="124">
        <f t="shared" si="7"/>
        <v>0</v>
      </c>
      <c r="AJ141" s="124">
        <f t="shared" si="8"/>
        <v>0</v>
      </c>
      <c r="AK141" s="124">
        <f t="shared" si="9"/>
        <v>0.7542108817919595</v>
      </c>
      <c r="AL141" s="124">
        <f t="shared" si="10"/>
        <v>1.6538002005375578</v>
      </c>
      <c r="AM141" s="124">
        <f t="shared" si="11"/>
        <v>0.35190595693368892</v>
      </c>
      <c r="AN141" s="124">
        <f t="shared" si="12"/>
        <v>0.17577720126557886</v>
      </c>
      <c r="AO141" s="124">
        <f t="shared" si="13"/>
        <v>1.3434381331919276</v>
      </c>
    </row>
    <row r="142" spans="1:41" ht="14">
      <c r="A142">
        <f t="shared" ref="A142:A156" si="18">A143-1</f>
        <v>-16</v>
      </c>
      <c r="B142" s="21">
        <v>64</v>
      </c>
      <c r="C142" s="127">
        <f t="shared" si="16"/>
        <v>57.850184489619735</v>
      </c>
      <c r="D142" s="125">
        <f>(($C$39*$C$118*0.72)*D$40)*('Product half-life and C flows'!B43/100)</f>
        <v>3.5173859356503039</v>
      </c>
      <c r="E142" s="26"/>
      <c r="F142" s="54">
        <f t="shared" si="17"/>
        <v>0</v>
      </c>
      <c r="G142" s="54">
        <f t="shared" si="17"/>
        <v>0.7542108817919595</v>
      </c>
      <c r="H142" s="125">
        <f>(H$118)*('Product half-life and C flows'!L43/100)</f>
        <v>1.6285214558752539</v>
      </c>
      <c r="I142" s="125">
        <f>(($C$39*$C$118*0.28)*H$41)*('Product half-life and C flows'!N43/100)</f>
        <v>0.3645579686371721</v>
      </c>
      <c r="J142" s="125">
        <f>(($C$39*$C$118*0.28)*H$41)*(+'Product half-life and C flows'!P43/100)</f>
        <v>0.18209688743115485</v>
      </c>
      <c r="K142" s="54">
        <f t="shared" si="15"/>
        <v>1.3434381331919276</v>
      </c>
      <c r="L142" s="26"/>
      <c r="M142" s="80"/>
      <c r="N142" s="80"/>
      <c r="O142" s="82"/>
      <c r="P142" s="81"/>
      <c r="Q142" s="81"/>
      <c r="R142" s="81"/>
      <c r="S142" s="81"/>
      <c r="T142" s="81"/>
      <c r="U142" s="3"/>
      <c r="V142" s="88"/>
      <c r="W142" s="88"/>
      <c r="X142" s="88"/>
      <c r="Y142" s="88"/>
      <c r="Z142" s="88"/>
      <c r="AA142" s="88"/>
      <c r="AB142" s="88"/>
      <c r="AC142" s="88"/>
      <c r="AE142">
        <f t="shared" ref="AE142:AE205" si="19">A142</f>
        <v>-16</v>
      </c>
      <c r="AG142" s="113">
        <f t="shared" ref="AG142:AG205" si="20">C142</f>
        <v>57.850184489619735</v>
      </c>
      <c r="AH142" s="124">
        <f t="shared" si="6"/>
        <v>3.5173859356503039</v>
      </c>
      <c r="AI142" s="124">
        <f t="shared" si="7"/>
        <v>0</v>
      </c>
      <c r="AJ142" s="124">
        <f t="shared" si="8"/>
        <v>0</v>
      </c>
      <c r="AK142" s="124">
        <f t="shared" si="9"/>
        <v>0.7542108817919595</v>
      </c>
      <c r="AL142" s="124">
        <f t="shared" si="10"/>
        <v>1.6285214558752539</v>
      </c>
      <c r="AM142" s="124">
        <f t="shared" si="11"/>
        <v>0.3645579686371721</v>
      </c>
      <c r="AN142" s="124">
        <f t="shared" si="12"/>
        <v>0.18209688743115485</v>
      </c>
      <c r="AO142" s="124">
        <f t="shared" si="13"/>
        <v>1.3434381331919276</v>
      </c>
    </row>
    <row r="143" spans="1:41" ht="14">
      <c r="A143">
        <f t="shared" si="18"/>
        <v>-15</v>
      </c>
      <c r="B143" s="21">
        <v>65</v>
      </c>
      <c r="C143" s="127">
        <f t="shared" si="16"/>
        <v>59.573357912198624</v>
      </c>
      <c r="D143" s="125">
        <f>(($C$39*$C$118*0.72)*D$40)*('Product half-life and C flows'!B44/100)</f>
        <v>3.3975708580939372</v>
      </c>
      <c r="E143" s="26"/>
      <c r="F143" s="54">
        <f t="shared" si="17"/>
        <v>0</v>
      </c>
      <c r="G143" s="54">
        <f t="shared" si="17"/>
        <v>0.7542108817919595</v>
      </c>
      <c r="H143" s="125">
        <f>(H$118)*('Product half-life and C flows'!L44/100)</f>
        <v>1.6036291030706211</v>
      </c>
      <c r="I143" s="125">
        <f>(($C$39*$C$118*0.28)*H$41)*('Product half-life and C flows'!N44/100)</f>
        <v>0.37701659121589082</v>
      </c>
      <c r="J143" s="125">
        <f>(($C$39*$C$118*0.28)*H$41)*(+'Product half-life and C flows'!P44/100)</f>
        <v>0.18831997563231306</v>
      </c>
      <c r="K143" s="54">
        <f t="shared" si="15"/>
        <v>1.3434381331919276</v>
      </c>
      <c r="L143" s="26"/>
      <c r="M143" s="80"/>
      <c r="N143" s="80"/>
      <c r="O143" s="82"/>
      <c r="P143" s="81"/>
      <c r="Q143" s="81"/>
      <c r="R143" s="81"/>
      <c r="S143" s="81"/>
      <c r="T143" s="81"/>
      <c r="U143" s="3"/>
      <c r="V143" s="88"/>
      <c r="W143" s="88"/>
      <c r="X143" s="88"/>
      <c r="Y143" s="88"/>
      <c r="Z143" s="88"/>
      <c r="AA143" s="88"/>
      <c r="AB143" s="88"/>
      <c r="AC143" s="88"/>
      <c r="AE143">
        <f t="shared" si="19"/>
        <v>-15</v>
      </c>
      <c r="AG143" s="113">
        <f t="shared" si="20"/>
        <v>59.573357912198624</v>
      </c>
      <c r="AH143" s="124">
        <f t="shared" si="6"/>
        <v>3.3975708580939372</v>
      </c>
      <c r="AI143" s="124">
        <f t="shared" si="7"/>
        <v>0</v>
      </c>
      <c r="AJ143" s="124">
        <f t="shared" si="8"/>
        <v>0</v>
      </c>
      <c r="AK143" s="124">
        <f t="shared" si="9"/>
        <v>0.7542108817919595</v>
      </c>
      <c r="AL143" s="124">
        <f t="shared" si="10"/>
        <v>1.6036291030706211</v>
      </c>
      <c r="AM143" s="124">
        <f t="shared" si="11"/>
        <v>0.37701659121589082</v>
      </c>
      <c r="AN143" s="124">
        <f t="shared" si="12"/>
        <v>0.18831997563231306</v>
      </c>
      <c r="AO143" s="124">
        <f t="shared" si="13"/>
        <v>1.3434381331919276</v>
      </c>
    </row>
    <row r="144" spans="1:41" ht="14">
      <c r="A144">
        <f t="shared" si="18"/>
        <v>-14</v>
      </c>
      <c r="B144" s="21">
        <v>66</v>
      </c>
      <c r="C144" s="127">
        <f t="shared" si="16"/>
        <v>61.296531334777512</v>
      </c>
      <c r="D144" s="125">
        <f>(($C$39*$C$118*0.72)*D$40)*('Product half-life and C flows'!B45/100)</f>
        <v>3.281837121929295</v>
      </c>
      <c r="E144" s="26"/>
      <c r="F144" s="54">
        <f t="shared" si="17"/>
        <v>0</v>
      </c>
      <c r="G144" s="54">
        <f t="shared" si="17"/>
        <v>0.7542108817919595</v>
      </c>
      <c r="H144" s="125">
        <f>(H$118)*('Product half-life and C flows'!L45/100)</f>
        <v>1.5791172360286507</v>
      </c>
      <c r="I144" s="125">
        <f>(($C$39*$C$118*0.28)*H$41)*('Product half-life and C flows'!N45/100)</f>
        <v>0.38928478067039707</v>
      </c>
      <c r="J144" s="125">
        <f>(($C$39*$C$118*0.28)*H$41)*(+'Product half-life and C flows'!P45/100)</f>
        <v>0.19444794239280572</v>
      </c>
      <c r="K144" s="54">
        <f t="shared" si="15"/>
        <v>1.3434381331919276</v>
      </c>
      <c r="L144" s="26"/>
      <c r="M144" s="80"/>
      <c r="N144" s="80"/>
      <c r="O144" s="82"/>
      <c r="P144" s="81"/>
      <c r="Q144" s="81"/>
      <c r="R144" s="81"/>
      <c r="S144" s="81"/>
      <c r="T144" s="81"/>
      <c r="U144" s="3"/>
      <c r="V144" s="88"/>
      <c r="W144" s="88"/>
      <c r="X144" s="88"/>
      <c r="Y144" s="88"/>
      <c r="Z144" s="88"/>
      <c r="AA144" s="88"/>
      <c r="AB144" s="88"/>
      <c r="AC144" s="88"/>
      <c r="AE144">
        <f t="shared" si="19"/>
        <v>-14</v>
      </c>
      <c r="AG144" s="113">
        <f t="shared" si="20"/>
        <v>61.296531334777512</v>
      </c>
      <c r="AH144" s="124">
        <f t="shared" si="6"/>
        <v>3.281837121929295</v>
      </c>
      <c r="AI144" s="124">
        <f t="shared" si="7"/>
        <v>0</v>
      </c>
      <c r="AJ144" s="124">
        <f t="shared" si="8"/>
        <v>0</v>
      </c>
      <c r="AK144" s="124">
        <f t="shared" si="9"/>
        <v>0.7542108817919595</v>
      </c>
      <c r="AL144" s="124">
        <f t="shared" si="10"/>
        <v>1.5791172360286507</v>
      </c>
      <c r="AM144" s="124">
        <f t="shared" si="11"/>
        <v>0.38928478067039707</v>
      </c>
      <c r="AN144" s="124">
        <f t="shared" si="12"/>
        <v>0.19444794239280572</v>
      </c>
      <c r="AO144" s="124">
        <f t="shared" si="13"/>
        <v>1.3434381331919276</v>
      </c>
    </row>
    <row r="145" spans="1:42" ht="14">
      <c r="A145">
        <f t="shared" si="18"/>
        <v>-13</v>
      </c>
      <c r="B145" s="21">
        <v>67</v>
      </c>
      <c r="C145" s="127">
        <f t="shared" si="16"/>
        <v>63.019704757356401</v>
      </c>
      <c r="D145" s="125">
        <f>(($C$39*$C$118*0.72)*D$40)*('Product half-life and C flows'!B46/100)</f>
        <v>3.1700457016856642</v>
      </c>
      <c r="E145" s="26"/>
      <c r="F145" s="54">
        <f t="shared" si="17"/>
        <v>0</v>
      </c>
      <c r="G145" s="54">
        <f t="shared" si="17"/>
        <v>0.7542108817919595</v>
      </c>
      <c r="H145" s="125">
        <f>(H$118)*('Product half-life and C flows'!L46/100)</f>
        <v>1.5549800389304542</v>
      </c>
      <c r="I145" s="125">
        <f>(($C$39*$C$118*0.28)*H$41)*('Product half-life and C flows'!N46/100)</f>
        <v>0.40136544781804434</v>
      </c>
      <c r="J145" s="125">
        <f>(($C$39*$C$118*0.28)*H$41)*(+'Product half-life and C flows'!P46/100)</f>
        <v>0.20048224166735482</v>
      </c>
      <c r="K145" s="54">
        <f t="shared" si="15"/>
        <v>1.3434381331919276</v>
      </c>
      <c r="L145" s="26"/>
      <c r="M145" s="80"/>
      <c r="N145" s="80"/>
      <c r="O145" s="82"/>
      <c r="P145" s="81"/>
      <c r="Q145" s="81"/>
      <c r="R145" s="81"/>
      <c r="S145" s="81"/>
      <c r="T145" s="81"/>
      <c r="U145" s="3"/>
      <c r="V145" s="88"/>
      <c r="W145" s="88"/>
      <c r="X145" s="88"/>
      <c r="Y145" s="88"/>
      <c r="Z145" s="88"/>
      <c r="AA145" s="88"/>
      <c r="AB145" s="88"/>
      <c r="AC145" s="88"/>
      <c r="AE145">
        <f t="shared" si="19"/>
        <v>-13</v>
      </c>
      <c r="AG145" s="113">
        <f t="shared" si="20"/>
        <v>63.019704757356401</v>
      </c>
      <c r="AH145" s="124">
        <f t="shared" si="6"/>
        <v>3.1700457016856642</v>
      </c>
      <c r="AI145" s="124">
        <f t="shared" si="7"/>
        <v>0</v>
      </c>
      <c r="AJ145" s="124">
        <f t="shared" si="8"/>
        <v>0</v>
      </c>
      <c r="AK145" s="124">
        <f t="shared" si="9"/>
        <v>0.7542108817919595</v>
      </c>
      <c r="AL145" s="124">
        <f t="shared" si="10"/>
        <v>1.5549800389304542</v>
      </c>
      <c r="AM145" s="124">
        <f t="shared" si="11"/>
        <v>0.40136544781804434</v>
      </c>
      <c r="AN145" s="124">
        <f t="shared" si="12"/>
        <v>0.20048224166735482</v>
      </c>
      <c r="AO145" s="124">
        <f t="shared" si="13"/>
        <v>1.3434381331919276</v>
      </c>
    </row>
    <row r="146" spans="1:42" ht="14">
      <c r="A146">
        <f t="shared" si="18"/>
        <v>-12</v>
      </c>
      <c r="B146" s="21">
        <v>68</v>
      </c>
      <c r="C146" s="127">
        <f t="shared" si="16"/>
        <v>64.742878179935289</v>
      </c>
      <c r="D146" s="125">
        <f>(($C$39*$C$118*0.72)*D$40)*('Product half-life and C flows'!B47/100)</f>
        <v>3.0620623076102369</v>
      </c>
      <c r="E146" s="26"/>
      <c r="F146" s="54">
        <f t="shared" si="17"/>
        <v>0</v>
      </c>
      <c r="G146" s="54">
        <f t="shared" si="17"/>
        <v>0.7542108817919595</v>
      </c>
      <c r="H146" s="125">
        <f>(H$118)*('Product half-life and C flows'!L47/100)</f>
        <v>1.5312117848533746</v>
      </c>
      <c r="I146" s="125">
        <f>(($C$39*$C$118*0.28)*H$41)*('Product half-life and C flows'!N47/100)</f>
        <v>0.41326145898362254</v>
      </c>
      <c r="J146" s="125">
        <f>(($C$39*$C$118*0.28)*H$41)*(+'Product half-life and C flows'!P47/100)</f>
        <v>0.20642430518662463</v>
      </c>
      <c r="K146" s="54">
        <f t="shared" si="15"/>
        <v>1.3434381331919276</v>
      </c>
      <c r="L146" s="26"/>
      <c r="M146" s="80"/>
      <c r="N146" s="80"/>
      <c r="O146" s="82"/>
      <c r="P146" s="81"/>
      <c r="Q146" s="81"/>
      <c r="R146" s="81"/>
      <c r="S146" s="81"/>
      <c r="T146" s="81"/>
      <c r="U146" s="3"/>
      <c r="V146" s="88"/>
      <c r="W146" s="88"/>
      <c r="X146" s="88"/>
      <c r="Y146" s="88"/>
      <c r="Z146" s="88"/>
      <c r="AA146" s="88"/>
      <c r="AB146" s="88"/>
      <c r="AC146" s="88"/>
      <c r="AE146">
        <f t="shared" si="19"/>
        <v>-12</v>
      </c>
      <c r="AG146" s="113">
        <f t="shared" si="20"/>
        <v>64.742878179935289</v>
      </c>
      <c r="AH146" s="124">
        <f t="shared" si="6"/>
        <v>3.0620623076102369</v>
      </c>
      <c r="AI146" s="124">
        <f t="shared" si="7"/>
        <v>0</v>
      </c>
      <c r="AJ146" s="124">
        <f t="shared" si="8"/>
        <v>0</v>
      </c>
      <c r="AK146" s="124">
        <f t="shared" si="9"/>
        <v>0.7542108817919595</v>
      </c>
      <c r="AL146" s="124">
        <f t="shared" si="10"/>
        <v>1.5312117848533746</v>
      </c>
      <c r="AM146" s="124">
        <f t="shared" si="11"/>
        <v>0.41326145898362254</v>
      </c>
      <c r="AN146" s="124">
        <f t="shared" si="12"/>
        <v>0.20642430518662463</v>
      </c>
      <c r="AO146" s="124">
        <f t="shared" si="13"/>
        <v>1.3434381331919276</v>
      </c>
    </row>
    <row r="147" spans="1:42" ht="14">
      <c r="A147">
        <f t="shared" si="18"/>
        <v>-11</v>
      </c>
      <c r="B147" s="21">
        <v>69</v>
      </c>
      <c r="C147" s="127">
        <f t="shared" si="16"/>
        <v>66.466051602514185</v>
      </c>
      <c r="D147" s="125">
        <f>(($C$39*$C$118*0.72)*D$40)*('Product half-life and C flows'!B48/100)</f>
        <v>2.9577572243521741</v>
      </c>
      <c r="E147" s="26"/>
      <c r="F147" s="54">
        <f t="shared" si="17"/>
        <v>0</v>
      </c>
      <c r="G147" s="54">
        <f t="shared" si="17"/>
        <v>0.7542108817919595</v>
      </c>
      <c r="H147" s="125">
        <f>(H$118)*('Product half-life and C flows'!L48/100)</f>
        <v>1.5078068344121802</v>
      </c>
      <c r="I147" s="125">
        <f>(($C$39*$C$118*0.28)*H$41)*('Product half-life and C flows'!N48/100)</f>
        <v>0.42497563667944049</v>
      </c>
      <c r="J147" s="125">
        <f>(($C$39*$C$118*0.28)*H$41)*(+'Product half-life and C flows'!P48/100)</f>
        <v>0.21227554279692329</v>
      </c>
      <c r="K147" s="54">
        <f t="shared" si="15"/>
        <v>1.3434381331919276</v>
      </c>
      <c r="L147" s="26"/>
      <c r="M147" s="80"/>
      <c r="N147" s="80"/>
      <c r="O147" s="82"/>
      <c r="P147" s="81"/>
      <c r="Q147" s="81"/>
      <c r="R147" s="81"/>
      <c r="S147" s="81"/>
      <c r="T147" s="81"/>
      <c r="U147" s="3"/>
      <c r="V147" s="88"/>
      <c r="W147" s="88"/>
      <c r="X147" s="88"/>
      <c r="Y147" s="88"/>
      <c r="Z147" s="88"/>
      <c r="AA147" s="88"/>
      <c r="AB147" s="88"/>
      <c r="AC147" s="88"/>
      <c r="AE147">
        <f t="shared" si="19"/>
        <v>-11</v>
      </c>
      <c r="AG147" s="113">
        <f t="shared" si="20"/>
        <v>66.466051602514185</v>
      </c>
      <c r="AH147" s="124">
        <f t="shared" si="6"/>
        <v>2.9577572243521741</v>
      </c>
      <c r="AI147" s="124">
        <f t="shared" si="7"/>
        <v>0</v>
      </c>
      <c r="AJ147" s="124">
        <f t="shared" si="8"/>
        <v>0</v>
      </c>
      <c r="AK147" s="124">
        <f t="shared" si="9"/>
        <v>0.7542108817919595</v>
      </c>
      <c r="AL147" s="124">
        <f t="shared" si="10"/>
        <v>1.5078068344121802</v>
      </c>
      <c r="AM147" s="124">
        <f t="shared" si="11"/>
        <v>0.42497563667944049</v>
      </c>
      <c r="AN147" s="124">
        <f t="shared" si="12"/>
        <v>0.21227554279692329</v>
      </c>
      <c r="AO147" s="124">
        <f t="shared" si="13"/>
        <v>1.3434381331919276</v>
      </c>
    </row>
    <row r="148" spans="1:42" ht="14">
      <c r="A148">
        <f t="shared" si="18"/>
        <v>-10</v>
      </c>
      <c r="B148" s="21">
        <v>70</v>
      </c>
      <c r="C148" s="127">
        <f t="shared" si="16"/>
        <v>68.18922502509308</v>
      </c>
      <c r="D148" s="125">
        <f>(($C$39*$C$118*0.72)*D$40)*('Product half-life and C flows'!B49/100)</f>
        <v>2.8570051551416791</v>
      </c>
      <c r="E148" s="26"/>
      <c r="F148" s="54">
        <f t="shared" si="17"/>
        <v>0</v>
      </c>
      <c r="G148" s="54">
        <f t="shared" si="17"/>
        <v>0.7542108817919595</v>
      </c>
      <c r="H148" s="125">
        <f>(H$118)*('Product half-life and C flows'!L49/100)</f>
        <v>1.484759634421037</v>
      </c>
      <c r="I148" s="125">
        <f>(($C$39*$C$118*0.28)*H$41)*('Product half-life and C flows'!N49/100)</f>
        <v>0.43651076027500768</v>
      </c>
      <c r="J148" s="125">
        <f>(($C$39*$C$118*0.28)*H$41)*(+'Product half-life and C flows'!P49/100)</f>
        <v>0.2180373427947091</v>
      </c>
      <c r="K148" s="54">
        <f t="shared" si="15"/>
        <v>1.3434381331919276</v>
      </c>
      <c r="L148" s="26"/>
      <c r="M148" s="80"/>
      <c r="N148" s="80"/>
      <c r="O148" s="82"/>
      <c r="P148" s="81"/>
      <c r="Q148" s="81"/>
      <c r="R148" s="81"/>
      <c r="S148" s="81"/>
      <c r="T148" s="81"/>
      <c r="U148" s="3"/>
      <c r="V148" s="88"/>
      <c r="W148" s="88"/>
      <c r="X148" s="88"/>
      <c r="Y148" s="88"/>
      <c r="Z148" s="88"/>
      <c r="AA148" s="88"/>
      <c r="AB148" s="88"/>
      <c r="AC148" s="88"/>
      <c r="AE148">
        <f t="shared" si="19"/>
        <v>-10</v>
      </c>
      <c r="AG148" s="113">
        <f t="shared" si="20"/>
        <v>68.18922502509308</v>
      </c>
      <c r="AH148" s="124">
        <f t="shared" si="6"/>
        <v>2.8570051551416791</v>
      </c>
      <c r="AI148" s="124">
        <f t="shared" si="7"/>
        <v>0</v>
      </c>
      <c r="AJ148" s="124">
        <f t="shared" si="8"/>
        <v>0</v>
      </c>
      <c r="AK148" s="124">
        <f t="shared" si="9"/>
        <v>0.7542108817919595</v>
      </c>
      <c r="AL148" s="124">
        <f t="shared" si="10"/>
        <v>1.484759634421037</v>
      </c>
      <c r="AM148" s="124">
        <f t="shared" si="11"/>
        <v>0.43651076027500768</v>
      </c>
      <c r="AN148" s="124">
        <f t="shared" si="12"/>
        <v>0.2180373427947091</v>
      </c>
      <c r="AO148" s="124">
        <f t="shared" si="13"/>
        <v>1.3434381331919276</v>
      </c>
    </row>
    <row r="149" spans="1:42" ht="14">
      <c r="A149">
        <f t="shared" si="18"/>
        <v>-9</v>
      </c>
      <c r="B149" s="21">
        <v>71</v>
      </c>
      <c r="C149" s="127">
        <f t="shared" si="16"/>
        <v>69.912398447671976</v>
      </c>
      <c r="D149" s="125">
        <f>(($C$39*$C$118*0.72)*D$40)*('Product half-life and C flows'!B50/100)</f>
        <v>2.7596850712769125</v>
      </c>
      <c r="E149" s="26"/>
      <c r="F149" s="54">
        <f t="shared" si="17"/>
        <v>0</v>
      </c>
      <c r="G149" s="54">
        <f t="shared" si="17"/>
        <v>0.7542108817919595</v>
      </c>
      <c r="H149" s="125">
        <f>(H$118)*('Product half-life and C flows'!L50/100)</f>
        <v>1.462064716575928</v>
      </c>
      <c r="I149" s="125">
        <f>(($C$39*$C$118*0.28)*H$41)*('Product half-life and C flows'!N50/100)</f>
        <v>0.44786956665648481</v>
      </c>
      <c r="J149" s="125">
        <f>(($C$39*$C$118*0.28)*H$41)*(+'Product half-life and C flows'!P50/100)</f>
        <v>0.22371107225598635</v>
      </c>
      <c r="K149" s="54">
        <f t="shared" si="15"/>
        <v>1.3434381331919276</v>
      </c>
      <c r="L149" s="26"/>
      <c r="M149" s="80"/>
      <c r="N149" s="80"/>
      <c r="O149" s="82"/>
      <c r="P149" s="81"/>
      <c r="Q149" s="81"/>
      <c r="R149" s="81"/>
      <c r="S149" s="81"/>
      <c r="T149" s="81"/>
      <c r="U149" s="3"/>
      <c r="V149" s="88"/>
      <c r="W149" s="88"/>
      <c r="X149" s="88"/>
      <c r="Y149" s="88"/>
      <c r="Z149" s="88"/>
      <c r="AA149" s="88"/>
      <c r="AB149" s="88"/>
      <c r="AC149" s="88"/>
      <c r="AE149">
        <f t="shared" si="19"/>
        <v>-9</v>
      </c>
      <c r="AG149" s="113">
        <f t="shared" si="20"/>
        <v>69.912398447671976</v>
      </c>
      <c r="AH149" s="124">
        <f t="shared" si="6"/>
        <v>2.7596850712769125</v>
      </c>
      <c r="AI149" s="124">
        <f t="shared" si="7"/>
        <v>0</v>
      </c>
      <c r="AJ149" s="124">
        <f t="shared" si="8"/>
        <v>0</v>
      </c>
      <c r="AK149" s="124">
        <f t="shared" si="9"/>
        <v>0.7542108817919595</v>
      </c>
      <c r="AL149" s="124">
        <f t="shared" si="10"/>
        <v>1.462064716575928</v>
      </c>
      <c r="AM149" s="124">
        <f t="shared" si="11"/>
        <v>0.44786956665648481</v>
      </c>
      <c r="AN149" s="124">
        <f t="shared" si="12"/>
        <v>0.22371107225598635</v>
      </c>
      <c r="AO149" s="124">
        <f t="shared" si="13"/>
        <v>1.3434381331919276</v>
      </c>
    </row>
    <row r="150" spans="1:42" ht="14">
      <c r="A150">
        <f t="shared" si="18"/>
        <v>-8</v>
      </c>
      <c r="B150" s="21">
        <v>72</v>
      </c>
      <c r="C150" s="127">
        <f t="shared" si="16"/>
        <v>71.635571870250871</v>
      </c>
      <c r="D150" s="125">
        <f>(($C$39*$C$118*0.72)*D$40)*('Product half-life and C flows'!B51/100)</f>
        <v>2.6656800667379215</v>
      </c>
      <c r="E150" s="26"/>
      <c r="F150" s="54">
        <f t="shared" si="17"/>
        <v>0</v>
      </c>
      <c r="G150" s="54">
        <f t="shared" si="17"/>
        <v>0.7542108817919595</v>
      </c>
      <c r="H150" s="125">
        <f>(H$118)*('Product half-life and C flows'!L51/100)</f>
        <v>1.4397166961572141</v>
      </c>
      <c r="I150" s="125">
        <f>(($C$39*$C$118*0.28)*H$41)*('Product half-life and C flows'!N51/100)</f>
        <v>0.45905475087605102</v>
      </c>
      <c r="J150" s="125">
        <f>(($C$39*$C$118*0.28)*H$41)*(+'Product half-life and C flows'!P51/100)</f>
        <v>0.22929807736066479</v>
      </c>
      <c r="K150" s="54">
        <f t="shared" si="15"/>
        <v>1.3434381331919276</v>
      </c>
      <c r="L150" s="26"/>
      <c r="M150" s="80"/>
      <c r="N150" s="80"/>
      <c r="O150" s="82"/>
      <c r="P150" s="81"/>
      <c r="Q150" s="81"/>
      <c r="R150" s="81"/>
      <c r="S150" s="81"/>
      <c r="T150" s="81"/>
      <c r="U150" s="3"/>
      <c r="V150" s="88"/>
      <c r="W150" s="88"/>
      <c r="X150" s="88"/>
      <c r="Y150" s="88"/>
      <c r="Z150" s="88"/>
      <c r="AA150" s="88"/>
      <c r="AB150" s="88"/>
      <c r="AC150" s="88"/>
      <c r="AE150">
        <f t="shared" si="19"/>
        <v>-8</v>
      </c>
      <c r="AG150" s="113">
        <f t="shared" si="20"/>
        <v>71.635571870250871</v>
      </c>
      <c r="AH150" s="124">
        <f t="shared" ref="AH150:AH181" si="21">D150+M150+V150</f>
        <v>2.6656800667379215</v>
      </c>
      <c r="AI150" s="124">
        <f t="shared" ref="AI150:AI181" si="22">E150+N150+W150</f>
        <v>0</v>
      </c>
      <c r="AJ150" s="124">
        <f t="shared" ref="AJ150:AJ181" si="23">F150+O150+X150</f>
        <v>0</v>
      </c>
      <c r="AK150" s="124">
        <f t="shared" ref="AK150:AK181" si="24">G150+P150+Y150</f>
        <v>0.7542108817919595</v>
      </c>
      <c r="AL150" s="124">
        <f t="shared" ref="AL150:AL181" si="25">H150+Q150+Z150</f>
        <v>1.4397166961572141</v>
      </c>
      <c r="AM150" s="124">
        <f t="shared" ref="AM150:AM181" si="26">I150+R150+AA150</f>
        <v>0.45905475087605102</v>
      </c>
      <c r="AN150" s="124">
        <f t="shared" ref="AN150:AN181" si="27">J150+S150+AB150</f>
        <v>0.22929807736066479</v>
      </c>
      <c r="AO150" s="124">
        <f t="shared" ref="AO150:AO181" si="28">K150+T150+AC150</f>
        <v>1.3434381331919276</v>
      </c>
    </row>
    <row r="151" spans="1:42" ht="14">
      <c r="A151">
        <f t="shared" si="18"/>
        <v>-7</v>
      </c>
      <c r="B151" s="21">
        <v>73</v>
      </c>
      <c r="C151" s="127">
        <f t="shared" si="16"/>
        <v>73.358745292829767</v>
      </c>
      <c r="D151" s="125">
        <f>(($C$39*$C$118*0.72)*D$40)*('Product half-life and C flows'!B52/100)</f>
        <v>2.5748772177529649</v>
      </c>
      <c r="E151" s="26"/>
      <c r="F151" s="54">
        <f t="shared" si="17"/>
        <v>0</v>
      </c>
      <c r="G151" s="54">
        <f t="shared" si="17"/>
        <v>0.7542108817919595</v>
      </c>
      <c r="H151" s="125">
        <f>(H$118)*('Product half-life and C flows'!L52/100)</f>
        <v>1.4177102707520266</v>
      </c>
      <c r="I151" s="125">
        <f>(($C$39*$C$118*0.28)*H$41)*('Product half-life and C flows'!N52/100)</f>
        <v>0.4700689667913473</v>
      </c>
      <c r="J151" s="125">
        <f>(($C$39*$C$118*0.28)*H$41)*(+'Product half-life and C flows'!P52/100)</f>
        <v>0.23479968371196169</v>
      </c>
      <c r="K151" s="54">
        <f t="shared" si="15"/>
        <v>1.3434381331919276</v>
      </c>
      <c r="L151" s="26"/>
      <c r="M151" s="80"/>
      <c r="N151" s="80"/>
      <c r="O151" s="82"/>
      <c r="P151" s="81"/>
      <c r="Q151" s="81"/>
      <c r="R151" s="81"/>
      <c r="S151" s="81"/>
      <c r="T151" s="81"/>
      <c r="U151" s="3"/>
      <c r="V151" s="88"/>
      <c r="W151" s="88"/>
      <c r="X151" s="88"/>
      <c r="Y151" s="88"/>
      <c r="Z151" s="88"/>
      <c r="AA151" s="88"/>
      <c r="AB151" s="88"/>
      <c r="AC151" s="88"/>
      <c r="AE151">
        <f t="shared" si="19"/>
        <v>-7</v>
      </c>
      <c r="AG151" s="113">
        <f t="shared" si="20"/>
        <v>73.358745292829767</v>
      </c>
      <c r="AH151" s="124">
        <f t="shared" si="21"/>
        <v>2.5748772177529649</v>
      </c>
      <c r="AI151" s="124">
        <f t="shared" si="22"/>
        <v>0</v>
      </c>
      <c r="AJ151" s="124">
        <f t="shared" si="23"/>
        <v>0</v>
      </c>
      <c r="AK151" s="124">
        <f t="shared" si="24"/>
        <v>0.7542108817919595</v>
      </c>
      <c r="AL151" s="124">
        <f t="shared" si="25"/>
        <v>1.4177102707520266</v>
      </c>
      <c r="AM151" s="124">
        <f t="shared" si="26"/>
        <v>0.4700689667913473</v>
      </c>
      <c r="AN151" s="124">
        <f t="shared" si="27"/>
        <v>0.23479968371196169</v>
      </c>
      <c r="AO151" s="124">
        <f t="shared" si="28"/>
        <v>1.3434381331919276</v>
      </c>
    </row>
    <row r="152" spans="1:42" ht="14">
      <c r="A152">
        <f t="shared" si="18"/>
        <v>-6</v>
      </c>
      <c r="B152" s="21">
        <v>74</v>
      </c>
      <c r="C152" s="127">
        <f t="shared" si="16"/>
        <v>75.081918715408662</v>
      </c>
      <c r="D152" s="125">
        <f>(($C$39*$C$118*0.72)*D$40)*('Product half-life and C flows'!B53/100)</f>
        <v>2.487167447148519</v>
      </c>
      <c r="E152" s="26"/>
      <c r="F152" s="54">
        <f t="shared" ref="F152:G167" si="29">F151</f>
        <v>0</v>
      </c>
      <c r="G152" s="54">
        <f t="shared" si="29"/>
        <v>0.7542108817919595</v>
      </c>
      <c r="H152" s="125">
        <f>(H$118)*('Product half-life and C flows'!L53/100)</f>
        <v>1.3960402189961876</v>
      </c>
      <c r="I152" s="125">
        <f>(($C$39*$C$118*0.28)*H$41)*('Product half-life and C flows'!N53/100)</f>
        <v>0.48091482769514482</v>
      </c>
      <c r="J152" s="125">
        <f>(($C$39*$C$118*0.28)*H$41)*(+'Product half-life and C flows'!P53/100)</f>
        <v>0.24021719665092145</v>
      </c>
      <c r="K152" s="54">
        <f t="shared" si="15"/>
        <v>1.3434381331919276</v>
      </c>
      <c r="L152" s="26"/>
      <c r="M152" s="80"/>
      <c r="N152" s="80"/>
      <c r="O152" s="82"/>
      <c r="P152" s="81"/>
      <c r="Q152" s="81"/>
      <c r="R152" s="81"/>
      <c r="S152" s="81"/>
      <c r="T152" s="81"/>
      <c r="U152" s="3"/>
      <c r="V152" s="88"/>
      <c r="W152" s="88"/>
      <c r="X152" s="88"/>
      <c r="Y152" s="88"/>
      <c r="Z152" s="88"/>
      <c r="AA152" s="88"/>
      <c r="AB152" s="88"/>
      <c r="AC152" s="88"/>
      <c r="AE152">
        <f t="shared" si="19"/>
        <v>-6</v>
      </c>
      <c r="AG152" s="113">
        <f t="shared" si="20"/>
        <v>75.081918715408662</v>
      </c>
      <c r="AH152" s="124">
        <f t="shared" si="21"/>
        <v>2.487167447148519</v>
      </c>
      <c r="AI152" s="124">
        <f t="shared" si="22"/>
        <v>0</v>
      </c>
      <c r="AJ152" s="124">
        <f t="shared" si="23"/>
        <v>0</v>
      </c>
      <c r="AK152" s="124">
        <f t="shared" si="24"/>
        <v>0.7542108817919595</v>
      </c>
      <c r="AL152" s="124">
        <f t="shared" si="25"/>
        <v>1.3960402189961876</v>
      </c>
      <c r="AM152" s="124">
        <f t="shared" si="26"/>
        <v>0.48091482769514482</v>
      </c>
      <c r="AN152" s="124">
        <f t="shared" si="27"/>
        <v>0.24021719665092145</v>
      </c>
      <c r="AO152" s="124">
        <f t="shared" si="28"/>
        <v>1.3434381331919276</v>
      </c>
    </row>
    <row r="153" spans="1:42" ht="14">
      <c r="A153">
        <f t="shared" si="18"/>
        <v>-5</v>
      </c>
      <c r="B153" s="21">
        <v>75</v>
      </c>
      <c r="C153" s="127">
        <f t="shared" si="16"/>
        <v>76.805092137987558</v>
      </c>
      <c r="D153" s="125">
        <f>(($C$39*$C$118*0.72)*D$40)*('Product half-life and C flows'!B54/100)</f>
        <v>2.4024453933200207</v>
      </c>
      <c r="E153" s="26"/>
      <c r="F153" s="54">
        <f t="shared" si="29"/>
        <v>0</v>
      </c>
      <c r="G153" s="54">
        <f t="shared" si="29"/>
        <v>0.7542108817919595</v>
      </c>
      <c r="H153" s="125">
        <f>(H$118)*('Product half-life and C flows'!L54/100)</f>
        <v>1.3747013993353601</v>
      </c>
      <c r="I153" s="125">
        <f>(($C$39*$C$118*0.28)*H$41)*('Product half-life and C flows'!N54/100)</f>
        <v>0.49159490693538893</v>
      </c>
      <c r="J153" s="125">
        <f>(($C$39*$C$118*0.28)*H$41)*(+'Product half-life and C flows'!P54/100)</f>
        <v>0.24555190156612833</v>
      </c>
      <c r="K153" s="54">
        <f t="shared" si="15"/>
        <v>1.3434381331919276</v>
      </c>
      <c r="L153" s="26"/>
      <c r="M153" s="80"/>
      <c r="N153" s="80"/>
      <c r="O153" s="82"/>
      <c r="P153" s="81"/>
      <c r="Q153" s="81"/>
      <c r="R153" s="81"/>
      <c r="S153" s="81"/>
      <c r="T153" s="81"/>
      <c r="U153" s="3"/>
      <c r="V153" s="88"/>
      <c r="W153" s="88"/>
      <c r="X153" s="88"/>
      <c r="Y153" s="88"/>
      <c r="Z153" s="88"/>
      <c r="AA153" s="88"/>
      <c r="AB153" s="88"/>
      <c r="AC153" s="88"/>
      <c r="AE153">
        <f t="shared" si="19"/>
        <v>-5</v>
      </c>
      <c r="AG153" s="113">
        <f t="shared" si="20"/>
        <v>76.805092137987558</v>
      </c>
      <c r="AH153" s="124">
        <f t="shared" si="21"/>
        <v>2.4024453933200207</v>
      </c>
      <c r="AI153" s="124">
        <f t="shared" si="22"/>
        <v>0</v>
      </c>
      <c r="AJ153" s="124">
        <f t="shared" si="23"/>
        <v>0</v>
      </c>
      <c r="AK153" s="124">
        <f t="shared" si="24"/>
        <v>0.7542108817919595</v>
      </c>
      <c r="AL153" s="124">
        <f t="shared" si="25"/>
        <v>1.3747013993353601</v>
      </c>
      <c r="AM153" s="124">
        <f t="shared" si="26"/>
        <v>0.49159490693538893</v>
      </c>
      <c r="AN153" s="124">
        <f t="shared" si="27"/>
        <v>0.24555190156612833</v>
      </c>
      <c r="AO153" s="124">
        <f t="shared" si="28"/>
        <v>1.3434381331919276</v>
      </c>
    </row>
    <row r="154" spans="1:42" ht="14">
      <c r="A154">
        <f t="shared" si="18"/>
        <v>-4</v>
      </c>
      <c r="B154" s="21">
        <v>76</v>
      </c>
      <c r="C154" s="127">
        <f t="shared" si="16"/>
        <v>78.528265560566453</v>
      </c>
      <c r="D154" s="125">
        <f>(($C$39*$C$118*0.72)*D$40)*('Product half-life and C flows'!B55/100)</f>
        <v>2.3206092836659473</v>
      </c>
      <c r="E154" s="26"/>
      <c r="F154" s="54">
        <f t="shared" si="29"/>
        <v>0</v>
      </c>
      <c r="G154" s="54">
        <f t="shared" si="29"/>
        <v>0.7542108817919595</v>
      </c>
      <c r="H154" s="125">
        <f>(H$118)*('Product half-life and C flows'!L55/100)</f>
        <v>1.3536887488051361</v>
      </c>
      <c r="I154" s="125">
        <f>(($C$39*$C$118*0.28)*H$41)*('Product half-life and C flows'!N55/100)</f>
        <v>0.50211173852576607</v>
      </c>
      <c r="J154" s="125">
        <f>(($C$39*$C$118*0.28)*H$41)*(+'Product half-life and C flows'!P55/100)</f>
        <v>0.25080506419868431</v>
      </c>
      <c r="K154" s="54">
        <f t="shared" si="15"/>
        <v>1.3434381331919276</v>
      </c>
      <c r="L154" s="26"/>
      <c r="M154" s="80"/>
      <c r="N154" s="80"/>
      <c r="O154" s="82"/>
      <c r="P154" s="81"/>
      <c r="Q154" s="81"/>
      <c r="R154" s="81"/>
      <c r="S154" s="81"/>
      <c r="T154" s="81"/>
      <c r="U154" s="3"/>
      <c r="V154" s="88"/>
      <c r="W154" s="88"/>
      <c r="X154" s="88"/>
      <c r="Y154" s="88"/>
      <c r="Z154" s="88"/>
      <c r="AA154" s="88"/>
      <c r="AB154" s="88"/>
      <c r="AC154" s="88"/>
      <c r="AE154">
        <f t="shared" si="19"/>
        <v>-4</v>
      </c>
      <c r="AG154" s="113">
        <f t="shared" si="20"/>
        <v>78.528265560566453</v>
      </c>
      <c r="AH154" s="124">
        <f t="shared" si="21"/>
        <v>2.3206092836659473</v>
      </c>
      <c r="AI154" s="124">
        <f t="shared" si="22"/>
        <v>0</v>
      </c>
      <c r="AJ154" s="124">
        <f t="shared" si="23"/>
        <v>0</v>
      </c>
      <c r="AK154" s="124">
        <f t="shared" si="24"/>
        <v>0.7542108817919595</v>
      </c>
      <c r="AL154" s="124">
        <f t="shared" si="25"/>
        <v>1.3536887488051361</v>
      </c>
      <c r="AM154" s="124">
        <f t="shared" si="26"/>
        <v>0.50211173852576607</v>
      </c>
      <c r="AN154" s="124">
        <f t="shared" si="27"/>
        <v>0.25080506419868431</v>
      </c>
      <c r="AO154" s="124">
        <f t="shared" si="28"/>
        <v>1.3434381331919276</v>
      </c>
    </row>
    <row r="155" spans="1:42" ht="14">
      <c r="A155">
        <f t="shared" si="18"/>
        <v>-3</v>
      </c>
      <c r="B155" s="21">
        <v>77</v>
      </c>
      <c r="C155" s="127">
        <f t="shared" si="16"/>
        <v>80.251438983145349</v>
      </c>
      <c r="D155" s="125">
        <f>(($C$39*$C$118*0.72)*D$40)*('Product half-life and C flows'!B56/100)</f>
        <v>2.2415608123332005</v>
      </c>
      <c r="E155" s="26"/>
      <c r="F155" s="54">
        <f t="shared" si="29"/>
        <v>0</v>
      </c>
      <c r="G155" s="54">
        <f t="shared" si="29"/>
        <v>0.7542108817919595</v>
      </c>
      <c r="H155" s="125">
        <f>(H$118)*('Product half-life and C flows'!L56/100)</f>
        <v>1.3329972818297691</v>
      </c>
      <c r="I155" s="125">
        <f>(($C$39*$C$118*0.28)*H$41)*('Product half-life and C flows'!N56/100)</f>
        <v>0.51246781774693739</v>
      </c>
      <c r="J155" s="125">
        <f>(($C$39*$C$118*0.28)*H$41)*(+'Product half-life and C flows'!P56/100)</f>
        <v>0.25597793094252608</v>
      </c>
      <c r="K155" s="54">
        <f t="shared" si="15"/>
        <v>1.3434381331919276</v>
      </c>
      <c r="L155" s="26"/>
      <c r="M155" s="80"/>
      <c r="N155" s="80"/>
      <c r="O155" s="82"/>
      <c r="P155" s="81"/>
      <c r="Q155" s="81"/>
      <c r="R155" s="81"/>
      <c r="S155" s="81"/>
      <c r="T155" s="81"/>
      <c r="U155" s="3"/>
      <c r="V155" s="88"/>
      <c r="W155" s="88"/>
      <c r="X155" s="88"/>
      <c r="Y155" s="88"/>
      <c r="Z155" s="88"/>
      <c r="AA155" s="88"/>
      <c r="AB155" s="88"/>
      <c r="AC155" s="88"/>
      <c r="AE155">
        <f t="shared" si="19"/>
        <v>-3</v>
      </c>
      <c r="AG155" s="113">
        <f t="shared" si="20"/>
        <v>80.251438983145349</v>
      </c>
      <c r="AH155" s="124">
        <f t="shared" si="21"/>
        <v>2.2415608123332005</v>
      </c>
      <c r="AI155" s="124">
        <f t="shared" si="22"/>
        <v>0</v>
      </c>
      <c r="AJ155" s="124">
        <f t="shared" si="23"/>
        <v>0</v>
      </c>
      <c r="AK155" s="124">
        <f t="shared" si="24"/>
        <v>0.7542108817919595</v>
      </c>
      <c r="AL155" s="124">
        <f t="shared" si="25"/>
        <v>1.3329972818297691</v>
      </c>
      <c r="AM155" s="124">
        <f t="shared" si="26"/>
        <v>0.51246781774693739</v>
      </c>
      <c r="AN155" s="124">
        <f t="shared" si="27"/>
        <v>0.25597793094252608</v>
      </c>
      <c r="AO155" s="124">
        <f t="shared" si="28"/>
        <v>1.3434381331919276</v>
      </c>
    </row>
    <row r="156" spans="1:42" ht="14">
      <c r="A156">
        <f t="shared" si="18"/>
        <v>-2</v>
      </c>
      <c r="B156" s="21">
        <v>78</v>
      </c>
      <c r="C156" s="127">
        <f t="shared" si="16"/>
        <v>81.974612405724244</v>
      </c>
      <c r="D156" s="125">
        <f>(($C$39*$C$118*0.72)*D$40)*('Product half-life and C flows'!B57/100)</f>
        <v>2.1652050221269263</v>
      </c>
      <c r="E156" s="26"/>
      <c r="F156" s="54">
        <f t="shared" si="29"/>
        <v>0</v>
      </c>
      <c r="G156" s="54">
        <f t="shared" si="29"/>
        <v>0.7542108817919595</v>
      </c>
      <c r="H156" s="125">
        <f>(H$118)*('Product half-life and C flows'!L57/100)</f>
        <v>1.3126220890392692</v>
      </c>
      <c r="I156" s="125">
        <f>(($C$39*$C$118*0.28)*H$41)*('Product half-life and C flows'!N57/100)</f>
        <v>0.52266560173858245</v>
      </c>
      <c r="J156" s="125">
        <f>(($C$39*$C$118*0.28)*H$41)*(+'Product half-life and C flows'!P57/100)</f>
        <v>0.26107172914015103</v>
      </c>
      <c r="K156" s="54">
        <f t="shared" si="15"/>
        <v>1.3434381331919276</v>
      </c>
      <c r="L156" s="26"/>
      <c r="M156" s="80"/>
      <c r="N156" s="80"/>
      <c r="O156" s="82"/>
      <c r="P156" s="81"/>
      <c r="Q156" s="81"/>
      <c r="R156" s="81"/>
      <c r="S156" s="81"/>
      <c r="T156" s="81"/>
      <c r="U156" s="3"/>
      <c r="V156" s="88"/>
      <c r="W156" s="88"/>
      <c r="X156" s="88"/>
      <c r="Y156" s="88"/>
      <c r="Z156" s="88"/>
      <c r="AA156" s="88"/>
      <c r="AB156" s="88"/>
      <c r="AC156" s="88"/>
      <c r="AE156">
        <f t="shared" si="19"/>
        <v>-2</v>
      </c>
      <c r="AG156" s="113">
        <f t="shared" si="20"/>
        <v>81.974612405724244</v>
      </c>
      <c r="AH156" s="124">
        <f t="shared" si="21"/>
        <v>2.1652050221269263</v>
      </c>
      <c r="AI156" s="124">
        <f t="shared" si="22"/>
        <v>0</v>
      </c>
      <c r="AJ156" s="124">
        <f t="shared" si="23"/>
        <v>0</v>
      </c>
      <c r="AK156" s="124">
        <f t="shared" si="24"/>
        <v>0.7542108817919595</v>
      </c>
      <c r="AL156" s="124">
        <f t="shared" si="25"/>
        <v>1.3126220890392692</v>
      </c>
      <c r="AM156" s="124">
        <f t="shared" si="26"/>
        <v>0.52266560173858245</v>
      </c>
      <c r="AN156" s="124">
        <f t="shared" si="27"/>
        <v>0.26107172914015103</v>
      </c>
      <c r="AO156" s="124">
        <f t="shared" si="28"/>
        <v>1.3434381331919276</v>
      </c>
    </row>
    <row r="157" spans="1:42" ht="14">
      <c r="A157">
        <f>A158-1</f>
        <v>-1</v>
      </c>
      <c r="B157" s="21">
        <v>79</v>
      </c>
      <c r="C157" s="127">
        <f t="shared" si="16"/>
        <v>83.69778582830314</v>
      </c>
      <c r="D157" s="125">
        <f>(($C$39*$C$118*0.72)*D$40)*('Product half-life and C flows'!B58/100)</f>
        <v>2.0914501904429224</v>
      </c>
      <c r="E157" s="26"/>
      <c r="F157" s="54">
        <f t="shared" si="29"/>
        <v>0</v>
      </c>
      <c r="G157" s="54">
        <f t="shared" si="29"/>
        <v>0.7542108817919595</v>
      </c>
      <c r="H157" s="125">
        <f>(H$118)*('Product half-life and C flows'!L58/100)</f>
        <v>1.2925583361045809</v>
      </c>
      <c r="I157" s="125">
        <f>(($C$39*$C$118*0.28)*H$41)*('Product half-life and C flows'!N58/100)</f>
        <v>0.53270751008239392</v>
      </c>
      <c r="J157" s="125">
        <f>(($C$39*$C$118*0.28)*H$41)*(+'Product half-life and C flows'!P58/100)</f>
        <v>0.26608766737382311</v>
      </c>
      <c r="K157" s="54">
        <f t="shared" si="15"/>
        <v>1.3434381331919276</v>
      </c>
      <c r="L157" s="26"/>
      <c r="M157" s="80"/>
      <c r="N157" s="80"/>
      <c r="O157" s="82"/>
      <c r="P157" s="81"/>
      <c r="Q157" s="81"/>
      <c r="R157" s="81"/>
      <c r="S157" s="81"/>
      <c r="T157" s="81"/>
      <c r="U157" s="3"/>
      <c r="V157" s="88"/>
      <c r="W157" s="88"/>
      <c r="X157" s="88"/>
      <c r="Y157" s="88"/>
      <c r="Z157" s="88"/>
      <c r="AA157" s="88"/>
      <c r="AB157" s="88"/>
      <c r="AC157" s="88"/>
      <c r="AE157">
        <f t="shared" si="19"/>
        <v>-1</v>
      </c>
      <c r="AG157" s="113">
        <f t="shared" si="20"/>
        <v>83.69778582830314</v>
      </c>
      <c r="AH157" s="124">
        <f t="shared" si="21"/>
        <v>2.0914501904429224</v>
      </c>
      <c r="AI157" s="124">
        <f t="shared" si="22"/>
        <v>0</v>
      </c>
      <c r="AJ157" s="124">
        <f t="shared" si="23"/>
        <v>0</v>
      </c>
      <c r="AK157" s="124">
        <f t="shared" si="24"/>
        <v>0.7542108817919595</v>
      </c>
      <c r="AL157" s="124">
        <f t="shared" si="25"/>
        <v>1.2925583361045809</v>
      </c>
      <c r="AM157" s="124">
        <f t="shared" si="26"/>
        <v>0.53270751008239392</v>
      </c>
      <c r="AN157" s="124">
        <f t="shared" si="27"/>
        <v>0.26608766737382311</v>
      </c>
      <c r="AO157" s="124">
        <f t="shared" si="28"/>
        <v>1.3434381331919276</v>
      </c>
    </row>
    <row r="158" spans="1:42" ht="14">
      <c r="A158">
        <v>0</v>
      </c>
      <c r="B158" s="21">
        <v>80</v>
      </c>
      <c r="C158" s="26">
        <f t="shared" ref="C158:C221" si="30">B$8*(1-EXP(-B$9*$B158))^3</f>
        <v>85.420959250881964</v>
      </c>
      <c r="D158" s="125">
        <f>(($C$39*$C$118*0.72)*D$40)*('Product half-life and C flows'!B59/100)</f>
        <v>2.0202077190856054</v>
      </c>
      <c r="E158" s="26"/>
      <c r="F158" s="54">
        <f t="shared" si="29"/>
        <v>0</v>
      </c>
      <c r="G158" s="54">
        <f t="shared" si="29"/>
        <v>0.7542108817919595</v>
      </c>
      <c r="H158" s="125">
        <f>(H$118)*('Product half-life and C flows'!L59/100)</f>
        <v>1.272801262590562</v>
      </c>
      <c r="I158" s="125">
        <f>(($C$39*$C$118*0.28)*H$41)*('Product half-life and C flows'!N59/100)</f>
        <v>0.54259592537616042</v>
      </c>
      <c r="J158" s="125">
        <f>(($C$39*$C$118*0.28)*H$41)*(+'Product half-life and C flows'!P59/100)</f>
        <v>0.27102693575232778</v>
      </c>
      <c r="K158" s="54">
        <f t="shared" si="15"/>
        <v>1.3434381331919276</v>
      </c>
      <c r="L158" s="26"/>
      <c r="M158" s="83">
        <f>C$158*(0.4*D$14)*('Product half-life and C flows'!B19/100)</f>
        <v>34.168383700352784</v>
      </c>
      <c r="N158" s="83">
        <f t="shared" ref="N158:N221" si="31">C$8*(1-EXP(-C$9*$B78))^3</f>
        <v>0</v>
      </c>
      <c r="O158" s="84">
        <f>(C$158*((0.4*B$14))-(C$158*0.03))</f>
        <v>-2.5626287775264589</v>
      </c>
      <c r="P158" s="83">
        <f>(C$158*((0.6*B$15)))</f>
        <v>12.300618132127003</v>
      </c>
      <c r="Q158" s="83">
        <f>C$158*(0.6*C$15)*('Product half-life and C flows'!L19/100)</f>
        <v>38.43943166289688</v>
      </c>
      <c r="R158" s="83">
        <f>C$158*0.6*('Product half-life and C flows'!N19/100)</f>
        <v>0</v>
      </c>
      <c r="S158" s="83">
        <f>C$158*0.6*('Product half-life and C flows'!P19/100)</f>
        <v>0</v>
      </c>
      <c r="T158" s="83">
        <f>(Q158*T$42)</f>
        <v>21.910476047851219</v>
      </c>
      <c r="U158" s="3"/>
      <c r="V158" s="88"/>
      <c r="W158" s="88"/>
      <c r="X158" s="88"/>
      <c r="Y158" s="88"/>
      <c r="Z158" s="88"/>
      <c r="AA158" s="88"/>
      <c r="AB158" s="88"/>
      <c r="AC158" s="88"/>
      <c r="AE158">
        <f t="shared" si="19"/>
        <v>0</v>
      </c>
      <c r="AF158" s="3">
        <f>D$8*(1-EXP(-D$9*$B78))^3</f>
        <v>0</v>
      </c>
      <c r="AG158" s="113">
        <f t="shared" si="20"/>
        <v>85.420959250881964</v>
      </c>
      <c r="AH158" s="124">
        <f t="shared" si="21"/>
        <v>36.188591419438389</v>
      </c>
      <c r="AI158" s="124">
        <f t="shared" si="22"/>
        <v>0</v>
      </c>
      <c r="AJ158" s="124">
        <f t="shared" si="23"/>
        <v>-2.5626287775264589</v>
      </c>
      <c r="AK158" s="124">
        <f t="shared" si="24"/>
        <v>13.054829013918962</v>
      </c>
      <c r="AL158" s="124">
        <f t="shared" si="25"/>
        <v>39.712232925487442</v>
      </c>
      <c r="AM158" s="124">
        <f t="shared" si="26"/>
        <v>0.54259592537616042</v>
      </c>
      <c r="AN158" s="124">
        <f t="shared" si="27"/>
        <v>0.27102693575232778</v>
      </c>
      <c r="AO158" s="124">
        <f t="shared" si="28"/>
        <v>23.253914181043147</v>
      </c>
      <c r="AP158" s="3">
        <f t="shared" ref="AP158:AP221" si="32">SUM(AI158:AN158)</f>
        <v>51.018056023008434</v>
      </c>
    </row>
    <row r="159" spans="1:42" ht="14">
      <c r="A159">
        <f>A158+1</f>
        <v>1</v>
      </c>
      <c r="B159" s="21">
        <v>81</v>
      </c>
      <c r="C159" s="26">
        <f t="shared" si="30"/>
        <v>86.711058851161368</v>
      </c>
      <c r="D159" s="125">
        <f>(($C$39*$C$118*0.72)*D$40)*('Product half-life and C flows'!B60/100)</f>
        <v>1.9513920278391859</v>
      </c>
      <c r="E159" s="26"/>
      <c r="F159" s="54">
        <f t="shared" si="29"/>
        <v>0</v>
      </c>
      <c r="G159" s="54">
        <f t="shared" si="29"/>
        <v>0.7542108817919595</v>
      </c>
      <c r="H159" s="125">
        <f>(H$118)*('Product half-life and C flows'!L60/100)</f>
        <v>1.2533461808264976</v>
      </c>
      <c r="I159" s="125">
        <f>(($C$39*$C$118*0.28)*H$41)*('Product half-life and C flows'!N60/100)</f>
        <v>0.55233319379907475</v>
      </c>
      <c r="J159" s="125">
        <f>(($C$39*$C$118*0.28)*H$41)*(+'Product half-life and C flows'!P60/100)</f>
        <v>0.27589070619334394</v>
      </c>
      <c r="K159" s="54">
        <f t="shared" si="15"/>
        <v>1.3434381331919276</v>
      </c>
      <c r="L159" s="26"/>
      <c r="M159" s="83">
        <f>C$158*(0.4*D$14)*('Product half-life and C flows'!B20/100)</f>
        <v>33.004483116814299</v>
      </c>
      <c r="N159" s="83">
        <f t="shared" si="31"/>
        <v>6.6880163224559471E-3</v>
      </c>
      <c r="O159" s="83">
        <f>O158</f>
        <v>-2.5626287775264589</v>
      </c>
      <c r="P159" s="83">
        <f>P158</f>
        <v>12.300618132127003</v>
      </c>
      <c r="Q159" s="83">
        <f>C$158*(0.6*C$15)*('Product half-life and C flows'!L20/100)</f>
        <v>37.85187545286945</v>
      </c>
      <c r="R159" s="83">
        <f>C$158*0.6*('Product half-life and C flows'!N20/100)</f>
        <v>0.3920958441583029</v>
      </c>
      <c r="S159" s="83">
        <f>C$158*0.6*('Product half-life and C flows'!P20/100)</f>
        <v>0.19585207000914232</v>
      </c>
      <c r="T159" s="83">
        <f>T158</f>
        <v>21.910476047851219</v>
      </c>
      <c r="U159" s="3"/>
      <c r="V159" s="88"/>
      <c r="W159" s="88"/>
      <c r="X159" s="88"/>
      <c r="Y159" s="88"/>
      <c r="Z159" s="88"/>
      <c r="AA159" s="88"/>
      <c r="AB159" s="88"/>
      <c r="AC159" s="88"/>
      <c r="AE159">
        <f t="shared" si="19"/>
        <v>1</v>
      </c>
      <c r="AF159" s="3">
        <f t="shared" ref="AF159:AF222" si="33">D$8*(1-EXP(-D$9*$B79))^3</f>
        <v>2.3896968363273279E-3</v>
      </c>
      <c r="AG159" s="113">
        <f t="shared" si="20"/>
        <v>86.711058851161368</v>
      </c>
      <c r="AH159" s="124">
        <f t="shared" si="21"/>
        <v>34.955875144653483</v>
      </c>
      <c r="AI159" s="124">
        <f t="shared" si="22"/>
        <v>6.6880163224559471E-3</v>
      </c>
      <c r="AJ159" s="124">
        <f t="shared" si="23"/>
        <v>-2.5626287775264589</v>
      </c>
      <c r="AK159" s="124">
        <f t="shared" si="24"/>
        <v>13.054829013918962</v>
      </c>
      <c r="AL159" s="124">
        <f t="shared" si="25"/>
        <v>39.105221633695948</v>
      </c>
      <c r="AM159" s="124">
        <f t="shared" si="26"/>
        <v>0.94442903795737765</v>
      </c>
      <c r="AN159" s="124">
        <f t="shared" si="27"/>
        <v>0.47174277620248628</v>
      </c>
      <c r="AO159" s="124">
        <f t="shared" si="28"/>
        <v>23.253914181043147</v>
      </c>
      <c r="AP159" s="3">
        <f t="shared" si="32"/>
        <v>51.020281700570777</v>
      </c>
    </row>
    <row r="160" spans="1:42" ht="14">
      <c r="A160">
        <f t="shared" ref="A160:A175" si="34">A159+1</f>
        <v>2</v>
      </c>
      <c r="B160" s="21">
        <v>82</v>
      </c>
      <c r="C160" s="26">
        <f t="shared" si="30"/>
        <v>87.98815549932786</v>
      </c>
      <c r="D160" s="125">
        <f>(($C$39*$C$118*0.72)*D$40)*('Product half-life and C flows'!B61/100)</f>
        <v>1.8849204516641926</v>
      </c>
      <c r="E160" s="26"/>
      <c r="F160" s="54">
        <f t="shared" si="29"/>
        <v>0</v>
      </c>
      <c r="G160" s="54">
        <f t="shared" si="29"/>
        <v>0.7542108817919595</v>
      </c>
      <c r="H160" s="125">
        <f>(H$118)*('Product half-life and C flows'!L61/100)</f>
        <v>1.2341884747938774</v>
      </c>
      <c r="I160" s="125">
        <f>(($C$39*$C$118*0.28)*H$41)*('Product half-life and C flows'!N61/100)</f>
        <v>0.5619216256684012</v>
      </c>
      <c r="J160" s="125">
        <f>(($C$39*$C$118*0.28)*H$41)*(+'Product half-life and C flows'!P61/100)</f>
        <v>0.280680132701499</v>
      </c>
      <c r="K160" s="54">
        <f t="shared" si="15"/>
        <v>1.3434381331919276</v>
      </c>
      <c r="L160" s="26"/>
      <c r="M160" s="83">
        <f>C$158*(0.4*D$14)*('Product half-life and C flows'!B21/100)</f>
        <v>31.880229259917648</v>
      </c>
      <c r="N160" s="83">
        <f t="shared" si="31"/>
        <v>5.0418532610901234E-2</v>
      </c>
      <c r="O160" s="83">
        <f t="shared" ref="O160:P175" si="35">O159</f>
        <v>-2.5626287775264589</v>
      </c>
      <c r="P160" s="83">
        <f t="shared" si="35"/>
        <v>12.300618132127003</v>
      </c>
      <c r="Q160" s="83">
        <f>C$158*(0.6*C$15)*('Product half-life and C flows'!L21/100)</f>
        <v>37.273300184677211</v>
      </c>
      <c r="R160" s="83">
        <f>C$158*0.6*('Product half-life and C flows'!N21/100)</f>
        <v>0.77819840646526128</v>
      </c>
      <c r="S160" s="83">
        <f>C$158*0.6*('Product half-life and C flows'!P21/100)</f>
        <v>0.38871049273989072</v>
      </c>
      <c r="T160" s="83">
        <f t="shared" ref="T160:T223" si="36">T159</f>
        <v>21.910476047851219</v>
      </c>
      <c r="U160" s="3"/>
      <c r="V160" s="88"/>
      <c r="W160" s="88"/>
      <c r="X160" s="88"/>
      <c r="Y160" s="88"/>
      <c r="Z160" s="88"/>
      <c r="AA160" s="88"/>
      <c r="AB160" s="88"/>
      <c r="AC160" s="88"/>
      <c r="AE160">
        <f t="shared" si="19"/>
        <v>2</v>
      </c>
      <c r="AF160" s="3">
        <f t="shared" si="33"/>
        <v>1.8015058884947945E-2</v>
      </c>
      <c r="AG160" s="113">
        <f t="shared" si="20"/>
        <v>87.98815549932786</v>
      </c>
      <c r="AH160" s="124">
        <f t="shared" si="21"/>
        <v>33.765149711581842</v>
      </c>
      <c r="AI160" s="124">
        <f t="shared" si="22"/>
        <v>5.0418532610901234E-2</v>
      </c>
      <c r="AJ160" s="124">
        <f t="shared" si="23"/>
        <v>-2.5626287775264589</v>
      </c>
      <c r="AK160" s="124">
        <f t="shared" si="24"/>
        <v>13.054829013918962</v>
      </c>
      <c r="AL160" s="124">
        <f t="shared" si="25"/>
        <v>38.507488659471086</v>
      </c>
      <c r="AM160" s="124">
        <f t="shared" si="26"/>
        <v>1.3401200321336626</v>
      </c>
      <c r="AN160" s="124">
        <f t="shared" si="27"/>
        <v>0.66939062544138972</v>
      </c>
      <c r="AO160" s="124">
        <f t="shared" si="28"/>
        <v>23.253914181043147</v>
      </c>
      <c r="AP160" s="3">
        <f t="shared" si="32"/>
        <v>51.059618086049539</v>
      </c>
    </row>
    <row r="161" spans="1:42" ht="14">
      <c r="A161">
        <f t="shared" si="34"/>
        <v>3</v>
      </c>
      <c r="B161" s="21">
        <v>83</v>
      </c>
      <c r="C161" s="26">
        <f t="shared" si="30"/>
        <v>89.25207374798569</v>
      </c>
      <c r="D161" s="125">
        <f>(($C$39*$C$118*0.72)*D$40)*('Product half-life and C flows'!B62/100)</f>
        <v>1.8207131413958721</v>
      </c>
      <c r="E161" s="26"/>
      <c r="F161" s="54">
        <f t="shared" si="29"/>
        <v>0</v>
      </c>
      <c r="G161" s="54">
        <f t="shared" si="29"/>
        <v>0.7542108817919595</v>
      </c>
      <c r="H161" s="125">
        <f>(H$118)*('Product half-life and C flows'!L62/100)</f>
        <v>1.2153235990311755</v>
      </c>
      <c r="I161" s="125">
        <f>(($C$39*$C$118*0.28)*H$41)*('Product half-life and C flows'!N62/100)</f>
        <v>0.57136349598763347</v>
      </c>
      <c r="J161" s="125">
        <f>(($C$39*$C$118*0.28)*H$41)*(+'Product half-life and C flows'!P62/100)</f>
        <v>0.28539635164217447</v>
      </c>
      <c r="K161" s="54">
        <f t="shared" si="15"/>
        <v>1.3434381331919276</v>
      </c>
      <c r="L161" s="26"/>
      <c r="M161" s="83">
        <f>C$158*(0.4*D$14)*('Product half-life and C flows'!B22/100)</f>
        <v>30.794271616607297</v>
      </c>
      <c r="N161" s="83">
        <f t="shared" si="31"/>
        <v>0.16041335764575598</v>
      </c>
      <c r="O161" s="83">
        <f t="shared" si="35"/>
        <v>-2.5626287775264589</v>
      </c>
      <c r="P161" s="83">
        <f t="shared" si="35"/>
        <v>12.300618132127003</v>
      </c>
      <c r="Q161" s="83">
        <f>C$158*(0.6*C$15)*('Product half-life and C flows'!L22/100)</f>
        <v>36.703568582405303</v>
      </c>
      <c r="R161" s="83">
        <f>C$158*0.6*('Product half-life and C flows'!N22/100)</f>
        <v>1.1583992957147098</v>
      </c>
      <c r="S161" s="83">
        <f>C$158*0.6*('Product half-life and C flows'!P22/100)</f>
        <v>0.5786210268305243</v>
      </c>
      <c r="T161" s="83">
        <f t="shared" si="36"/>
        <v>21.910476047851219</v>
      </c>
      <c r="U161" s="3"/>
      <c r="V161" s="88"/>
      <c r="W161" s="88"/>
      <c r="X161" s="88"/>
      <c r="Y161" s="88"/>
      <c r="Z161" s="88"/>
      <c r="AA161" s="88"/>
      <c r="AB161" s="88"/>
      <c r="AC161" s="88"/>
      <c r="AE161">
        <f t="shared" si="19"/>
        <v>3</v>
      </c>
      <c r="AF161" s="3">
        <f t="shared" si="33"/>
        <v>5.731733817448862E-2</v>
      </c>
      <c r="AG161" s="113">
        <f t="shared" si="20"/>
        <v>89.25207374798569</v>
      </c>
      <c r="AH161" s="124">
        <f t="shared" si="21"/>
        <v>32.614984758003168</v>
      </c>
      <c r="AI161" s="124">
        <f t="shared" si="22"/>
        <v>0.16041335764575598</v>
      </c>
      <c r="AJ161" s="124">
        <f t="shared" si="23"/>
        <v>-2.5626287775264589</v>
      </c>
      <c r="AK161" s="124">
        <f t="shared" si="24"/>
        <v>13.054829013918962</v>
      </c>
      <c r="AL161" s="124">
        <f t="shared" si="25"/>
        <v>37.918892181436476</v>
      </c>
      <c r="AM161" s="124">
        <f t="shared" si="26"/>
        <v>1.7297627917023433</v>
      </c>
      <c r="AN161" s="124">
        <f t="shared" si="27"/>
        <v>0.86401737847269877</v>
      </c>
      <c r="AO161" s="124">
        <f t="shared" si="28"/>
        <v>23.253914181043147</v>
      </c>
      <c r="AP161" s="3">
        <f t="shared" si="32"/>
        <v>51.165285945649771</v>
      </c>
    </row>
    <row r="162" spans="1:42" ht="14">
      <c r="A162">
        <f t="shared" si="34"/>
        <v>4</v>
      </c>
      <c r="B162" s="21">
        <v>84</v>
      </c>
      <c r="C162" s="26">
        <f t="shared" si="30"/>
        <v>90.502655169824934</v>
      </c>
      <c r="D162" s="125">
        <f>(($C$39*$C$118*0.72)*D$40)*('Product half-life and C flows'!B63/100)</f>
        <v>1.7586929678251519</v>
      </c>
      <c r="E162" s="26"/>
      <c r="F162" s="54">
        <f t="shared" si="29"/>
        <v>0</v>
      </c>
      <c r="G162" s="54">
        <f t="shared" si="29"/>
        <v>0.7542108817919595</v>
      </c>
      <c r="H162" s="125">
        <f>(H$118)*('Product half-life and C flows'!L63/100)</f>
        <v>1.1967470775553679</v>
      </c>
      <c r="I162" s="125">
        <f>(($C$39*$C$118*0.28)*H$41)*('Product half-life and C flows'!N63/100)</f>
        <v>0.58066104498627524</v>
      </c>
      <c r="J162" s="125">
        <f>(($C$39*$C$118*0.28)*H$41)*(+'Product half-life and C flows'!P63/100)</f>
        <v>0.29004048201112637</v>
      </c>
      <c r="K162" s="54">
        <f t="shared" si="15"/>
        <v>1.3434381331919276</v>
      </c>
      <c r="L162" s="26"/>
      <c r="M162" s="83">
        <f>C$158*(0.4*D$14)*('Product half-life and C flows'!B23/100)</f>
        <v>29.745305677260223</v>
      </c>
      <c r="N162" s="83">
        <f t="shared" si="31"/>
        <v>0.35859718815808966</v>
      </c>
      <c r="O162" s="83">
        <f t="shared" si="35"/>
        <v>-2.5626287775264589</v>
      </c>
      <c r="P162" s="83">
        <f t="shared" si="35"/>
        <v>12.300618132127003</v>
      </c>
      <c r="Q162" s="83">
        <f>C$158*(0.6*C$15)*('Product half-life and C flows'!L23/100)</f>
        <v>36.142545468435195</v>
      </c>
      <c r="R162" s="83">
        <f>C$158*0.6*('Product half-life and C flows'!N23/100)</f>
        <v>1.5327887204374295</v>
      </c>
      <c r="S162" s="83">
        <f>C$158*0.6*('Product half-life and C flows'!P23/100)</f>
        <v>0.76562873148722743</v>
      </c>
      <c r="T162" s="83">
        <f t="shared" si="36"/>
        <v>21.910476047851219</v>
      </c>
      <c r="U162" s="3"/>
      <c r="V162" s="88"/>
      <c r="W162" s="88"/>
      <c r="X162" s="88"/>
      <c r="Y162" s="88"/>
      <c r="Z162" s="88"/>
      <c r="AA162" s="88"/>
      <c r="AB162" s="88"/>
      <c r="AC162" s="88"/>
      <c r="AE162">
        <f t="shared" si="19"/>
        <v>4</v>
      </c>
      <c r="AF162" s="3">
        <f t="shared" si="33"/>
        <v>0.12813045374604898</v>
      </c>
      <c r="AG162" s="113">
        <f t="shared" si="20"/>
        <v>90.502655169824934</v>
      </c>
      <c r="AH162" s="124">
        <f t="shared" si="21"/>
        <v>31.503998645085375</v>
      </c>
      <c r="AI162" s="124">
        <f t="shared" si="22"/>
        <v>0.35859718815808966</v>
      </c>
      <c r="AJ162" s="124">
        <f t="shared" si="23"/>
        <v>-2.5626287775264589</v>
      </c>
      <c r="AK162" s="124">
        <f t="shared" si="24"/>
        <v>13.054829013918962</v>
      </c>
      <c r="AL162" s="124">
        <f t="shared" si="25"/>
        <v>37.33929254599056</v>
      </c>
      <c r="AM162" s="124">
        <f t="shared" si="26"/>
        <v>2.113449765423705</v>
      </c>
      <c r="AN162" s="124">
        <f t="shared" si="27"/>
        <v>1.0556692134983539</v>
      </c>
      <c r="AO162" s="124">
        <f t="shared" si="28"/>
        <v>23.253914181043147</v>
      </c>
      <c r="AP162" s="3">
        <f t="shared" si="32"/>
        <v>51.359208949463209</v>
      </c>
    </row>
    <row r="163" spans="1:42" ht="14">
      <c r="A163">
        <f t="shared" si="34"/>
        <v>5</v>
      </c>
      <c r="B163" s="21">
        <v>85</v>
      </c>
      <c r="C163" s="26">
        <f t="shared" si="30"/>
        <v>91.73975768915416</v>
      </c>
      <c r="D163" s="125">
        <f>(($C$39*$C$118*0.72)*D$40)*('Product half-life and C flows'!B64/100)</f>
        <v>1.6987854290469688</v>
      </c>
      <c r="E163" s="26"/>
      <c r="F163" s="54">
        <f t="shared" si="29"/>
        <v>0</v>
      </c>
      <c r="G163" s="54">
        <f t="shared" si="29"/>
        <v>0.7542108817919595</v>
      </c>
      <c r="H163" s="125">
        <f>(H$118)*('Product half-life and C flows'!L64/100)</f>
        <v>1.1784545027999367</v>
      </c>
      <c r="I163" s="125">
        <f>(($C$39*$C$118*0.28)*H$41)*('Product half-life and C flows'!N64/100)</f>
        <v>0.58981647865136866</v>
      </c>
      <c r="J163" s="125">
        <f>(($C$39*$C$118*0.28)*H$41)*(+'Product half-life and C flows'!P64/100)</f>
        <v>0.29461362569998417</v>
      </c>
      <c r="K163" s="54">
        <f t="shared" si="15"/>
        <v>1.3434381331919276</v>
      </c>
      <c r="L163" s="26"/>
      <c r="M163" s="83">
        <f>C$158*(0.4*D$14)*('Product half-life and C flows'!B24/100)</f>
        <v>28.732071368640106</v>
      </c>
      <c r="N163" s="83">
        <f t="shared" si="31"/>
        <v>0.66078557389625781</v>
      </c>
      <c r="O163" s="83">
        <f t="shared" si="35"/>
        <v>-2.5626287775264589</v>
      </c>
      <c r="P163" s="83">
        <f t="shared" si="35"/>
        <v>12.300618132127003</v>
      </c>
      <c r="Q163" s="83">
        <f>C$158*(0.6*C$15)*('Product half-life and C flows'!L24/100)</f>
        <v>35.590097731371614</v>
      </c>
      <c r="R163" s="83">
        <f>C$158*0.6*('Product half-life and C flows'!N24/100)</f>
        <v>1.9014555103045299</v>
      </c>
      <c r="S163" s="83">
        <f>C$158*0.6*('Product half-life and C flows'!P24/100)</f>
        <v>0.94977797717508994</v>
      </c>
      <c r="T163" s="83">
        <f t="shared" si="36"/>
        <v>21.910476047851219</v>
      </c>
      <c r="U163" s="3"/>
      <c r="V163" s="88"/>
      <c r="W163" s="88"/>
      <c r="X163" s="88"/>
      <c r="Y163" s="88"/>
      <c r="Z163" s="88"/>
      <c r="AA163" s="88"/>
      <c r="AB163" s="88"/>
      <c r="AC163" s="88"/>
      <c r="AE163">
        <f t="shared" si="19"/>
        <v>5</v>
      </c>
      <c r="AF163" s="3">
        <f t="shared" si="33"/>
        <v>0.23610546375741537</v>
      </c>
      <c r="AG163" s="113">
        <f t="shared" si="20"/>
        <v>91.73975768915416</v>
      </c>
      <c r="AH163" s="124">
        <f t="shared" si="21"/>
        <v>30.430856797687074</v>
      </c>
      <c r="AI163" s="124">
        <f t="shared" si="22"/>
        <v>0.66078557389625781</v>
      </c>
      <c r="AJ163" s="124">
        <f t="shared" si="23"/>
        <v>-2.5626287775264589</v>
      </c>
      <c r="AK163" s="124">
        <f t="shared" si="24"/>
        <v>13.054829013918962</v>
      </c>
      <c r="AL163" s="124">
        <f t="shared" si="25"/>
        <v>36.768552234171551</v>
      </c>
      <c r="AM163" s="124">
        <f t="shared" si="26"/>
        <v>2.4912719889558987</v>
      </c>
      <c r="AN163" s="124">
        <f t="shared" si="27"/>
        <v>1.2443916028750741</v>
      </c>
      <c r="AO163" s="124">
        <f t="shared" si="28"/>
        <v>23.253914181043147</v>
      </c>
      <c r="AP163" s="3">
        <f t="shared" si="32"/>
        <v>51.65720163629129</v>
      </c>
    </row>
    <row r="164" spans="1:42" ht="14">
      <c r="A164">
        <f t="shared" si="34"/>
        <v>6</v>
      </c>
      <c r="B164" s="21">
        <v>86</v>
      </c>
      <c r="C164" s="26">
        <f t="shared" si="30"/>
        <v>92.96325492803625</v>
      </c>
      <c r="D164" s="125">
        <f>(($C$39*$C$118*0.72)*D$40)*('Product half-life and C flows'!B65/100)</f>
        <v>1.6409185609646479</v>
      </c>
      <c r="E164" s="26"/>
      <c r="F164" s="54">
        <f t="shared" si="29"/>
        <v>0</v>
      </c>
      <c r="G164" s="54">
        <f t="shared" si="29"/>
        <v>0.7542108817919595</v>
      </c>
      <c r="H164" s="125">
        <f>(H$118)*('Product half-life and C flows'!L65/100)</f>
        <v>1.1604415345691077</v>
      </c>
      <c r="I164" s="125">
        <f>(($C$39*$C$118*0.28)*H$41)*('Product half-life and C flows'!N65/100)</f>
        <v>0.59883196925089854</v>
      </c>
      <c r="J164" s="125">
        <f>(($C$39*$C$118*0.28)*H$41)*(+'Product half-life and C flows'!P65/100)</f>
        <v>0.29911686775769142</v>
      </c>
      <c r="K164" s="54">
        <f t="shared" si="15"/>
        <v>1.3434381331919276</v>
      </c>
      <c r="L164" s="26"/>
      <c r="M164" s="83">
        <f>C$158*(0.4*D$14)*('Product half-life and C flows'!B25/100)</f>
        <v>27.753351540230884</v>
      </c>
      <c r="N164" s="83">
        <f t="shared" si="31"/>
        <v>1.0777084645502373</v>
      </c>
      <c r="O164" s="83">
        <f t="shared" si="35"/>
        <v>-2.5626287775264589</v>
      </c>
      <c r="P164" s="83">
        <f t="shared" si="35"/>
        <v>12.300618132127003</v>
      </c>
      <c r="Q164" s="83">
        <f>C$158*(0.6*C$15)*('Product half-life and C flows'!L25/100)</f>
        <v>35.046094294459856</v>
      </c>
      <c r="R164" s="83">
        <f>C$158*0.6*('Product half-life and C flows'!N25/100)</f>
        <v>2.2644871372036404</v>
      </c>
      <c r="S164" s="83">
        <f>C$158*0.6*('Product half-life and C flows'!P25/100)</f>
        <v>1.1311124561456747</v>
      </c>
      <c r="T164" s="83">
        <f t="shared" si="36"/>
        <v>21.910476047851219</v>
      </c>
      <c r="U164" s="3"/>
      <c r="V164" s="88"/>
      <c r="W164" s="88"/>
      <c r="X164" s="88"/>
      <c r="Y164" s="88"/>
      <c r="Z164" s="88"/>
      <c r="AA164" s="88"/>
      <c r="AB164" s="88"/>
      <c r="AC164" s="88"/>
      <c r="AE164">
        <f t="shared" si="19"/>
        <v>6</v>
      </c>
      <c r="AF164" s="3">
        <f t="shared" si="33"/>
        <v>0.38507628929846233</v>
      </c>
      <c r="AG164" s="113">
        <f t="shared" si="20"/>
        <v>92.96325492803625</v>
      </c>
      <c r="AH164" s="124">
        <f t="shared" si="21"/>
        <v>29.394270101195531</v>
      </c>
      <c r="AI164" s="124">
        <f t="shared" si="22"/>
        <v>1.0777084645502373</v>
      </c>
      <c r="AJ164" s="124">
        <f t="shared" si="23"/>
        <v>-2.5626287775264589</v>
      </c>
      <c r="AK164" s="124">
        <f t="shared" si="24"/>
        <v>13.054829013918962</v>
      </c>
      <c r="AL164" s="124">
        <f t="shared" si="25"/>
        <v>36.206535829028965</v>
      </c>
      <c r="AM164" s="124">
        <f t="shared" si="26"/>
        <v>2.8633191064545391</v>
      </c>
      <c r="AN164" s="124">
        <f t="shared" si="27"/>
        <v>1.4302293239033661</v>
      </c>
      <c r="AO164" s="124">
        <f t="shared" si="28"/>
        <v>23.253914181043147</v>
      </c>
      <c r="AP164" s="3">
        <f t="shared" si="32"/>
        <v>52.069992960329614</v>
      </c>
    </row>
    <row r="165" spans="1:42" ht="14">
      <c r="A165">
        <f t="shared" si="34"/>
        <v>7</v>
      </c>
      <c r="B165" s="21">
        <v>87</v>
      </c>
      <c r="C165" s="26">
        <f t="shared" si="30"/>
        <v>94.17303556736168</v>
      </c>
      <c r="D165" s="125">
        <f>(($C$39*$C$118*0.72)*D$40)*('Product half-life and C flows'!B66/100)</f>
        <v>1.5850228508428321</v>
      </c>
      <c r="E165" s="26"/>
      <c r="F165" s="54">
        <f t="shared" si="29"/>
        <v>0</v>
      </c>
      <c r="G165" s="54">
        <f t="shared" si="29"/>
        <v>0.7542108817919595</v>
      </c>
      <c r="H165" s="125">
        <f>(H$118)*('Product half-life and C flows'!L66/100)</f>
        <v>1.1427038990080711</v>
      </c>
      <c r="I165" s="125">
        <f>(($C$39*$C$118*0.28)*H$41)*('Product half-life and C flows'!N66/100)</f>
        <v>0.60770965584919734</v>
      </c>
      <c r="J165" s="125">
        <f>(($C$39*$C$118*0.28)*H$41)*(+'Product half-life and C flows'!P66/100)</f>
        <v>0.30355127664795062</v>
      </c>
      <c r="K165" s="54">
        <f t="shared" si="15"/>
        <v>1.3434381331919276</v>
      </c>
      <c r="L165" s="26"/>
      <c r="M165" s="83">
        <f>C$158*(0.4*D$14)*('Product half-life and C flows'!B26/100)</f>
        <v>26.807970502131333</v>
      </c>
      <c r="N165" s="83">
        <f t="shared" si="31"/>
        <v>1.6158903296459175</v>
      </c>
      <c r="O165" s="83">
        <f t="shared" si="35"/>
        <v>-2.5626287775264589</v>
      </c>
      <c r="P165" s="83">
        <f t="shared" si="35"/>
        <v>12.300618132127003</v>
      </c>
      <c r="Q165" s="83">
        <f>C$158*(0.6*C$15)*('Product half-life and C flows'!L26/100)</f>
        <v>34.510406084485815</v>
      </c>
      <c r="R165" s="83">
        <f>C$158*0.6*('Product half-life and C flows'!N26/100)</f>
        <v>2.6219697359929812</v>
      </c>
      <c r="S165" s="83">
        <f>C$158*0.6*('Product half-life and C flows'!P26/100)</f>
        <v>1.3096751928036872</v>
      </c>
      <c r="T165" s="83">
        <f t="shared" si="36"/>
        <v>21.910476047851219</v>
      </c>
      <c r="U165" s="3"/>
      <c r="V165" s="88"/>
      <c r="W165" s="88"/>
      <c r="X165" s="88"/>
      <c r="Y165" s="88"/>
      <c r="Z165" s="88"/>
      <c r="AA165" s="88"/>
      <c r="AB165" s="88"/>
      <c r="AC165" s="88"/>
      <c r="AE165">
        <f t="shared" si="19"/>
        <v>7</v>
      </c>
      <c r="AF165" s="3">
        <f t="shared" si="33"/>
        <v>0.57737419025747405</v>
      </c>
      <c r="AG165" s="113">
        <f t="shared" si="20"/>
        <v>94.17303556736168</v>
      </c>
      <c r="AH165" s="124">
        <f t="shared" si="21"/>
        <v>28.392993352974166</v>
      </c>
      <c r="AI165" s="124">
        <f t="shared" si="22"/>
        <v>1.6158903296459175</v>
      </c>
      <c r="AJ165" s="124">
        <f t="shared" si="23"/>
        <v>-2.5626287775264589</v>
      </c>
      <c r="AK165" s="124">
        <f t="shared" si="24"/>
        <v>13.054829013918962</v>
      </c>
      <c r="AL165" s="124">
        <f t="shared" si="25"/>
        <v>35.653109983493884</v>
      </c>
      <c r="AM165" s="124">
        <f t="shared" si="26"/>
        <v>3.2296793918421787</v>
      </c>
      <c r="AN165" s="124">
        <f t="shared" si="27"/>
        <v>1.6132264694516378</v>
      </c>
      <c r="AO165" s="124">
        <f t="shared" si="28"/>
        <v>23.253914181043147</v>
      </c>
      <c r="AP165" s="3">
        <f t="shared" si="32"/>
        <v>52.60410641082612</v>
      </c>
    </row>
    <row r="166" spans="1:42" ht="14">
      <c r="A166">
        <f t="shared" si="34"/>
        <v>8</v>
      </c>
      <c r="B166" s="21">
        <v>88</v>
      </c>
      <c r="C166" s="26">
        <f t="shared" si="30"/>
        <v>95.369002723123899</v>
      </c>
      <c r="D166" s="125">
        <f>(($C$39*$C$118*0.72)*D$40)*('Product half-life and C flows'!B67/100)</f>
        <v>1.5310311538051182</v>
      </c>
      <c r="E166" s="26"/>
      <c r="F166" s="54">
        <f t="shared" si="29"/>
        <v>0</v>
      </c>
      <c r="G166" s="54">
        <f t="shared" si="29"/>
        <v>0.7542108817919595</v>
      </c>
      <c r="H166" s="125">
        <f>(H$118)*('Product half-life and C flows'!L67/100)</f>
        <v>1.1252373875889439</v>
      </c>
      <c r="I166" s="125">
        <f>(($C$39*$C$118*0.28)*H$41)*('Product half-life and C flows'!N67/100)</f>
        <v>0.61645164481447046</v>
      </c>
      <c r="J166" s="125">
        <f>(($C$39*$C$118*0.28)*H$41)*(+'Product half-life and C flows'!P67/100)</f>
        <v>0.30791790450273232</v>
      </c>
      <c r="K166" s="54">
        <f t="shared" si="15"/>
        <v>1.3434381331919276</v>
      </c>
      <c r="L166" s="26"/>
      <c r="M166" s="83">
        <f>C$158*(0.4*D$14)*('Product half-life and C flows'!B27/100)</f>
        <v>25.894792612754287</v>
      </c>
      <c r="N166" s="83">
        <f t="shared" si="31"/>
        <v>2.2784052810626787</v>
      </c>
      <c r="O166" s="83">
        <f t="shared" si="35"/>
        <v>-2.5626287775264589</v>
      </c>
      <c r="P166" s="83">
        <f t="shared" si="35"/>
        <v>12.300618132127003</v>
      </c>
      <c r="Q166" s="83">
        <f>C$158*(0.6*C$15)*('Product half-life and C flows'!L27/100)</f>
        <v>33.982906001151349</v>
      </c>
      <c r="R166" s="83">
        <f>C$158*0.6*('Product half-life and C flows'!N27/100)</f>
        <v>2.973988124938185</v>
      </c>
      <c r="S166" s="83">
        <f>C$158*0.6*('Product half-life and C flows'!P27/100)</f>
        <v>1.4855085539151776</v>
      </c>
      <c r="T166" s="83">
        <f t="shared" si="36"/>
        <v>21.910476047851219</v>
      </c>
      <c r="U166" s="3"/>
      <c r="V166" s="88"/>
      <c r="W166" s="88"/>
      <c r="X166" s="88"/>
      <c r="Y166" s="88"/>
      <c r="Z166" s="88"/>
      <c r="AA166" s="88"/>
      <c r="AB166" s="88"/>
      <c r="AC166" s="88"/>
      <c r="AE166">
        <f t="shared" si="19"/>
        <v>8</v>
      </c>
      <c r="AF166" s="3">
        <f t="shared" si="33"/>
        <v>0.81409757834256891</v>
      </c>
      <c r="AG166" s="113">
        <f t="shared" si="20"/>
        <v>95.369002723123899</v>
      </c>
      <c r="AH166" s="124">
        <f t="shared" si="21"/>
        <v>27.425823766559404</v>
      </c>
      <c r="AI166" s="124">
        <f t="shared" si="22"/>
        <v>2.2784052810626787</v>
      </c>
      <c r="AJ166" s="124">
        <f t="shared" si="23"/>
        <v>-2.5626287775264589</v>
      </c>
      <c r="AK166" s="124">
        <f t="shared" si="24"/>
        <v>13.054829013918962</v>
      </c>
      <c r="AL166" s="124">
        <f t="shared" si="25"/>
        <v>35.108143388740295</v>
      </c>
      <c r="AM166" s="124">
        <f t="shared" si="26"/>
        <v>3.5904397697526553</v>
      </c>
      <c r="AN166" s="124">
        <f t="shared" si="27"/>
        <v>1.7934264584179098</v>
      </c>
      <c r="AO166" s="124">
        <f t="shared" si="28"/>
        <v>23.253914181043147</v>
      </c>
      <c r="AP166" s="3">
        <f t="shared" si="32"/>
        <v>53.262615134366044</v>
      </c>
    </row>
    <row r="167" spans="1:42" ht="14">
      <c r="A167">
        <f t="shared" si="34"/>
        <v>9</v>
      </c>
      <c r="B167" s="21">
        <v>89</v>
      </c>
      <c r="C167" s="26">
        <f t="shared" si="30"/>
        <v>96.551073338095861</v>
      </c>
      <c r="D167" s="125">
        <f>(($C$39*$C$118*0.72)*D$40)*('Product half-life and C flows'!B68/100)</f>
        <v>1.4788786121760866</v>
      </c>
      <c r="E167" s="26"/>
      <c r="F167" s="54">
        <f t="shared" si="29"/>
        <v>0</v>
      </c>
      <c r="G167" s="54">
        <f t="shared" si="29"/>
        <v>0.7542108817919595</v>
      </c>
      <c r="H167" s="125">
        <f>(H$118)*('Product half-life and C flows'!L68/100)</f>
        <v>1.1080378561122319</v>
      </c>
      <c r="I167" s="125">
        <f>(($C$39*$C$118*0.28)*H$41)*('Product half-life and C flows'!N68/100)</f>
        <v>0.62506001031856484</v>
      </c>
      <c r="J167" s="125">
        <f>(($C$39*$C$118*0.28)*H$41)*(+'Product half-life and C flows'!P68/100)</f>
        <v>0.3122177873719103</v>
      </c>
      <c r="K167" s="54">
        <f t="shared" si="15"/>
        <v>1.3434381331919276</v>
      </c>
      <c r="L167" s="26"/>
      <c r="M167" s="83">
        <f>C$158*(0.4*D$14)*('Product half-life and C flows'!B28/100)</f>
        <v>25.012720914634084</v>
      </c>
      <c r="N167" s="83">
        <f t="shared" si="31"/>
        <v>3.0655233705876594</v>
      </c>
      <c r="O167" s="83">
        <f t="shared" si="35"/>
        <v>-2.5626287775264589</v>
      </c>
      <c r="P167" s="83">
        <f t="shared" si="35"/>
        <v>12.300618132127003</v>
      </c>
      <c r="Q167" s="83">
        <f>C$158*(0.6*C$15)*('Product half-life and C flows'!L28/100)</f>
        <v>33.463468886917745</v>
      </c>
      <c r="R167" s="83">
        <f>C$158*0.6*('Product half-life and C flows'!N28/100)</f>
        <v>3.3206258258367409</v>
      </c>
      <c r="S167" s="83">
        <f>C$158*0.6*('Product half-life and C flows'!P28/100)</f>
        <v>1.6586542586597108</v>
      </c>
      <c r="T167" s="83">
        <f t="shared" si="36"/>
        <v>21.910476047851219</v>
      </c>
      <c r="U167" s="3"/>
      <c r="V167" s="88"/>
      <c r="W167" s="88"/>
      <c r="X167" s="88"/>
      <c r="Y167" s="88"/>
      <c r="Z167" s="88"/>
      <c r="AA167" s="88"/>
      <c r="AB167" s="88"/>
      <c r="AC167" s="88"/>
      <c r="AE167">
        <f t="shared" si="19"/>
        <v>9</v>
      </c>
      <c r="AF167" s="3">
        <f t="shared" si="33"/>
        <v>1.0953429458274277</v>
      </c>
      <c r="AG167" s="113">
        <f t="shared" si="20"/>
        <v>96.551073338095861</v>
      </c>
      <c r="AH167" s="124">
        <f t="shared" si="21"/>
        <v>26.49159952681017</v>
      </c>
      <c r="AI167" s="124">
        <f t="shared" si="22"/>
        <v>3.0655233705876594</v>
      </c>
      <c r="AJ167" s="124">
        <f t="shared" si="23"/>
        <v>-2.5626287775264589</v>
      </c>
      <c r="AK167" s="124">
        <f t="shared" si="24"/>
        <v>13.054829013918962</v>
      </c>
      <c r="AL167" s="124">
        <f t="shared" si="25"/>
        <v>34.571506743029978</v>
      </c>
      <c r="AM167" s="124">
        <f t="shared" si="26"/>
        <v>3.945685836155306</v>
      </c>
      <c r="AN167" s="124">
        <f t="shared" si="27"/>
        <v>1.9708720460316211</v>
      </c>
      <c r="AO167" s="124">
        <f t="shared" si="28"/>
        <v>23.253914181043147</v>
      </c>
      <c r="AP167" s="3">
        <f t="shared" si="32"/>
        <v>54.045788232197069</v>
      </c>
    </row>
    <row r="168" spans="1:42" ht="14">
      <c r="A168">
        <f t="shared" si="34"/>
        <v>10</v>
      </c>
      <c r="B168" s="21">
        <v>90</v>
      </c>
      <c r="C168" s="26">
        <f t="shared" si="30"/>
        <v>97.71917758904894</v>
      </c>
      <c r="D168" s="125">
        <f>(($C$39*$C$118*0.72)*D$40)*('Product half-life and C flows'!B69/100)</f>
        <v>1.4285025775708395</v>
      </c>
      <c r="E168" s="26"/>
      <c r="F168" s="54">
        <f t="shared" ref="F168:G183" si="37">F167</f>
        <v>0</v>
      </c>
      <c r="G168" s="54">
        <f t="shared" si="37"/>
        <v>0.7542108817919595</v>
      </c>
      <c r="H168" s="125">
        <f>(H$118)*('Product half-life and C flows'!L69/100)</f>
        <v>1.0911012237235533</v>
      </c>
      <c r="I168" s="125">
        <f>(($C$39*$C$118*0.28)*H$41)*('Product half-life and C flows'!N69/100)</f>
        <v>0.63353679482909853</v>
      </c>
      <c r="J168" s="125">
        <f>(($C$39*$C$118*0.28)*H$41)*(+'Product half-life and C flows'!P69/100)</f>
        <v>0.31645194546908006</v>
      </c>
      <c r="K168" s="54">
        <f t="shared" si="15"/>
        <v>1.3434381331919276</v>
      </c>
      <c r="L168" s="26"/>
      <c r="M168" s="83">
        <f>C$158*(0.4*D$14)*('Product half-life and C flows'!B29/100)</f>
        <v>24.160695816703356</v>
      </c>
      <c r="N168" s="83">
        <f t="shared" si="31"/>
        <v>3.9752622463725169</v>
      </c>
      <c r="O168" s="83">
        <f t="shared" si="35"/>
        <v>-2.5626287775264589</v>
      </c>
      <c r="P168" s="83">
        <f t="shared" si="35"/>
        <v>12.300618132127003</v>
      </c>
      <c r="Q168" s="83">
        <f>C$158*(0.6*C$15)*('Product half-life and C flows'!L29/100)</f>
        <v>32.951971497310232</v>
      </c>
      <c r="R168" s="83">
        <f>C$158*0.6*('Product half-life and C flows'!N29/100)</f>
        <v>3.6619650838348217</v>
      </c>
      <c r="S168" s="83">
        <f>C$158*0.6*('Product half-life and C flows'!P29/100)</f>
        <v>1.8291533885288822</v>
      </c>
      <c r="T168" s="83">
        <f t="shared" si="36"/>
        <v>21.910476047851219</v>
      </c>
      <c r="U168" s="3"/>
      <c r="V168" s="88"/>
      <c r="W168" s="88"/>
      <c r="X168" s="88"/>
      <c r="Y168" s="88"/>
      <c r="Z168" s="88"/>
      <c r="AA168" s="88"/>
      <c r="AB168" s="88"/>
      <c r="AC168" s="88"/>
      <c r="AE168">
        <f t="shared" si="19"/>
        <v>10</v>
      </c>
      <c r="AF168" s="3">
        <f t="shared" si="33"/>
        <v>1.4204019780620747</v>
      </c>
      <c r="AG168" s="113">
        <f t="shared" si="20"/>
        <v>97.71917758904894</v>
      </c>
      <c r="AH168" s="124">
        <f t="shared" si="21"/>
        <v>25.589198394274195</v>
      </c>
      <c r="AI168" s="124">
        <f t="shared" si="22"/>
        <v>3.9752622463725169</v>
      </c>
      <c r="AJ168" s="124">
        <f t="shared" si="23"/>
        <v>-2.5626287775264589</v>
      </c>
      <c r="AK168" s="124">
        <f t="shared" si="24"/>
        <v>13.054829013918962</v>
      </c>
      <c r="AL168" s="124">
        <f t="shared" si="25"/>
        <v>34.043072721033788</v>
      </c>
      <c r="AM168" s="124">
        <f t="shared" si="26"/>
        <v>4.2955018786639201</v>
      </c>
      <c r="AN168" s="124">
        <f t="shared" si="27"/>
        <v>2.1456053339979624</v>
      </c>
      <c r="AO168" s="124">
        <f t="shared" si="28"/>
        <v>23.253914181043147</v>
      </c>
      <c r="AP168" s="3">
        <f t="shared" si="32"/>
        <v>54.951642416460693</v>
      </c>
    </row>
    <row r="169" spans="1:42" ht="14">
      <c r="A169">
        <f t="shared" si="34"/>
        <v>11</v>
      </c>
      <c r="B169" s="21">
        <v>91</v>
      </c>
      <c r="C169" s="26">
        <f t="shared" si="30"/>
        <v>98.87325830960242</v>
      </c>
      <c r="D169" s="125">
        <f>(($C$39*$C$118*0.72)*D$40)*('Product half-life and C flows'!B70/100)</f>
        <v>1.3798425356384567</v>
      </c>
      <c r="E169" s="26"/>
      <c r="F169" s="54">
        <f t="shared" si="37"/>
        <v>0</v>
      </c>
      <c r="G169" s="54">
        <f t="shared" si="37"/>
        <v>0.7542108817919595</v>
      </c>
      <c r="H169" s="125">
        <f>(H$118)*('Product half-life and C flows'!L70/100)</f>
        <v>1.0744234719453944</v>
      </c>
      <c r="I169" s="125">
        <f>(($C$39*$C$118*0.28)*H$41)*('Product half-life and C flows'!N70/100)</f>
        <v>0.641884009594067</v>
      </c>
      <c r="J169" s="125">
        <f>(($C$39*$C$118*0.28)*H$41)*(+'Product half-life and C flows'!P70/100)</f>
        <v>0.32062138341361973</v>
      </c>
      <c r="K169" s="54">
        <f t="shared" si="15"/>
        <v>1.3434381331919276</v>
      </c>
      <c r="L169" s="26"/>
      <c r="M169" s="83">
        <f>C$158*(0.4*D$14)*('Product half-life and C flows'!B30/100)</f>
        <v>23.337693821456309</v>
      </c>
      <c r="N169" s="83">
        <f t="shared" si="31"/>
        <v>5.0038566008813614</v>
      </c>
      <c r="O169" s="83">
        <f t="shared" si="35"/>
        <v>-2.5626287775264589</v>
      </c>
      <c r="P169" s="83">
        <f t="shared" si="35"/>
        <v>12.300618132127003</v>
      </c>
      <c r="Q169" s="83">
        <f>C$158*(0.6*C$15)*('Product half-life and C flows'!L30/100)</f>
        <v>32.448292471676268</v>
      </c>
      <c r="R169" s="83">
        <f>C$158*0.6*('Product half-life and C flows'!N30/100)</f>
        <v>3.9980868869412203</v>
      </c>
      <c r="S169" s="83">
        <f>C$158*0.6*('Product half-life and C flows'!P30/100)</f>
        <v>1.9970463970735366</v>
      </c>
      <c r="T169" s="83">
        <f t="shared" si="36"/>
        <v>21.910476047851219</v>
      </c>
      <c r="U169" s="3"/>
      <c r="V169" s="88"/>
      <c r="W169" s="88"/>
      <c r="X169" s="88"/>
      <c r="Y169" s="88"/>
      <c r="Z169" s="88"/>
      <c r="AA169" s="88"/>
      <c r="AB169" s="88"/>
      <c r="AC169" s="88"/>
      <c r="AE169">
        <f t="shared" si="19"/>
        <v>11</v>
      </c>
      <c r="AF169" s="3">
        <f t="shared" si="33"/>
        <v>1.7879292920401766</v>
      </c>
      <c r="AG169" s="113">
        <f t="shared" si="20"/>
        <v>98.87325830960242</v>
      </c>
      <c r="AH169" s="124">
        <f t="shared" si="21"/>
        <v>24.717536357094765</v>
      </c>
      <c r="AI169" s="124">
        <f t="shared" si="22"/>
        <v>5.0038566008813614</v>
      </c>
      <c r="AJ169" s="124">
        <f t="shared" si="23"/>
        <v>-2.5626287775264589</v>
      </c>
      <c r="AK169" s="124">
        <f t="shared" si="24"/>
        <v>13.054829013918962</v>
      </c>
      <c r="AL169" s="124">
        <f t="shared" si="25"/>
        <v>33.522715943621662</v>
      </c>
      <c r="AM169" s="124">
        <f t="shared" si="26"/>
        <v>4.6399708965352868</v>
      </c>
      <c r="AN169" s="124">
        <f t="shared" si="27"/>
        <v>2.3176677804871564</v>
      </c>
      <c r="AO169" s="124">
        <f t="shared" si="28"/>
        <v>23.253914181043147</v>
      </c>
      <c r="AP169" s="3">
        <f t="shared" si="32"/>
        <v>55.976411457917969</v>
      </c>
    </row>
    <row r="170" spans="1:42" ht="14">
      <c r="A170">
        <f t="shared" si="34"/>
        <v>12</v>
      </c>
      <c r="B170" s="21">
        <v>92</v>
      </c>
      <c r="C170" s="26">
        <f t="shared" si="30"/>
        <v>100.0132704287426</v>
      </c>
      <c r="D170" s="125">
        <f>(($C$39*$C$118*0.72)*D$40)*('Product half-life and C flows'!B71/100)</f>
        <v>1.3328400333689605</v>
      </c>
      <c r="E170" s="26"/>
      <c r="F170" s="54">
        <f t="shared" si="37"/>
        <v>0</v>
      </c>
      <c r="G170" s="54">
        <f t="shared" si="37"/>
        <v>0.7542108817919595</v>
      </c>
      <c r="H170" s="125">
        <f>(H$118)*('Product half-life and C flows'!L71/100)</f>
        <v>1.0580006437236629</v>
      </c>
      <c r="I170" s="125">
        <f>(($C$39*$C$118*0.28)*H$41)*('Product half-life and C flows'!N71/100)</f>
        <v>0.65010363511904368</v>
      </c>
      <c r="J170" s="125">
        <f>(($C$39*$C$118*0.28)*H$41)*(+'Product half-life and C flows'!P71/100)</f>
        <v>0.32472709046905263</v>
      </c>
      <c r="K170" s="54">
        <f t="shared" si="15"/>
        <v>1.3434381331919276</v>
      </c>
      <c r="L170" s="26"/>
      <c r="M170" s="83">
        <f>C$158*(0.4*D$14)*('Product half-life and C flows'!B31/100)</f>
        <v>22.542726295469556</v>
      </c>
      <c r="N170" s="83">
        <f t="shared" si="31"/>
        <v>6.1461563011223976</v>
      </c>
      <c r="O170" s="83">
        <f t="shared" si="35"/>
        <v>-2.5626287775264589</v>
      </c>
      <c r="P170" s="83">
        <f t="shared" si="35"/>
        <v>12.300618132127003</v>
      </c>
      <c r="Q170" s="83">
        <f>C$158*(0.6*C$15)*('Product half-life and C flows'!L31/100)</f>
        <v>31.952312304390862</v>
      </c>
      <c r="R170" s="83">
        <f>C$158*0.6*('Product half-life and C flows'!N31/100)</f>
        <v>4.3290709852430149</v>
      </c>
      <c r="S170" s="83">
        <f>C$158*0.6*('Product half-life and C flows'!P31/100)</f>
        <v>2.1623731195020053</v>
      </c>
      <c r="T170" s="83">
        <f t="shared" si="36"/>
        <v>21.910476047851219</v>
      </c>
      <c r="U170" s="3"/>
      <c r="V170" s="88"/>
      <c r="W170" s="88"/>
      <c r="X170" s="88"/>
      <c r="Y170" s="88"/>
      <c r="Z170" s="88"/>
      <c r="AA170" s="88"/>
      <c r="AB170" s="88"/>
      <c r="AC170" s="88"/>
      <c r="AE170">
        <f t="shared" si="19"/>
        <v>12</v>
      </c>
      <c r="AF170" s="3">
        <f t="shared" si="33"/>
        <v>2.1960846924147455</v>
      </c>
      <c r="AG170" s="113">
        <f t="shared" si="20"/>
        <v>100.0132704287426</v>
      </c>
      <c r="AH170" s="124">
        <f t="shared" si="21"/>
        <v>23.875566328838516</v>
      </c>
      <c r="AI170" s="124">
        <f t="shared" si="22"/>
        <v>6.1461563011223976</v>
      </c>
      <c r="AJ170" s="124">
        <f t="shared" si="23"/>
        <v>-2.5626287775264589</v>
      </c>
      <c r="AK170" s="124">
        <f t="shared" si="24"/>
        <v>13.054829013918962</v>
      </c>
      <c r="AL170" s="124">
        <f t="shared" si="25"/>
        <v>33.010312948114525</v>
      </c>
      <c r="AM170" s="124">
        <f t="shared" si="26"/>
        <v>4.979174620362059</v>
      </c>
      <c r="AN170" s="124">
        <f t="shared" si="27"/>
        <v>2.4871002099710577</v>
      </c>
      <c r="AO170" s="124">
        <f t="shared" si="28"/>
        <v>23.253914181043147</v>
      </c>
      <c r="AP170" s="3">
        <f t="shared" si="32"/>
        <v>57.114944315962546</v>
      </c>
    </row>
    <row r="171" spans="1:42" ht="14">
      <c r="A171">
        <f t="shared" si="34"/>
        <v>13</v>
      </c>
      <c r="B171" s="21">
        <v>93</v>
      </c>
      <c r="C171" s="26">
        <f t="shared" si="30"/>
        <v>101.13918042500804</v>
      </c>
      <c r="D171" s="125">
        <f>(($C$39*$C$118*0.72)*D$40)*('Product half-life and C flows'!B72/100)</f>
        <v>1.2874386088764826</v>
      </c>
      <c r="E171" s="26"/>
      <c r="F171" s="54">
        <f t="shared" si="37"/>
        <v>0</v>
      </c>
      <c r="G171" s="54">
        <f t="shared" si="37"/>
        <v>0.7542108817919595</v>
      </c>
      <c r="H171" s="125">
        <f>(H$118)*('Product half-life and C flows'!L72/100)</f>
        <v>1.0418288424888158</v>
      </c>
      <c r="I171" s="125">
        <f>(($C$39*$C$118*0.28)*H$41)*('Product half-life and C flows'!N72/100)</f>
        <v>0.65819762163708462</v>
      </c>
      <c r="J171" s="125">
        <f>(($C$39*$C$118*0.28)*H$41)*(+'Product half-life and C flows'!P72/100)</f>
        <v>0.32877004077776445</v>
      </c>
      <c r="K171" s="54">
        <f t="shared" si="15"/>
        <v>1.3434381331919276</v>
      </c>
      <c r="L171" s="26"/>
      <c r="M171" s="83">
        <f>C$158*(0.4*D$14)*('Product half-life and C flows'!B32/100)</f>
        <v>21.774838281803451</v>
      </c>
      <c r="N171" s="83">
        <f t="shared" si="31"/>
        <v>7.3959627350682862</v>
      </c>
      <c r="O171" s="83">
        <f t="shared" si="35"/>
        <v>-2.5626287775264589</v>
      </c>
      <c r="P171" s="83">
        <f t="shared" si="35"/>
        <v>12.300618132127003</v>
      </c>
      <c r="Q171" s="83">
        <f>C$158*(0.6*C$15)*('Product half-life and C flows'!L32/100)</f>
        <v>31.463913316502037</v>
      </c>
      <c r="R171" s="83">
        <f>C$158*0.6*('Product half-life and C flows'!N32/100)</f>
        <v>4.6549959098274911</v>
      </c>
      <c r="S171" s="83">
        <f>C$158*0.6*('Product half-life and C flows'!P32/100)</f>
        <v>2.3251727821316144</v>
      </c>
      <c r="T171" s="83">
        <f t="shared" si="36"/>
        <v>21.910476047851219</v>
      </c>
      <c r="U171" s="3"/>
      <c r="V171" s="88"/>
      <c r="W171" s="88"/>
      <c r="X171" s="88"/>
      <c r="Y171" s="88"/>
      <c r="Z171" s="88"/>
      <c r="AA171" s="88"/>
      <c r="AB171" s="88"/>
      <c r="AC171" s="88"/>
      <c r="AE171">
        <f t="shared" si="19"/>
        <v>13</v>
      </c>
      <c r="AF171" s="3">
        <f t="shared" si="33"/>
        <v>2.6426533515243094</v>
      </c>
      <c r="AG171" s="113">
        <f t="shared" si="20"/>
        <v>101.13918042500804</v>
      </c>
      <c r="AH171" s="124">
        <f t="shared" si="21"/>
        <v>23.062276890679932</v>
      </c>
      <c r="AI171" s="124">
        <f t="shared" si="22"/>
        <v>7.3959627350682862</v>
      </c>
      <c r="AJ171" s="124">
        <f t="shared" si="23"/>
        <v>-2.5626287775264589</v>
      </c>
      <c r="AK171" s="124">
        <f t="shared" si="24"/>
        <v>13.054829013918962</v>
      </c>
      <c r="AL171" s="124">
        <f t="shared" si="25"/>
        <v>32.505742158990856</v>
      </c>
      <c r="AM171" s="124">
        <f t="shared" si="26"/>
        <v>5.3131935314645755</v>
      </c>
      <c r="AN171" s="124">
        <f t="shared" si="27"/>
        <v>2.6539428229093787</v>
      </c>
      <c r="AO171" s="124">
        <f t="shared" si="28"/>
        <v>23.253914181043147</v>
      </c>
      <c r="AP171" s="3">
        <f t="shared" si="32"/>
        <v>58.361041484825599</v>
      </c>
    </row>
    <row r="172" spans="1:42" ht="14">
      <c r="A172">
        <f t="shared" si="34"/>
        <v>14</v>
      </c>
      <c r="B172" s="21">
        <v>94</v>
      </c>
      <c r="C172" s="26">
        <f t="shared" si="30"/>
        <v>102.25096579629684</v>
      </c>
      <c r="D172" s="125">
        <f>(($C$39*$C$118*0.72)*D$40)*('Product half-life and C flows'!B73/100)</f>
        <v>1.2435837235742595</v>
      </c>
      <c r="E172" s="26"/>
      <c r="F172" s="54">
        <f t="shared" si="37"/>
        <v>0</v>
      </c>
      <c r="G172" s="54">
        <f t="shared" si="37"/>
        <v>0.7542108817919595</v>
      </c>
      <c r="H172" s="125">
        <f>(H$118)*('Product half-life and C flows'!L73/100)</f>
        <v>1.0259042312313387</v>
      </c>
      <c r="I172" s="125">
        <f>(($C$39*$C$118*0.28)*H$41)*('Product half-life and C flows'!N73/100)</f>
        <v>0.66616788957145179</v>
      </c>
      <c r="J172" s="125">
        <f>(($C$39*$C$118*0.28)*H$41)*(+'Product half-life and C flows'!P73/100)</f>
        <v>0.33275119359213368</v>
      </c>
      <c r="K172" s="54">
        <f t="shared" si="15"/>
        <v>1.3434381331919276</v>
      </c>
      <c r="L172" s="26"/>
      <c r="M172" s="83">
        <f>C$158*(0.4*D$14)*('Product half-life and C flows'!B33/100)</f>
        <v>21.033107352857414</v>
      </c>
      <c r="N172" s="83">
        <f t="shared" si="31"/>
        <v>8.7463117144652891</v>
      </c>
      <c r="O172" s="83">
        <f t="shared" si="35"/>
        <v>-2.5626287775264589</v>
      </c>
      <c r="P172" s="83">
        <f t="shared" si="35"/>
        <v>12.300618132127003</v>
      </c>
      <c r="Q172" s="83">
        <f>C$158*(0.6*C$15)*('Product half-life and C flows'!L33/100)</f>
        <v>30.982979627809666</v>
      </c>
      <c r="R172" s="83">
        <f>C$158*0.6*('Product half-life and C flows'!N33/100)</f>
        <v>4.9759389914148668</v>
      </c>
      <c r="S172" s="83">
        <f>C$158*0.6*('Product half-life and C flows'!P33/100)</f>
        <v>2.4854840116957377</v>
      </c>
      <c r="T172" s="83">
        <f t="shared" si="36"/>
        <v>21.910476047851219</v>
      </c>
      <c r="U172" s="3"/>
      <c r="V172" s="88"/>
      <c r="W172" s="88"/>
      <c r="X172" s="88"/>
      <c r="Y172" s="88"/>
      <c r="Z172" s="88"/>
      <c r="AA172" s="88"/>
      <c r="AB172" s="88"/>
      <c r="AC172" s="88"/>
      <c r="AE172">
        <f t="shared" si="19"/>
        <v>14</v>
      </c>
      <c r="AF172" s="3">
        <f t="shared" si="33"/>
        <v>3.1251468934685782</v>
      </c>
      <c r="AG172" s="113">
        <f t="shared" si="20"/>
        <v>102.25096579629684</v>
      </c>
      <c r="AH172" s="124">
        <f t="shared" si="21"/>
        <v>22.276691076431675</v>
      </c>
      <c r="AI172" s="124">
        <f t="shared" si="22"/>
        <v>8.7463117144652891</v>
      </c>
      <c r="AJ172" s="124">
        <f t="shared" si="23"/>
        <v>-2.5626287775264589</v>
      </c>
      <c r="AK172" s="124">
        <f t="shared" si="24"/>
        <v>13.054829013918962</v>
      </c>
      <c r="AL172" s="124">
        <f t="shared" si="25"/>
        <v>32.008883859041006</v>
      </c>
      <c r="AM172" s="124">
        <f t="shared" si="26"/>
        <v>5.6421068809863186</v>
      </c>
      <c r="AN172" s="124">
        <f t="shared" si="27"/>
        <v>2.8182352052878716</v>
      </c>
      <c r="AO172" s="124">
        <f t="shared" si="28"/>
        <v>23.253914181043147</v>
      </c>
      <c r="AP172" s="3">
        <f t="shared" si="32"/>
        <v>59.707737896172986</v>
      </c>
    </row>
    <row r="173" spans="1:42" ht="14">
      <c r="A173">
        <f t="shared" si="34"/>
        <v>15</v>
      </c>
      <c r="B173" s="21">
        <v>95</v>
      </c>
      <c r="C173" s="26">
        <f t="shared" si="30"/>
        <v>103.34861454521752</v>
      </c>
      <c r="D173" s="125">
        <f>(($C$39*$C$118*0.72)*D$40)*('Product half-life and C flows'!B74/100)</f>
        <v>1.2012226966600101</v>
      </c>
      <c r="E173" s="26"/>
      <c r="F173" s="54">
        <f t="shared" si="37"/>
        <v>0</v>
      </c>
      <c r="G173" s="54">
        <f t="shared" si="37"/>
        <v>0.7542108817919595</v>
      </c>
      <c r="H173" s="125">
        <f>(H$118)*('Product half-life and C flows'!L74/100)</f>
        <v>1.0102230315913552</v>
      </c>
      <c r="I173" s="125">
        <f>(($C$39*$C$118*0.28)*H$41)*('Product half-life and C flows'!N74/100)</f>
        <v>0.6740163299912636</v>
      </c>
      <c r="J173" s="125">
        <f>(($C$39*$C$118*0.28)*H$41)*(+'Product half-life and C flows'!P74/100)</f>
        <v>0.33667149350212955</v>
      </c>
      <c r="K173" s="54">
        <f t="shared" si="15"/>
        <v>1.3434381331919276</v>
      </c>
      <c r="L173" s="26"/>
      <c r="M173" s="83">
        <f>C$158*(0.4*D$14)*('Product half-life and C flows'!B34/100)</f>
        <v>20.316642502301267</v>
      </c>
      <c r="N173" s="83">
        <f t="shared" si="31"/>
        <v>10.189710224502418</v>
      </c>
      <c r="O173" s="83">
        <f t="shared" si="35"/>
        <v>-2.5626287775264589</v>
      </c>
      <c r="P173" s="83">
        <f t="shared" si="35"/>
        <v>12.300618132127003</v>
      </c>
      <c r="Q173" s="83">
        <f>C$158*(0.6*C$15)*('Product half-life and C flows'!L34/100)</f>
        <v>30.509397129371113</v>
      </c>
      <c r="R173" s="83">
        <f>C$158*0.6*('Product half-life and C flows'!N34/100)</f>
        <v>5.2919763787061953</v>
      </c>
      <c r="S173" s="83">
        <f>C$158*0.6*('Product half-life and C flows'!P34/100)</f>
        <v>2.6433448445085883</v>
      </c>
      <c r="T173" s="83">
        <f t="shared" si="36"/>
        <v>21.910476047851219</v>
      </c>
      <c r="U173" s="3"/>
      <c r="V173" s="88"/>
      <c r="W173" s="88"/>
      <c r="X173" s="88"/>
      <c r="Y173" s="88"/>
      <c r="Z173" s="88"/>
      <c r="AA173" s="88"/>
      <c r="AB173" s="88"/>
      <c r="AC173" s="88"/>
      <c r="AE173">
        <f t="shared" si="19"/>
        <v>15</v>
      </c>
      <c r="AF173" s="3">
        <f t="shared" si="33"/>
        <v>3.6408879871937612</v>
      </c>
      <c r="AG173" s="113">
        <f t="shared" si="20"/>
        <v>103.34861454521752</v>
      </c>
      <c r="AH173" s="124">
        <f t="shared" si="21"/>
        <v>21.517865198961278</v>
      </c>
      <c r="AI173" s="124">
        <f t="shared" si="22"/>
        <v>10.189710224502418</v>
      </c>
      <c r="AJ173" s="124">
        <f t="shared" si="23"/>
        <v>-2.5626287775264589</v>
      </c>
      <c r="AK173" s="124">
        <f t="shared" si="24"/>
        <v>13.054829013918962</v>
      </c>
      <c r="AL173" s="124">
        <f t="shared" si="25"/>
        <v>31.519620160962468</v>
      </c>
      <c r="AM173" s="124">
        <f t="shared" si="26"/>
        <v>5.9659927086974589</v>
      </c>
      <c r="AN173" s="124">
        <f t="shared" si="27"/>
        <v>2.9800163380107181</v>
      </c>
      <c r="AO173" s="124">
        <f t="shared" si="28"/>
        <v>23.253914181043147</v>
      </c>
      <c r="AP173" s="3">
        <f t="shared" si="32"/>
        <v>61.147539668565564</v>
      </c>
    </row>
    <row r="174" spans="1:42" ht="14">
      <c r="A174">
        <f t="shared" si="34"/>
        <v>16</v>
      </c>
      <c r="B174" s="21">
        <v>96</v>
      </c>
      <c r="C174" s="26">
        <f t="shared" si="30"/>
        <v>104.43212467987155</v>
      </c>
      <c r="D174" s="125">
        <f>(($C$39*$C$118*0.72)*D$40)*('Product half-life and C flows'!B75/100)</f>
        <v>1.1603046418329739</v>
      </c>
      <c r="E174" s="26"/>
      <c r="F174" s="54">
        <f t="shared" si="37"/>
        <v>0</v>
      </c>
      <c r="G174" s="54">
        <f t="shared" si="37"/>
        <v>0.7542108817919595</v>
      </c>
      <c r="H174" s="125">
        <f>(H$118)*('Product half-life and C flows'!L75/100)</f>
        <v>0.99478152296215372</v>
      </c>
      <c r="I174" s="125">
        <f>(($C$39*$C$118*0.28)*H$41)*('Product half-life and C flows'!N75/100)</f>
        <v>0.68174480506017898</v>
      </c>
      <c r="J174" s="125">
        <f>(($C$39*$C$118*0.28)*H$41)*(+'Product half-life and C flows'!P75/100)</f>
        <v>0.34053187065942991</v>
      </c>
      <c r="K174" s="54">
        <f t="shared" si="15"/>
        <v>1.3434381331919276</v>
      </c>
      <c r="L174" s="26"/>
      <c r="M174" s="83">
        <f>C$158*(0.4*D$14)*('Product half-life and C flows'!B35/100)</f>
        <v>19.624583074751374</v>
      </c>
      <c r="N174" s="83">
        <f t="shared" si="31"/>
        <v>11.718333388083606</v>
      </c>
      <c r="O174" s="83">
        <f t="shared" si="35"/>
        <v>-2.5626287775264589</v>
      </c>
      <c r="P174" s="83">
        <f t="shared" si="35"/>
        <v>12.300618132127003</v>
      </c>
      <c r="Q174" s="83">
        <f>C$158*(0.6*C$15)*('Product half-life and C flows'!L35/100)</f>
        <v>30.043053456427124</v>
      </c>
      <c r="R174" s="83">
        <f>C$158*0.6*('Product half-life and C flows'!N35/100)</f>
        <v>5.6031830564508187</v>
      </c>
      <c r="S174" s="83">
        <f>C$158*0.6*('Product half-life and C flows'!P35/100)</f>
        <v>2.7987927354899194</v>
      </c>
      <c r="T174" s="83">
        <f t="shared" si="36"/>
        <v>21.910476047851219</v>
      </c>
      <c r="U174" s="3"/>
      <c r="V174" s="88"/>
      <c r="W174" s="88"/>
      <c r="X174" s="88"/>
      <c r="Y174" s="88"/>
      <c r="Z174" s="88"/>
      <c r="AA174" s="88"/>
      <c r="AB174" s="88"/>
      <c r="AC174" s="88"/>
      <c r="AE174">
        <f t="shared" si="19"/>
        <v>16</v>
      </c>
      <c r="AF174" s="3">
        <f t="shared" si="33"/>
        <v>4.1870807238474326</v>
      </c>
      <c r="AG174" s="113">
        <f t="shared" si="20"/>
        <v>104.43212467987155</v>
      </c>
      <c r="AH174" s="124">
        <f t="shared" si="21"/>
        <v>20.784887716584347</v>
      </c>
      <c r="AI174" s="124">
        <f t="shared" si="22"/>
        <v>11.718333388083606</v>
      </c>
      <c r="AJ174" s="124">
        <f t="shared" si="23"/>
        <v>-2.5626287775264589</v>
      </c>
      <c r="AK174" s="124">
        <f t="shared" si="24"/>
        <v>13.054829013918962</v>
      </c>
      <c r="AL174" s="124">
        <f t="shared" si="25"/>
        <v>31.037834979389277</v>
      </c>
      <c r="AM174" s="124">
        <f t="shared" si="26"/>
        <v>6.2849278615109974</v>
      </c>
      <c r="AN174" s="124">
        <f t="shared" si="27"/>
        <v>3.1393246061493492</v>
      </c>
      <c r="AO174" s="124">
        <f t="shared" si="28"/>
        <v>23.253914181043147</v>
      </c>
      <c r="AP174" s="3">
        <f t="shared" si="32"/>
        <v>62.672621071525732</v>
      </c>
    </row>
    <row r="175" spans="1:42" ht="14">
      <c r="A175">
        <f t="shared" si="34"/>
        <v>17</v>
      </c>
      <c r="B175" s="21">
        <v>97</v>
      </c>
      <c r="C175" s="26">
        <f t="shared" si="30"/>
        <v>105.50150372992968</v>
      </c>
      <c r="D175" s="125">
        <f>(($C$39*$C$118*0.72)*D$40)*('Product half-life and C flows'!B76/100)</f>
        <v>1.1207804061666002</v>
      </c>
      <c r="E175" s="26"/>
      <c r="F175" s="54">
        <f t="shared" si="37"/>
        <v>0</v>
      </c>
      <c r="G175" s="54">
        <f t="shared" si="37"/>
        <v>0.7542108817919595</v>
      </c>
      <c r="H175" s="125">
        <f>(H$118)*('Product half-life and C flows'!L76/100)</f>
        <v>0.97957604160741441</v>
      </c>
      <c r="I175" s="125">
        <f>(($C$39*$C$118*0.28)*H$41)*('Product half-life and C flows'!N76/100)</f>
        <v>0.68935514847822599</v>
      </c>
      <c r="J175" s="125">
        <f>(($C$39*$C$118*0.28)*H$41)*(+'Product half-life and C flows'!P76/100)</f>
        <v>0.34433324099811474</v>
      </c>
      <c r="K175" s="54">
        <f t="shared" si="15"/>
        <v>1.3434381331919276</v>
      </c>
      <c r="L175" s="26"/>
      <c r="M175" s="83">
        <f>C$158*(0.4*D$14)*('Product half-life and C flows'!B36/100)</f>
        <v>18.956097731906002</v>
      </c>
      <c r="N175" s="83">
        <f t="shared" si="31"/>
        <v>13.324187201714368</v>
      </c>
      <c r="O175" s="83">
        <f t="shared" si="35"/>
        <v>-2.5626287775264589</v>
      </c>
      <c r="P175" s="83">
        <f t="shared" si="35"/>
        <v>12.300618132127003</v>
      </c>
      <c r="Q175" s="83">
        <f>C$158*(0.6*C$15)*('Product half-life and C flows'!L36/100)</f>
        <v>29.583837961741541</v>
      </c>
      <c r="R175" s="83">
        <f>C$158*0.6*('Product half-life and C flows'!N36/100)</f>
        <v>5.9096328632376611</v>
      </c>
      <c r="S175" s="83">
        <f>C$158*0.6*('Product half-life and C flows'!P36/100)</f>
        <v>2.9518645670517789</v>
      </c>
      <c r="T175" s="83">
        <f t="shared" si="36"/>
        <v>21.910476047851219</v>
      </c>
      <c r="U175" s="3"/>
      <c r="V175" s="88"/>
      <c r="W175" s="88"/>
      <c r="X175" s="88"/>
      <c r="Y175" s="88"/>
      <c r="Z175" s="88"/>
      <c r="AA175" s="88"/>
      <c r="AB175" s="88"/>
      <c r="AC175" s="88"/>
      <c r="AE175">
        <f t="shared" si="19"/>
        <v>17</v>
      </c>
      <c r="AF175" s="3">
        <f t="shared" si="33"/>
        <v>4.760868763980147</v>
      </c>
      <c r="AG175" s="113">
        <f t="shared" si="20"/>
        <v>105.50150372992968</v>
      </c>
      <c r="AH175" s="124">
        <f t="shared" si="21"/>
        <v>20.076878138072601</v>
      </c>
      <c r="AI175" s="124">
        <f t="shared" si="22"/>
        <v>13.324187201714368</v>
      </c>
      <c r="AJ175" s="124">
        <f t="shared" si="23"/>
        <v>-2.5626287775264589</v>
      </c>
      <c r="AK175" s="124">
        <f t="shared" si="24"/>
        <v>13.054829013918962</v>
      </c>
      <c r="AL175" s="124">
        <f t="shared" si="25"/>
        <v>30.563414003348957</v>
      </c>
      <c r="AM175" s="124">
        <f t="shared" si="26"/>
        <v>6.5989880117158872</v>
      </c>
      <c r="AN175" s="124">
        <f t="shared" si="27"/>
        <v>3.2961978080498935</v>
      </c>
      <c r="AO175" s="124">
        <f t="shared" si="28"/>
        <v>23.253914181043147</v>
      </c>
      <c r="AP175" s="3">
        <f t="shared" si="32"/>
        <v>64.274987261221611</v>
      </c>
    </row>
    <row r="176" spans="1:42" ht="14">
      <c r="A176">
        <f t="shared" ref="A176:B191" si="38">A175+1</f>
        <v>18</v>
      </c>
      <c r="B176" s="21">
        <v>98</v>
      </c>
      <c r="C176" s="26">
        <f t="shared" si="30"/>
        <v>106.55676827783559</v>
      </c>
      <c r="D176" s="125">
        <f>(($C$39*$C$118*0.72)*D$40)*('Product half-life and C flows'!B77/100)</f>
        <v>1.0826025110634634</v>
      </c>
      <c r="E176" s="26"/>
      <c r="F176" s="54">
        <f t="shared" si="37"/>
        <v>0</v>
      </c>
      <c r="G176" s="54">
        <f t="shared" si="37"/>
        <v>0.7542108817919595</v>
      </c>
      <c r="H176" s="125">
        <f>(H$118)*('Product half-life and C flows'!L77/100)</f>
        <v>0.96460297979193321</v>
      </c>
      <c r="I176" s="125">
        <f>(($C$39*$C$118*0.28)*H$41)*('Product half-life and C flows'!N77/100)</f>
        <v>0.6968491659168744</v>
      </c>
      <c r="J176" s="125">
        <f>(($C$39*$C$118*0.28)*H$41)*(+'Product half-life and C flows'!P77/100)</f>
        <v>0.34807650645198501</v>
      </c>
      <c r="K176" s="54">
        <f t="shared" si="15"/>
        <v>1.3434381331919276</v>
      </c>
      <c r="L176" s="26"/>
      <c r="M176" s="83">
        <f>C$158*(0.4*D$14)*('Product half-life and C flows'!B37/100)</f>
        <v>18.31038345389787</v>
      </c>
      <c r="N176" s="83">
        <f t="shared" si="31"/>
        <v>14.999241888023334</v>
      </c>
      <c r="O176" s="83">
        <f t="shared" ref="O176:P191" si="39">O175</f>
        <v>-2.5626287775264589</v>
      </c>
      <c r="P176" s="83">
        <f t="shared" si="39"/>
        <v>12.300618132127003</v>
      </c>
      <c r="Q176" s="83">
        <f>C$158*(0.6*C$15)*('Product half-life and C flows'!L37/100)</f>
        <v>29.131641689348573</v>
      </c>
      <c r="R176" s="83">
        <f>C$158*0.6*('Product half-life and C flows'!N37/100)</f>
        <v>6.21139850901457</v>
      </c>
      <c r="S176" s="83">
        <f>C$158*0.6*('Product half-life and C flows'!P37/100)</f>
        <v>3.1025966578494355</v>
      </c>
      <c r="T176" s="83">
        <f t="shared" si="36"/>
        <v>21.910476047851219</v>
      </c>
      <c r="U176" s="3"/>
      <c r="V176" s="88"/>
      <c r="W176" s="88"/>
      <c r="X176" s="88"/>
      <c r="Y176" s="88"/>
      <c r="Z176" s="88"/>
      <c r="AA176" s="88"/>
      <c r="AB176" s="88"/>
      <c r="AC176" s="88"/>
      <c r="AE176">
        <f t="shared" si="19"/>
        <v>18</v>
      </c>
      <c r="AF176" s="3">
        <f t="shared" si="33"/>
        <v>5.3593829857692894</v>
      </c>
      <c r="AG176" s="113">
        <f t="shared" si="20"/>
        <v>106.55676827783559</v>
      </c>
      <c r="AH176" s="124">
        <f t="shared" si="21"/>
        <v>19.392985964961333</v>
      </c>
      <c r="AI176" s="124">
        <f t="shared" si="22"/>
        <v>14.999241888023334</v>
      </c>
      <c r="AJ176" s="124">
        <f t="shared" si="23"/>
        <v>-2.5626287775264589</v>
      </c>
      <c r="AK176" s="124">
        <f t="shared" si="24"/>
        <v>13.054829013918962</v>
      </c>
      <c r="AL176" s="124">
        <f t="shared" si="25"/>
        <v>30.096244669140507</v>
      </c>
      <c r="AM176" s="124">
        <f t="shared" si="26"/>
        <v>6.9082476749314443</v>
      </c>
      <c r="AN176" s="124">
        <f t="shared" si="27"/>
        <v>3.4506731643014206</v>
      </c>
      <c r="AO176" s="124">
        <f t="shared" si="28"/>
        <v>23.253914181043147</v>
      </c>
      <c r="AP176" s="3">
        <f t="shared" si="32"/>
        <v>65.94660763278921</v>
      </c>
    </row>
    <row r="177" spans="1:42" ht="14">
      <c r="A177">
        <f t="shared" si="38"/>
        <v>19</v>
      </c>
      <c r="B177" s="21">
        <v>99</v>
      </c>
      <c r="C177" s="26">
        <f t="shared" si="30"/>
        <v>107.59794350495081</v>
      </c>
      <c r="D177" s="125">
        <f>(($C$39*$C$118*0.72)*D$40)*('Product half-life and C flows'!B78/100)</f>
        <v>1.0457250952214607</v>
      </c>
      <c r="E177" s="26"/>
      <c r="F177" s="54">
        <f t="shared" si="37"/>
        <v>0</v>
      </c>
      <c r="G177" s="54">
        <f t="shared" si="37"/>
        <v>0.7542108817919595</v>
      </c>
      <c r="H177" s="125">
        <f>(H$118)*('Product half-life and C flows'!L78/100)</f>
        <v>0.9498587849256297</v>
      </c>
      <c r="I177" s="125">
        <f>(($C$39*$C$118*0.28)*H$41)*('Product half-life and C flows'!N78/100)</f>
        <v>0.70422863544745928</v>
      </c>
      <c r="J177" s="125">
        <f>(($C$39*$C$118*0.28)*H$41)*(+'Product half-life and C flows'!P78/100)</f>
        <v>0.35176255516856092</v>
      </c>
      <c r="K177" s="54">
        <f t="shared" si="15"/>
        <v>1.3434381331919276</v>
      </c>
      <c r="L177" s="26"/>
      <c r="M177" s="83">
        <f>C$158*(0.4*D$14)*('Product half-life and C flows'!B38/100)</f>
        <v>17.686664574664345</v>
      </c>
      <c r="N177" s="83">
        <f t="shared" si="31"/>
        <v>16.7355400849764</v>
      </c>
      <c r="O177" s="83">
        <f t="shared" si="39"/>
        <v>-2.5626287775264589</v>
      </c>
      <c r="P177" s="83">
        <f t="shared" si="39"/>
        <v>12.300618132127003</v>
      </c>
      <c r="Q177" s="83">
        <f>C$158*(0.6*C$15)*('Product half-life and C flows'!L38/100)</f>
        <v>28.686357348701257</v>
      </c>
      <c r="R177" s="83">
        <f>C$158*0.6*('Product half-life and C flows'!N38/100)</f>
        <v>6.5085515923398818</v>
      </c>
      <c r="S177" s="83">
        <f>C$158*0.6*('Product half-life and C flows'!P38/100)</f>
        <v>3.2510247713985421</v>
      </c>
      <c r="T177" s="83">
        <f t="shared" si="36"/>
        <v>21.910476047851219</v>
      </c>
      <c r="U177" s="3"/>
      <c r="V177" s="88"/>
      <c r="W177" s="88"/>
      <c r="X177" s="88"/>
      <c r="Y177" s="88"/>
      <c r="Z177" s="88"/>
      <c r="AA177" s="88"/>
      <c r="AB177" s="88"/>
      <c r="AC177" s="88"/>
      <c r="AE177">
        <f t="shared" si="19"/>
        <v>19</v>
      </c>
      <c r="AF177" s="3">
        <f t="shared" si="33"/>
        <v>5.9797801421350689</v>
      </c>
      <c r="AG177" s="113">
        <f t="shared" si="20"/>
        <v>107.59794350495081</v>
      </c>
      <c r="AH177" s="124">
        <f t="shared" si="21"/>
        <v>18.732389669885805</v>
      </c>
      <c r="AI177" s="124">
        <f t="shared" si="22"/>
        <v>16.7355400849764</v>
      </c>
      <c r="AJ177" s="124">
        <f t="shared" si="23"/>
        <v>-2.5626287775264589</v>
      </c>
      <c r="AK177" s="124">
        <f t="shared" si="24"/>
        <v>13.054829013918962</v>
      </c>
      <c r="AL177" s="124">
        <f t="shared" si="25"/>
        <v>29.636216133626888</v>
      </c>
      <c r="AM177" s="124">
        <f t="shared" si="26"/>
        <v>7.2127802277873414</v>
      </c>
      <c r="AN177" s="124">
        <f t="shared" si="27"/>
        <v>3.6027873265671029</v>
      </c>
      <c r="AO177" s="124">
        <f t="shared" si="28"/>
        <v>23.253914181043147</v>
      </c>
      <c r="AP177" s="3">
        <f t="shared" si="32"/>
        <v>67.679524009350217</v>
      </c>
    </row>
    <row r="178" spans="1:42" ht="14">
      <c r="A178">
        <f t="shared" si="38"/>
        <v>20</v>
      </c>
      <c r="B178" s="21">
        <v>100</v>
      </c>
      <c r="C178" s="26">
        <f t="shared" si="30"/>
        <v>108.62506275243267</v>
      </c>
      <c r="D178" s="125">
        <f>(($C$39*$C$118*0.72)*D$40)*('Product half-life and C flows'!B79/100)</f>
        <v>1.0101038595428027</v>
      </c>
      <c r="E178" s="26"/>
      <c r="F178" s="54">
        <f t="shared" si="37"/>
        <v>0</v>
      </c>
      <c r="G178" s="54">
        <f t="shared" si="37"/>
        <v>0.7542108817919595</v>
      </c>
      <c r="H178" s="125">
        <f>(H$118)*('Product half-life and C flows'!L79/100)</f>
        <v>0.93533995872064057</v>
      </c>
      <c r="I178" s="125">
        <f>(($C$39*$C$118*0.28)*H$41)*('Product half-life and C flows'!N79/100)</f>
        <v>0.71149530796305638</v>
      </c>
      <c r="J178" s="125">
        <f>(($C$39*$C$118*0.28)*H$41)*(+'Product half-life and C flows'!P79/100)</f>
        <v>0.3553922617198082</v>
      </c>
      <c r="K178" s="54">
        <f t="shared" si="15"/>
        <v>1.3434381331919276</v>
      </c>
      <c r="L178" s="26"/>
      <c r="M178" s="83">
        <f>C$158*(0.4*D$14)*('Product half-life and C flows'!B39/100)</f>
        <v>17.084191850176392</v>
      </c>
      <c r="N178" s="83">
        <f t="shared" si="31"/>
        <v>18.5252835435601</v>
      </c>
      <c r="O178" s="83">
        <f t="shared" si="39"/>
        <v>-2.5626287775264589</v>
      </c>
      <c r="P178" s="83">
        <f t="shared" si="39"/>
        <v>12.300618132127003</v>
      </c>
      <c r="Q178" s="83">
        <f>C$158*(0.6*C$15)*('Product half-life and C flows'!L39/100)</f>
        <v>28.24787928921516</v>
      </c>
      <c r="R178" s="83">
        <f>C$158*0.6*('Product half-life and C flows'!N39/100)</f>
        <v>6.8011626173702675</v>
      </c>
      <c r="S178" s="83">
        <f>C$158*0.6*('Product half-life and C flows'!P39/100)</f>
        <v>3.3971841245605732</v>
      </c>
      <c r="T178" s="83">
        <f t="shared" si="36"/>
        <v>21.910476047851219</v>
      </c>
      <c r="U178" s="3"/>
      <c r="V178" s="88"/>
      <c r="W178" s="88"/>
      <c r="X178" s="88"/>
      <c r="Y178" s="88"/>
      <c r="Z178" s="88"/>
      <c r="AA178" s="88"/>
      <c r="AB178" s="88"/>
      <c r="AC178" s="88"/>
      <c r="AE178">
        <f t="shared" si="19"/>
        <v>20</v>
      </c>
      <c r="AF178" s="3">
        <f t="shared" si="33"/>
        <v>6.6192738387121182</v>
      </c>
      <c r="AG178" s="113">
        <f t="shared" si="20"/>
        <v>108.62506275243267</v>
      </c>
      <c r="AH178" s="124">
        <f t="shared" si="21"/>
        <v>18.094295709719194</v>
      </c>
      <c r="AI178" s="124">
        <f t="shared" si="22"/>
        <v>18.5252835435601</v>
      </c>
      <c r="AJ178" s="124">
        <f t="shared" si="23"/>
        <v>-2.5626287775264589</v>
      </c>
      <c r="AK178" s="124">
        <f t="shared" si="24"/>
        <v>13.054829013918962</v>
      </c>
      <c r="AL178" s="124">
        <f t="shared" si="25"/>
        <v>29.183219247935799</v>
      </c>
      <c r="AM178" s="124">
        <f t="shared" si="26"/>
        <v>7.5126579253333237</v>
      </c>
      <c r="AN178" s="124">
        <f t="shared" si="27"/>
        <v>3.7525763862803814</v>
      </c>
      <c r="AO178" s="124">
        <f t="shared" si="28"/>
        <v>23.253914181043147</v>
      </c>
      <c r="AP178" s="3">
        <f t="shared" si="32"/>
        <v>69.465937339502105</v>
      </c>
    </row>
    <row r="179" spans="1:42" ht="14">
      <c r="A179">
        <f t="shared" si="38"/>
        <v>21</v>
      </c>
      <c r="B179" s="19">
        <f>B178+1</f>
        <v>101</v>
      </c>
      <c r="C179" s="26">
        <f t="shared" si="30"/>
        <v>109.63816709662152</v>
      </c>
      <c r="D179" s="125">
        <f>(($C$39*$C$118*0.72)*D$40)*('Product half-life and C flows'!B80/100)</f>
        <v>0.97569601391959293</v>
      </c>
      <c r="E179" s="26"/>
      <c r="F179" s="54">
        <f t="shared" si="37"/>
        <v>0</v>
      </c>
      <c r="G179" s="54">
        <f t="shared" si="37"/>
        <v>0.7542108817919595</v>
      </c>
      <c r="H179" s="125">
        <f>(H$118)*('Product half-life and C flows'!L80/100)</f>
        <v>0.9210430563612968</v>
      </c>
      <c r="I179" s="125">
        <f>(($C$39*$C$118*0.28)*H$41)*('Product half-life and C flows'!N80/100)</f>
        <v>0.71865090759390804</v>
      </c>
      <c r="J179" s="125">
        <f>(($C$39*$C$118*0.28)*H$41)*(+'Product half-life and C flows'!P80/100)</f>
        <v>0.3589664873096442</v>
      </c>
      <c r="K179" s="54">
        <f t="shared" si="15"/>
        <v>1.3434381331919276</v>
      </c>
      <c r="L179" s="26"/>
      <c r="M179" s="83">
        <f>C$158*(0.4*D$14)*('Product half-life and C flows'!B40/100)</f>
        <v>16.50224155840715</v>
      </c>
      <c r="N179" s="83">
        <f t="shared" si="31"/>
        <v>20.360901524976995</v>
      </c>
      <c r="O179" s="83">
        <f t="shared" si="39"/>
        <v>-2.5626287775264589</v>
      </c>
      <c r="P179" s="83">
        <f t="shared" si="39"/>
        <v>12.300618132127003</v>
      </c>
      <c r="Q179" s="83">
        <f>C$158*(0.6*C$15)*('Product half-life and C flows'!L40/100)</f>
        <v>27.816103475201142</v>
      </c>
      <c r="R179" s="83">
        <f>C$158*0.6*('Product half-life and C flows'!N40/100)</f>
        <v>7.0893010105889553</v>
      </c>
      <c r="S179" s="83">
        <f>C$158*0.6*('Product half-life and C flows'!P40/100)</f>
        <v>3.5411093958985784</v>
      </c>
      <c r="T179" s="83">
        <f t="shared" si="36"/>
        <v>21.910476047851219</v>
      </c>
      <c r="U179" s="3"/>
      <c r="V179" s="88"/>
      <c r="W179" s="88"/>
      <c r="X179" s="88"/>
      <c r="Y179" s="88"/>
      <c r="Z179" s="88"/>
      <c r="AA179" s="88"/>
      <c r="AB179" s="88"/>
      <c r="AC179" s="88"/>
      <c r="AE179">
        <f t="shared" si="19"/>
        <v>21</v>
      </c>
      <c r="AF179" s="3">
        <f t="shared" si="33"/>
        <v>7.2751589728690114</v>
      </c>
      <c r="AG179" s="113">
        <f t="shared" si="20"/>
        <v>109.63816709662152</v>
      </c>
      <c r="AH179" s="124">
        <f t="shared" si="21"/>
        <v>17.477937572326741</v>
      </c>
      <c r="AI179" s="124">
        <f t="shared" si="22"/>
        <v>20.360901524976995</v>
      </c>
      <c r="AJ179" s="124">
        <f t="shared" si="23"/>
        <v>-2.5626287775264589</v>
      </c>
      <c r="AK179" s="124">
        <f t="shared" si="24"/>
        <v>13.054829013918962</v>
      </c>
      <c r="AL179" s="124">
        <f t="shared" si="25"/>
        <v>28.737146531562438</v>
      </c>
      <c r="AM179" s="124">
        <f t="shared" si="26"/>
        <v>7.8079519181828632</v>
      </c>
      <c r="AN179" s="124">
        <f t="shared" si="27"/>
        <v>3.9000758832082227</v>
      </c>
      <c r="AO179" s="124">
        <f t="shared" si="28"/>
        <v>23.253914181043147</v>
      </c>
      <c r="AP179" s="3">
        <f t="shared" si="32"/>
        <v>71.298276094323015</v>
      </c>
    </row>
    <row r="180" spans="1:42" ht="14">
      <c r="A180">
        <f t="shared" si="38"/>
        <v>22</v>
      </c>
      <c r="B180" s="19">
        <f t="shared" si="38"/>
        <v>102</v>
      </c>
      <c r="C180" s="26">
        <f t="shared" si="30"/>
        <v>110.63730493869643</v>
      </c>
      <c r="D180" s="125">
        <f>(($C$39*$C$118*0.72)*D$40)*('Product half-life and C flows'!B81/100)</f>
        <v>0.94246022583209643</v>
      </c>
      <c r="E180" s="26"/>
      <c r="F180" s="54">
        <f t="shared" si="37"/>
        <v>0</v>
      </c>
      <c r="G180" s="54">
        <f t="shared" si="37"/>
        <v>0.7542108817919595</v>
      </c>
      <c r="H180" s="125">
        <f>(H$118)*('Product half-life and C flows'!L81/100)</f>
        <v>0.90696468568678767</v>
      </c>
      <c r="I180" s="125">
        <f>(($C$39*$C$118*0.28)*H$41)*('Product half-life and C flows'!N81/100)</f>
        <v>0.72569713211649967</v>
      </c>
      <c r="J180" s="125">
        <f>(($C$39*$C$118*0.28)*H$41)*(+'Product half-life and C flows'!P81/100)</f>
        <v>0.36248607997827142</v>
      </c>
      <c r="K180" s="54">
        <f t="shared" si="15"/>
        <v>1.3434381331919276</v>
      </c>
      <c r="L180" s="26"/>
      <c r="M180" s="83">
        <f>C$158*(0.4*D$14)*('Product half-life and C flows'!B41/100)</f>
        <v>15.940114629958824</v>
      </c>
      <c r="N180" s="83">
        <f t="shared" si="31"/>
        <v>22.235103667138301</v>
      </c>
      <c r="O180" s="83">
        <f t="shared" si="39"/>
        <v>-2.5626287775264589</v>
      </c>
      <c r="P180" s="83">
        <f t="shared" si="39"/>
        <v>12.300618132127003</v>
      </c>
      <c r="Q180" s="83">
        <f>C$158*(0.6*C$15)*('Product half-life and C flows'!L41/100)</f>
        <v>27.390927461181274</v>
      </c>
      <c r="R180" s="83">
        <f>C$158*0.6*('Product half-life and C flows'!N41/100)</f>
        <v>7.3730351372782161</v>
      </c>
      <c r="S180" s="83">
        <f>C$158*0.6*('Product half-life and C flows'!P41/100)</f>
        <v>3.6828347339052026</v>
      </c>
      <c r="T180" s="83">
        <f t="shared" si="36"/>
        <v>21.910476047851219</v>
      </c>
      <c r="U180" s="3"/>
      <c r="V180" s="88"/>
      <c r="W180" s="88"/>
      <c r="X180" s="88"/>
      <c r="Y180" s="88"/>
      <c r="Z180" s="88"/>
      <c r="AA180" s="88"/>
      <c r="AB180" s="88"/>
      <c r="AC180" s="88"/>
      <c r="AE180">
        <f t="shared" si="19"/>
        <v>22</v>
      </c>
      <c r="AF180" s="3">
        <f t="shared" si="33"/>
        <v>7.9448306234483717</v>
      </c>
      <c r="AG180" s="113">
        <f t="shared" si="20"/>
        <v>110.63730493869643</v>
      </c>
      <c r="AH180" s="124">
        <f t="shared" si="21"/>
        <v>16.882574855790921</v>
      </c>
      <c r="AI180" s="124">
        <f t="shared" si="22"/>
        <v>22.235103667138301</v>
      </c>
      <c r="AJ180" s="124">
        <f t="shared" si="23"/>
        <v>-2.5626287775264589</v>
      </c>
      <c r="AK180" s="124">
        <f t="shared" si="24"/>
        <v>13.054829013918962</v>
      </c>
      <c r="AL180" s="124">
        <f t="shared" si="25"/>
        <v>28.297892146868062</v>
      </c>
      <c r="AM180" s="124">
        <f t="shared" si="26"/>
        <v>8.0987322693947164</v>
      </c>
      <c r="AN180" s="124">
        <f t="shared" si="27"/>
        <v>4.0453208138834738</v>
      </c>
      <c r="AO180" s="124">
        <f t="shared" si="28"/>
        <v>23.253914181043147</v>
      </c>
      <c r="AP180" s="3">
        <f t="shared" si="32"/>
        <v>73.169249133677056</v>
      </c>
    </row>
    <row r="181" spans="1:42" ht="14">
      <c r="A181">
        <f t="shared" si="38"/>
        <v>23</v>
      </c>
      <c r="B181" s="19">
        <f t="shared" si="38"/>
        <v>103</v>
      </c>
      <c r="C181" s="26">
        <f t="shared" si="30"/>
        <v>111.62253160834713</v>
      </c>
      <c r="D181" s="125">
        <f>(($C$39*$C$118*0.72)*D$40)*('Product half-life and C flows'!B82/100)</f>
        <v>0.91035657069793618</v>
      </c>
      <c r="E181" s="26"/>
      <c r="F181" s="54">
        <f t="shared" si="37"/>
        <v>0</v>
      </c>
      <c r="G181" s="54">
        <f t="shared" si="37"/>
        <v>0.7542108817919595</v>
      </c>
      <c r="H181" s="125">
        <f>(H$118)*('Product half-life and C flows'!L82/100)</f>
        <v>0.89310150638631924</v>
      </c>
      <c r="I181" s="125">
        <f>(($C$39*$C$118*0.28)*H$41)*('Product half-life and C flows'!N82/100)</f>
        <v>0.73263565335638414</v>
      </c>
      <c r="J181" s="125">
        <f>(($C$39*$C$118*0.28)*H$41)*(+'Product half-life and C flows'!P82/100)</f>
        <v>0.36595187480338848</v>
      </c>
      <c r="K181" s="54">
        <f t="shared" si="15"/>
        <v>1.3434381331919276</v>
      </c>
      <c r="L181" s="26"/>
      <c r="M181" s="83">
        <f>C$158*(0.4*D$14)*('Product half-life and C flows'!B42/100)</f>
        <v>15.39713580830365</v>
      </c>
      <c r="N181" s="83">
        <f t="shared" si="31"/>
        <v>24.140919721338808</v>
      </c>
      <c r="O181" s="83">
        <f t="shared" si="39"/>
        <v>-2.5626287775264589</v>
      </c>
      <c r="P181" s="83">
        <f t="shared" si="39"/>
        <v>12.300618132127003</v>
      </c>
      <c r="Q181" s="83">
        <f>C$158*(0.6*C$15)*('Product half-life and C flows'!L42/100)</f>
        <v>26.972250367582042</v>
      </c>
      <c r="R181" s="83">
        <f>C$158*0.6*('Product half-life and C flows'!N42/100)</f>
        <v>7.6524323177401028</v>
      </c>
      <c r="S181" s="83">
        <f>C$158*0.6*('Product half-life and C flows'!P42/100)</f>
        <v>3.8223937651049456</v>
      </c>
      <c r="T181" s="83">
        <f t="shared" si="36"/>
        <v>21.910476047851219</v>
      </c>
      <c r="U181" s="3"/>
      <c r="V181" s="88"/>
      <c r="W181" s="88"/>
      <c r="X181" s="88"/>
      <c r="Y181" s="88"/>
      <c r="Z181" s="88"/>
      <c r="AA181" s="88"/>
      <c r="AB181" s="88"/>
      <c r="AC181" s="88"/>
      <c r="AE181">
        <f t="shared" si="19"/>
        <v>23</v>
      </c>
      <c r="AF181" s="3">
        <f t="shared" si="33"/>
        <v>8.6257982490884295</v>
      </c>
      <c r="AG181" s="113">
        <f t="shared" si="20"/>
        <v>111.62253160834713</v>
      </c>
      <c r="AH181" s="124">
        <f t="shared" si="21"/>
        <v>16.307492379001587</v>
      </c>
      <c r="AI181" s="124">
        <f t="shared" si="22"/>
        <v>24.140919721338808</v>
      </c>
      <c r="AJ181" s="124">
        <f t="shared" si="23"/>
        <v>-2.5626287775264589</v>
      </c>
      <c r="AK181" s="124">
        <f t="shared" si="24"/>
        <v>13.054829013918962</v>
      </c>
      <c r="AL181" s="124">
        <f t="shared" si="25"/>
        <v>27.865351873968361</v>
      </c>
      <c r="AM181" s="124">
        <f t="shared" si="26"/>
        <v>8.3850679710964862</v>
      </c>
      <c r="AN181" s="124">
        <f t="shared" si="27"/>
        <v>4.1883456399083343</v>
      </c>
      <c r="AO181" s="124">
        <f t="shared" si="28"/>
        <v>23.253914181043147</v>
      </c>
      <c r="AP181" s="3">
        <f t="shared" si="32"/>
        <v>75.071885442704499</v>
      </c>
    </row>
    <row r="182" spans="1:42" ht="14">
      <c r="A182">
        <f t="shared" si="38"/>
        <v>24</v>
      </c>
      <c r="B182" s="19">
        <f t="shared" si="38"/>
        <v>104</v>
      </c>
      <c r="C182" s="26">
        <f t="shared" si="30"/>
        <v>112.59390898119706</v>
      </c>
      <c r="D182" s="125">
        <f>(($C$39*$C$118*0.72)*D$40)*('Product half-life and C flows'!B83/100)</f>
        <v>0.87934648391257608</v>
      </c>
      <c r="E182" s="26"/>
      <c r="F182" s="54">
        <f t="shared" si="37"/>
        <v>0</v>
      </c>
      <c r="G182" s="54">
        <f t="shared" si="37"/>
        <v>0.7542108817919595</v>
      </c>
      <c r="H182" s="125">
        <f>(H$118)*('Product half-life and C flows'!L83/100)</f>
        <v>0.87945022920657268</v>
      </c>
      <c r="I182" s="125">
        <f>(($C$39*$C$118*0.28)*H$41)*('Product half-life and C flows'!N83/100)</f>
        <v>0.73946811758484732</v>
      </c>
      <c r="J182" s="125">
        <f>(($C$39*$C$118*0.28)*H$41)*(+'Product half-life and C flows'!P83/100)</f>
        <v>0.36936469409832517</v>
      </c>
      <c r="K182" s="54">
        <f t="shared" si="15"/>
        <v>1.3434381331919276</v>
      </c>
      <c r="L182" s="26"/>
      <c r="M182" s="83">
        <f>C$158*(0.4*D$14)*('Product half-life and C flows'!B43/100)</f>
        <v>14.872652838630112</v>
      </c>
      <c r="N182" s="83">
        <f t="shared" si="31"/>
        <v>26.071728237167552</v>
      </c>
      <c r="O182" s="83">
        <f t="shared" si="39"/>
        <v>-2.5626287775264589</v>
      </c>
      <c r="P182" s="83">
        <f t="shared" si="39"/>
        <v>12.300618132127003</v>
      </c>
      <c r="Q182" s="83">
        <f>C$158*(0.6*C$15)*('Product half-life and C flows'!L43/100)</f>
        <v>26.559972856799167</v>
      </c>
      <c r="R182" s="83">
        <f>C$158*0.6*('Product half-life and C flows'!N43/100)</f>
        <v>7.9275588432692068</v>
      </c>
      <c r="S182" s="83">
        <f>C$158*0.6*('Product half-life and C flows'!P43/100)</f>
        <v>3.9598196020325704</v>
      </c>
      <c r="T182" s="83">
        <f t="shared" si="36"/>
        <v>21.910476047851219</v>
      </c>
      <c r="U182" s="3"/>
      <c r="V182" s="88"/>
      <c r="W182" s="88"/>
      <c r="X182" s="88"/>
      <c r="Y182" s="88"/>
      <c r="Z182" s="88"/>
      <c r="AA182" s="88"/>
      <c r="AB182" s="88"/>
      <c r="AC182" s="88"/>
      <c r="AE182">
        <f t="shared" si="19"/>
        <v>24</v>
      </c>
      <c r="AF182" s="3">
        <f t="shared" si="33"/>
        <v>9.315695937635855</v>
      </c>
      <c r="AG182" s="113">
        <f t="shared" si="20"/>
        <v>112.59390898119706</v>
      </c>
      <c r="AH182" s="124">
        <f t="shared" ref="AH182:AH216" si="40">D182+M182+V182</f>
        <v>15.751999322542687</v>
      </c>
      <c r="AI182" s="124">
        <f t="shared" ref="AI182:AI216" si="41">E182+N182+W182</f>
        <v>26.071728237167552</v>
      </c>
      <c r="AJ182" s="124">
        <f t="shared" ref="AJ182:AJ216" si="42">F182+O182+X182</f>
        <v>-2.5626287775264589</v>
      </c>
      <c r="AK182" s="124">
        <f t="shared" ref="AK182:AK216" si="43">G182+P182+Y182</f>
        <v>13.054829013918962</v>
      </c>
      <c r="AL182" s="124">
        <f t="shared" ref="AL182:AL216" si="44">H182+Q182+Z182</f>
        <v>27.439423086005739</v>
      </c>
      <c r="AM182" s="124">
        <f t="shared" ref="AM182:AM216" si="45">I182+R182+AA182</f>
        <v>8.667026960854054</v>
      </c>
      <c r="AN182" s="124">
        <f t="shared" ref="AN182:AN216" si="46">J182+S182+AB182</f>
        <v>4.3291842961308955</v>
      </c>
      <c r="AO182" s="124">
        <f t="shared" ref="AO182:AO216" si="47">K182+T182+AC182</f>
        <v>23.253914181043147</v>
      </c>
      <c r="AP182" s="3">
        <f t="shared" si="32"/>
        <v>76.99956281655075</v>
      </c>
    </row>
    <row r="183" spans="1:42" ht="14">
      <c r="A183">
        <f t="shared" si="38"/>
        <v>25</v>
      </c>
      <c r="B183" s="19">
        <f t="shared" si="38"/>
        <v>105</v>
      </c>
      <c r="C183" s="26">
        <f t="shared" si="30"/>
        <v>113.55150510970481</v>
      </c>
      <c r="D183" s="125">
        <f>(($C$39*$C$118*0.72)*D$40)*('Product half-life and C flows'!B84/100)</f>
        <v>0.84939271452348453</v>
      </c>
      <c r="E183" s="26"/>
      <c r="F183" s="54">
        <f t="shared" si="37"/>
        <v>0</v>
      </c>
      <c r="G183" s="54">
        <f t="shared" si="37"/>
        <v>0.7542108817919595</v>
      </c>
      <c r="H183" s="125">
        <f>(H$118)*('Product half-life and C flows'!L84/100)</f>
        <v>0.86600761517127911</v>
      </c>
      <c r="I183" s="125">
        <f>(($C$39*$C$118*0.28)*H$41)*('Product half-life and C flows'!N84/100)</f>
        <v>0.74619614590951167</v>
      </c>
      <c r="J183" s="125">
        <f>(($C$39*$C$118*0.28)*H$41)*(+'Product half-life and C flows'!P84/100)</f>
        <v>0.37272534760714859</v>
      </c>
      <c r="K183" s="54">
        <f t="shared" si="15"/>
        <v>1.3434381331919276</v>
      </c>
      <c r="L183" s="26"/>
      <c r="M183" s="83">
        <f>C$158*(0.4*D$14)*('Product half-life and C flows'!B44/100)</f>
        <v>14.366035684320053</v>
      </c>
      <c r="N183" s="83">
        <f t="shared" si="31"/>
        <v>28.021275991399175</v>
      </c>
      <c r="O183" s="83">
        <f t="shared" si="39"/>
        <v>-2.5626287775264589</v>
      </c>
      <c r="P183" s="83">
        <f t="shared" si="39"/>
        <v>12.300618132127003</v>
      </c>
      <c r="Q183" s="83">
        <f>C$158*(0.6*C$15)*('Product half-life and C flows'!L44/100)</f>
        <v>26.153997109628197</v>
      </c>
      <c r="R183" s="83">
        <f>C$158*0.6*('Product half-life and C flows'!N44/100)</f>
        <v>8.1984799918813032</v>
      </c>
      <c r="S183" s="83">
        <f>C$158*0.6*('Product half-life and C flows'!P44/100)</f>
        <v>4.0951448510895618</v>
      </c>
      <c r="T183" s="83">
        <f t="shared" si="36"/>
        <v>21.910476047851219</v>
      </c>
      <c r="U183" s="3"/>
      <c r="V183" s="88"/>
      <c r="W183" s="88"/>
      <c r="X183" s="88"/>
      <c r="Y183" s="88"/>
      <c r="Z183" s="88"/>
      <c r="AA183" s="88"/>
      <c r="AB183" s="88"/>
      <c r="AC183" s="88"/>
      <c r="AE183">
        <f t="shared" si="19"/>
        <v>25</v>
      </c>
      <c r="AF183" s="3">
        <f t="shared" si="33"/>
        <v>10.012289348287933</v>
      </c>
      <c r="AG183" s="113">
        <f t="shared" si="20"/>
        <v>113.55150510970481</v>
      </c>
      <c r="AH183" s="124">
        <f t="shared" si="40"/>
        <v>15.215428398843537</v>
      </c>
      <c r="AI183" s="124">
        <f t="shared" si="41"/>
        <v>28.021275991399175</v>
      </c>
      <c r="AJ183" s="124">
        <f t="shared" si="42"/>
        <v>-2.5626287775264589</v>
      </c>
      <c r="AK183" s="124">
        <f t="shared" si="43"/>
        <v>13.054829013918962</v>
      </c>
      <c r="AL183" s="124">
        <f t="shared" si="44"/>
        <v>27.020004724799477</v>
      </c>
      <c r="AM183" s="124">
        <f t="shared" si="45"/>
        <v>8.9446761377908146</v>
      </c>
      <c r="AN183" s="124">
        <f t="shared" si="46"/>
        <v>4.4678701986967102</v>
      </c>
      <c r="AO183" s="124">
        <f t="shared" si="47"/>
        <v>23.253914181043147</v>
      </c>
      <c r="AP183" s="3">
        <f t="shared" si="32"/>
        <v>78.9460272890787</v>
      </c>
    </row>
    <row r="184" spans="1:42" ht="14">
      <c r="A184">
        <f t="shared" si="38"/>
        <v>26</v>
      </c>
      <c r="B184" s="19">
        <f t="shared" si="38"/>
        <v>106</v>
      </c>
      <c r="C184" s="26">
        <f t="shared" si="30"/>
        <v>114.4953938672609</v>
      </c>
      <c r="D184" s="125">
        <f>(($C$39*$C$118*0.72)*D$40)*('Product half-life and C flows'!B85/100)</f>
        <v>0.82045928048232397</v>
      </c>
      <c r="E184" s="26"/>
      <c r="F184" s="54">
        <f t="shared" ref="F184:G199" si="48">F183</f>
        <v>0</v>
      </c>
      <c r="G184" s="54">
        <f t="shared" si="48"/>
        <v>0.7542108817919595</v>
      </c>
      <c r="H184" s="125">
        <f>(H$118)*('Product half-life and C flows'!L85/100)</f>
        <v>0.85277047481272206</v>
      </c>
      <c r="I184" s="125">
        <f>(($C$39*$C$118*0.28)*H$41)*('Product half-life and C flows'!N85/100)</f>
        <v>0.7528213346589695</v>
      </c>
      <c r="J184" s="125">
        <f>(($C$39*$C$118*0.28)*H$41)*(+'Product half-life and C flows'!P85/100)</f>
        <v>0.37603463269678783</v>
      </c>
      <c r="K184" s="54">
        <f t="shared" ref="K184:K238" si="49">K183</f>
        <v>1.3434381331919276</v>
      </c>
      <c r="L184" s="26"/>
      <c r="M184" s="83">
        <f>C$158*(0.4*D$14)*('Product half-life and C flows'!B45/100)</f>
        <v>13.876675770115442</v>
      </c>
      <c r="N184" s="83">
        <f t="shared" si="31"/>
        <v>29.983689709930267</v>
      </c>
      <c r="O184" s="83">
        <f t="shared" si="39"/>
        <v>-2.5626287775264589</v>
      </c>
      <c r="P184" s="83">
        <f t="shared" si="39"/>
        <v>12.300618132127003</v>
      </c>
      <c r="Q184" s="83">
        <f>C$158*(0.6*C$15)*('Product half-life and C flows'!L45/100)</f>
        <v>25.754226802055364</v>
      </c>
      <c r="R184" s="83">
        <f>C$158*0.6*('Product half-life and C flows'!N45/100)</f>
        <v>8.4652600438015728</v>
      </c>
      <c r="S184" s="83">
        <f>C$158*0.6*('Product half-life and C flows'!P45/100)</f>
        <v>4.2284016202805059</v>
      </c>
      <c r="T184" s="83">
        <f t="shared" si="36"/>
        <v>21.910476047851219</v>
      </c>
      <c r="U184" s="3"/>
      <c r="V184" s="88"/>
      <c r="W184" s="88"/>
      <c r="X184" s="88"/>
      <c r="Y184" s="88"/>
      <c r="Z184" s="88"/>
      <c r="AA184" s="88"/>
      <c r="AB184" s="88"/>
      <c r="AC184" s="88"/>
      <c r="AE184">
        <f t="shared" si="19"/>
        <v>26</v>
      </c>
      <c r="AF184" s="3">
        <f t="shared" si="33"/>
        <v>10.713479899960662</v>
      </c>
      <c r="AG184" s="113">
        <f t="shared" si="20"/>
        <v>114.4953938672609</v>
      </c>
      <c r="AH184" s="124">
        <f t="shared" si="40"/>
        <v>14.697135050597765</v>
      </c>
      <c r="AI184" s="124">
        <f t="shared" si="41"/>
        <v>29.983689709930267</v>
      </c>
      <c r="AJ184" s="124">
        <f t="shared" si="42"/>
        <v>-2.5626287775264589</v>
      </c>
      <c r="AK184" s="124">
        <f t="shared" si="43"/>
        <v>13.054829013918962</v>
      </c>
      <c r="AL184" s="124">
        <f t="shared" si="44"/>
        <v>26.606997276868086</v>
      </c>
      <c r="AM184" s="124">
        <f t="shared" si="45"/>
        <v>9.2180813784605427</v>
      </c>
      <c r="AN184" s="124">
        <f t="shared" si="46"/>
        <v>4.604436252977294</v>
      </c>
      <c r="AO184" s="124">
        <f t="shared" si="47"/>
        <v>23.253914181043147</v>
      </c>
      <c r="AP184" s="3">
        <f t="shared" si="32"/>
        <v>80.905404854628685</v>
      </c>
    </row>
    <row r="185" spans="1:42" ht="14">
      <c r="A185">
        <f t="shared" si="38"/>
        <v>27</v>
      </c>
      <c r="B185" s="19">
        <f t="shared" si="38"/>
        <v>107</v>
      </c>
      <c r="C185" s="26">
        <f t="shared" si="30"/>
        <v>115.42565460519332</v>
      </c>
      <c r="D185" s="125">
        <f>(($C$39*$C$118*0.72)*D$40)*('Product half-life and C flows'!B86/100)</f>
        <v>0.79251142542141617</v>
      </c>
      <c r="E185" s="26"/>
      <c r="F185" s="54">
        <f t="shared" si="48"/>
        <v>0</v>
      </c>
      <c r="G185" s="54">
        <f t="shared" si="48"/>
        <v>0.7542108817919595</v>
      </c>
      <c r="H185" s="125">
        <f>(H$118)*('Product half-life and C flows'!L86/100)</f>
        <v>0.8397356674149874</v>
      </c>
      <c r="I185" s="125">
        <f>(($C$39*$C$118*0.28)*H$41)*('Product half-life and C flows'!N86/100)</f>
        <v>0.75934525576153566</v>
      </c>
      <c r="J185" s="125">
        <f>(($C$39*$C$118*0.28)*H$41)*(+'Product half-life and C flows'!P86/100)</f>
        <v>0.37929333454622149</v>
      </c>
      <c r="K185" s="54">
        <f t="shared" si="49"/>
        <v>1.3434381331919276</v>
      </c>
      <c r="L185" s="26"/>
      <c r="M185" s="83">
        <f>C$158*(0.4*D$14)*('Product half-life and C flows'!B46/100)</f>
        <v>13.403985251065667</v>
      </c>
      <c r="N185" s="83">
        <f t="shared" si="31"/>
        <v>31.953481416457699</v>
      </c>
      <c r="O185" s="83">
        <f t="shared" si="39"/>
        <v>-2.5626287775264589</v>
      </c>
      <c r="P185" s="83">
        <f t="shared" si="39"/>
        <v>12.300618132127003</v>
      </c>
      <c r="Q185" s="83">
        <f>C$158*(0.6*C$15)*('Product half-life and C flows'!L46/100)</f>
        <v>25.36056708240325</v>
      </c>
      <c r="R185" s="83">
        <f>C$158*0.6*('Product half-life and C flows'!N46/100)</f>
        <v>8.7279622967160861</v>
      </c>
      <c r="S185" s="83">
        <f>C$158*0.6*('Product half-life and C flows'!P46/100)</f>
        <v>4.3596215268312113</v>
      </c>
      <c r="T185" s="83">
        <f t="shared" si="36"/>
        <v>21.910476047851219</v>
      </c>
      <c r="U185" s="3"/>
      <c r="V185" s="88"/>
      <c r="W185" s="88"/>
      <c r="X185" s="88"/>
      <c r="Y185" s="88"/>
      <c r="Z185" s="88"/>
      <c r="AA185" s="88"/>
      <c r="AB185" s="88"/>
      <c r="AC185" s="88"/>
      <c r="AE185">
        <f t="shared" si="19"/>
        <v>27</v>
      </c>
      <c r="AF185" s="3">
        <f t="shared" si="33"/>
        <v>11.417306682426386</v>
      </c>
      <c r="AG185" s="113">
        <f t="shared" si="20"/>
        <v>115.42565460519332</v>
      </c>
      <c r="AH185" s="124">
        <f t="shared" si="40"/>
        <v>14.196496676487083</v>
      </c>
      <c r="AI185" s="124">
        <f t="shared" si="41"/>
        <v>31.953481416457699</v>
      </c>
      <c r="AJ185" s="124">
        <f t="shared" si="42"/>
        <v>-2.5626287775264589</v>
      </c>
      <c r="AK185" s="124">
        <f t="shared" si="43"/>
        <v>13.054829013918962</v>
      </c>
      <c r="AL185" s="124">
        <f t="shared" si="44"/>
        <v>26.200302749818238</v>
      </c>
      <c r="AM185" s="124">
        <f t="shared" si="45"/>
        <v>9.4873075524776223</v>
      </c>
      <c r="AN185" s="124">
        <f t="shared" si="46"/>
        <v>4.7389148613774328</v>
      </c>
      <c r="AO185" s="124">
        <f t="shared" si="47"/>
        <v>23.253914181043147</v>
      </c>
      <c r="AP185" s="3">
        <f t="shared" si="32"/>
        <v>82.872206816523487</v>
      </c>
    </row>
    <row r="186" spans="1:42" ht="14">
      <c r="A186">
        <f t="shared" si="38"/>
        <v>28</v>
      </c>
      <c r="B186" s="19">
        <f t="shared" si="38"/>
        <v>108</v>
      </c>
      <c r="C186" s="26">
        <f t="shared" si="30"/>
        <v>116.34237182238667</v>
      </c>
      <c r="D186" s="125">
        <f>(($C$39*$C$118*0.72)*D$40)*('Product half-life and C flows'!B87/100)</f>
        <v>0.76551557690255922</v>
      </c>
      <c r="E186" s="26"/>
      <c r="F186" s="54">
        <f t="shared" si="48"/>
        <v>0</v>
      </c>
      <c r="G186" s="54">
        <f t="shared" si="48"/>
        <v>0.7542108817919595</v>
      </c>
      <c r="H186" s="125">
        <f>(H$118)*('Product half-life and C flows'!L87/100)</f>
        <v>0.82690010026877914</v>
      </c>
      <c r="I186" s="125">
        <f>(($C$39*$C$118*0.28)*H$41)*('Product half-life and C flows'!N87/100)</f>
        <v>0.76576945711821298</v>
      </c>
      <c r="J186" s="125">
        <f>(($C$39*$C$118*0.28)*H$41)*(+'Product half-life and C flows'!P87/100)</f>
        <v>0.38250222633277359</v>
      </c>
      <c r="K186" s="54">
        <f t="shared" si="49"/>
        <v>1.3434381331919276</v>
      </c>
      <c r="L186" s="26"/>
      <c r="M186" s="83">
        <f>C$158*(0.4*D$14)*('Product half-life and C flows'!B47/100)</f>
        <v>12.947396306377144</v>
      </c>
      <c r="N186" s="83">
        <f t="shared" si="31"/>
        <v>33.925548553733627</v>
      </c>
      <c r="O186" s="83">
        <f t="shared" si="39"/>
        <v>-2.5626287775264589</v>
      </c>
      <c r="P186" s="83">
        <f t="shared" si="39"/>
        <v>12.300618132127003</v>
      </c>
      <c r="Q186" s="83">
        <f>C$158*(0.6*C$15)*('Product half-life and C flows'!L47/100)</f>
        <v>24.972924548825787</v>
      </c>
      <c r="R186" s="83">
        <f>C$158*0.6*('Product half-life and C flows'!N47/100)</f>
        <v>8.9866490807901087</v>
      </c>
      <c r="S186" s="83">
        <f>C$158*0.6*('Product half-life and C flows'!P47/100)</f>
        <v>4.4888357046903637</v>
      </c>
      <c r="T186" s="83">
        <f t="shared" si="36"/>
        <v>21.910476047851219</v>
      </c>
      <c r="U186" s="3"/>
      <c r="V186" s="88"/>
      <c r="W186" s="88"/>
      <c r="X186" s="88"/>
      <c r="Y186" s="88"/>
      <c r="Z186" s="88"/>
      <c r="AA186" s="88"/>
      <c r="AB186" s="88"/>
      <c r="AC186" s="88"/>
      <c r="AE186">
        <f t="shared" si="19"/>
        <v>28</v>
      </c>
      <c r="AF186" s="3">
        <f t="shared" si="33"/>
        <v>12.121946499639455</v>
      </c>
      <c r="AG186" s="113">
        <f t="shared" si="20"/>
        <v>116.34237182238667</v>
      </c>
      <c r="AH186" s="124">
        <f t="shared" si="40"/>
        <v>13.712911883279702</v>
      </c>
      <c r="AI186" s="124">
        <f t="shared" si="41"/>
        <v>33.925548553733627</v>
      </c>
      <c r="AJ186" s="124">
        <f t="shared" si="42"/>
        <v>-2.5626287775264589</v>
      </c>
      <c r="AK186" s="124">
        <f t="shared" si="43"/>
        <v>13.054829013918962</v>
      </c>
      <c r="AL186" s="124">
        <f t="shared" si="44"/>
        <v>25.799824649094568</v>
      </c>
      <c r="AM186" s="124">
        <f t="shared" si="45"/>
        <v>9.752418537908321</v>
      </c>
      <c r="AN186" s="124">
        <f t="shared" si="46"/>
        <v>4.8713379310231373</v>
      </c>
      <c r="AO186" s="124">
        <f t="shared" si="47"/>
        <v>23.253914181043147</v>
      </c>
      <c r="AP186" s="3">
        <f t="shared" si="32"/>
        <v>84.841329908152161</v>
      </c>
    </row>
    <row r="187" spans="1:42" ht="14">
      <c r="A187">
        <f t="shared" si="38"/>
        <v>29</v>
      </c>
      <c r="B187" s="19">
        <f t="shared" si="38"/>
        <v>109</v>
      </c>
      <c r="C187" s="26">
        <f t="shared" si="30"/>
        <v>117.24563484721969</v>
      </c>
      <c r="D187" s="125">
        <f>(($C$39*$C$118*0.72)*D$40)*('Product half-life and C flows'!B88/100)</f>
        <v>0.73943930608804354</v>
      </c>
      <c r="E187" s="26"/>
      <c r="F187" s="54">
        <f t="shared" si="48"/>
        <v>0</v>
      </c>
      <c r="G187" s="54">
        <f t="shared" si="48"/>
        <v>0.7542108817919595</v>
      </c>
      <c r="H187" s="125">
        <f>(H$118)*('Product half-life and C flows'!L88/100)</f>
        <v>0.81426072793762694</v>
      </c>
      <c r="I187" s="125">
        <f>(($C$39*$C$118*0.28)*H$41)*('Product half-life and C flows'!N88/100)</f>
        <v>0.77209546296995457</v>
      </c>
      <c r="J187" s="125">
        <f>(($C$39*$C$118*0.28)*H$41)*(+'Product half-life and C flows'!P88/100)</f>
        <v>0.38566206941556164</v>
      </c>
      <c r="K187" s="54">
        <f t="shared" si="49"/>
        <v>1.3434381331919276</v>
      </c>
      <c r="L187" s="26"/>
      <c r="M187" s="83">
        <f>C$158*(0.4*D$14)*('Product half-life and C flows'!B48/100)</f>
        <v>12.506360457317047</v>
      </c>
      <c r="N187" s="83">
        <f t="shared" si="31"/>
        <v>35.895169859521509</v>
      </c>
      <c r="O187" s="83">
        <f t="shared" si="39"/>
        <v>-2.5626287775264589</v>
      </c>
      <c r="P187" s="83">
        <f t="shared" si="39"/>
        <v>12.300618132127003</v>
      </c>
      <c r="Q187" s="83">
        <f>C$158*(0.6*C$15)*('Product half-life and C flows'!L48/100)</f>
        <v>24.591207227147176</v>
      </c>
      <c r="R187" s="83">
        <f>C$158*0.6*('Product half-life and C flows'!N48/100)</f>
        <v>9.2413817734569701</v>
      </c>
      <c r="S187" s="83">
        <f>C$158*0.6*('Product half-life and C flows'!P48/100)</f>
        <v>4.616074811916568</v>
      </c>
      <c r="T187" s="83">
        <f t="shared" si="36"/>
        <v>21.910476047851219</v>
      </c>
      <c r="U187" s="3"/>
      <c r="V187" s="88"/>
      <c r="W187" s="88"/>
      <c r="X187" s="88"/>
      <c r="Y187" s="88"/>
      <c r="Z187" s="88"/>
      <c r="AA187" s="88"/>
      <c r="AB187" s="88"/>
      <c r="AC187" s="88"/>
      <c r="AE187">
        <f t="shared" si="19"/>
        <v>29</v>
      </c>
      <c r="AF187" s="3">
        <f t="shared" si="33"/>
        <v>12.825712396173001</v>
      </c>
      <c r="AG187" s="113">
        <f t="shared" si="20"/>
        <v>117.24563484721969</v>
      </c>
      <c r="AH187" s="124">
        <f t="shared" si="40"/>
        <v>13.24579976340509</v>
      </c>
      <c r="AI187" s="124">
        <f t="shared" si="41"/>
        <v>35.895169859521509</v>
      </c>
      <c r="AJ187" s="124">
        <f t="shared" si="42"/>
        <v>-2.5626287775264589</v>
      </c>
      <c r="AK187" s="124">
        <f t="shared" si="43"/>
        <v>13.054829013918962</v>
      </c>
      <c r="AL187" s="124">
        <f t="shared" si="44"/>
        <v>25.405467955084802</v>
      </c>
      <c r="AM187" s="124">
        <f t="shared" si="45"/>
        <v>10.013477236426924</v>
      </c>
      <c r="AN187" s="124">
        <f t="shared" si="46"/>
        <v>5.0017368813321292</v>
      </c>
      <c r="AO187" s="124">
        <f t="shared" si="47"/>
        <v>23.253914181043147</v>
      </c>
      <c r="AP187" s="3">
        <f t="shared" si="32"/>
        <v>86.808052168757882</v>
      </c>
    </row>
    <row r="188" spans="1:42" ht="14">
      <c r="A188">
        <f t="shared" si="38"/>
        <v>30</v>
      </c>
      <c r="B188" s="19">
        <f t="shared" si="38"/>
        <v>110</v>
      </c>
      <c r="C188" s="26">
        <f t="shared" si="30"/>
        <v>118.1355375315197</v>
      </c>
      <c r="D188" s="125">
        <f>(($C$39*$C$118*0.72)*D$40)*('Product half-life and C flows'!B89/100)</f>
        <v>0.71425128878541977</v>
      </c>
      <c r="E188" s="26"/>
      <c r="F188" s="54">
        <f t="shared" si="48"/>
        <v>0</v>
      </c>
      <c r="G188" s="54">
        <f t="shared" si="48"/>
        <v>0.7542108817919595</v>
      </c>
      <c r="H188" s="125">
        <f>(H$118)*('Product half-life and C flows'!L89/100)</f>
        <v>0.80181455153531056</v>
      </c>
      <c r="I188" s="125">
        <f>(($C$39*$C$118*0.28)*H$41)*('Product half-life and C flows'!N89/100)</f>
        <v>0.7783247742593139</v>
      </c>
      <c r="J188" s="125">
        <f>(($C$39*$C$118*0.28)*H$41)*(+'Product half-life and C flows'!P89/100)</f>
        <v>0.38877361351614065</v>
      </c>
      <c r="K188" s="54">
        <f t="shared" si="49"/>
        <v>1.3434381331919276</v>
      </c>
      <c r="L188" s="26"/>
      <c r="M188" s="83">
        <f>C$158*(0.4*D$14)*('Product half-life and C flows'!B49/100)</f>
        <v>12.080347908351678</v>
      </c>
      <c r="N188" s="83">
        <f t="shared" si="31"/>
        <v>37.85799783686052</v>
      </c>
      <c r="O188" s="83">
        <f t="shared" si="39"/>
        <v>-2.5626287775264589</v>
      </c>
      <c r="P188" s="83">
        <f t="shared" si="39"/>
        <v>12.300618132127003</v>
      </c>
      <c r="Q188" s="83">
        <f>C$158*(0.6*C$15)*('Product half-life and C flows'!L49/100)</f>
        <v>24.215324549039632</v>
      </c>
      <c r="R188" s="83">
        <f>C$158*0.6*('Product half-life and C flows'!N49/100)</f>
        <v>9.4922208139807385</v>
      </c>
      <c r="S188" s="83">
        <f>C$158*0.6*('Product half-life and C flows'!P49/100)</f>
        <v>4.741369037952416</v>
      </c>
      <c r="T188" s="83">
        <f t="shared" si="36"/>
        <v>21.910476047851219</v>
      </c>
      <c r="U188" s="3"/>
      <c r="V188" s="88"/>
      <c r="W188" s="88"/>
      <c r="X188" s="88"/>
      <c r="Y188" s="88"/>
      <c r="Z188" s="88"/>
      <c r="AA188" s="88"/>
      <c r="AB188" s="88"/>
      <c r="AC188" s="88"/>
      <c r="AE188">
        <f t="shared" si="19"/>
        <v>30</v>
      </c>
      <c r="AF188" s="3">
        <f t="shared" si="33"/>
        <v>13.527050966767179</v>
      </c>
      <c r="AG188" s="113">
        <f t="shared" si="20"/>
        <v>118.1355375315197</v>
      </c>
      <c r="AH188" s="124">
        <f t="shared" si="40"/>
        <v>12.794599197137098</v>
      </c>
      <c r="AI188" s="124">
        <f t="shared" si="41"/>
        <v>37.85799783686052</v>
      </c>
      <c r="AJ188" s="124">
        <f t="shared" si="42"/>
        <v>-2.5626287775264589</v>
      </c>
      <c r="AK188" s="124">
        <f t="shared" si="43"/>
        <v>13.054829013918962</v>
      </c>
      <c r="AL188" s="124">
        <f t="shared" si="44"/>
        <v>25.017139100574944</v>
      </c>
      <c r="AM188" s="124">
        <f t="shared" si="45"/>
        <v>10.270545588240052</v>
      </c>
      <c r="AN188" s="124">
        <f t="shared" si="46"/>
        <v>5.1301426514685566</v>
      </c>
      <c r="AO188" s="124">
        <f t="shared" si="47"/>
        <v>23.253914181043147</v>
      </c>
      <c r="AP188" s="3">
        <f t="shared" si="32"/>
        <v>88.768025413536577</v>
      </c>
    </row>
    <row r="189" spans="1:42" ht="14">
      <c r="A189">
        <f t="shared" si="38"/>
        <v>31</v>
      </c>
      <c r="B189" s="19">
        <f t="shared" si="38"/>
        <v>111</v>
      </c>
      <c r="C189" s="26">
        <f t="shared" si="30"/>
        <v>119.01217795623283</v>
      </c>
      <c r="D189" s="125">
        <f>(($C$39*$C$118*0.72)*D$40)*('Product half-life and C flows'!B90/100)</f>
        <v>0.68992126781922813</v>
      </c>
      <c r="E189" s="26"/>
      <c r="F189" s="54">
        <f t="shared" si="48"/>
        <v>0</v>
      </c>
      <c r="G189" s="54">
        <f t="shared" si="48"/>
        <v>0.7542108817919595</v>
      </c>
      <c r="H189" s="125">
        <f>(H$118)*('Product half-life and C flows'!L90/100)</f>
        <v>0.78955861801432536</v>
      </c>
      <c r="I189" s="125">
        <f>(($C$39*$C$118*0.28)*H$41)*('Product half-life and C flows'!N90/100)</f>
        <v>0.78445886898656703</v>
      </c>
      <c r="J189" s="125">
        <f>(($C$39*$C$118*0.28)*H$41)*(+'Product half-life and C flows'!P90/100)</f>
        <v>0.39183759689638703</v>
      </c>
      <c r="K189" s="54">
        <f t="shared" si="49"/>
        <v>1.3434381331919276</v>
      </c>
      <c r="L189" s="26"/>
      <c r="M189" s="83">
        <f>C$158*(0.4*D$14)*('Product half-life and C flows'!B50/100)</f>
        <v>11.668846910728156</v>
      </c>
      <c r="N189" s="83">
        <f t="shared" si="31"/>
        <v>39.810048534318845</v>
      </c>
      <c r="O189" s="83">
        <f t="shared" si="39"/>
        <v>-2.5626287775264589</v>
      </c>
      <c r="P189" s="83">
        <f t="shared" si="39"/>
        <v>12.300618132127003</v>
      </c>
      <c r="Q189" s="83">
        <f>C$158*(0.6*C$15)*('Product half-life and C flows'!L50/100)</f>
        <v>23.845187330534632</v>
      </c>
      <c r="R189" s="83">
        <f>C$158*0.6*('Product half-life and C flows'!N50/100)</f>
        <v>9.7392257177964101</v>
      </c>
      <c r="S189" s="83">
        <f>C$158*0.6*('Product half-life and C flows'!P50/100)</f>
        <v>4.8647481107874171</v>
      </c>
      <c r="T189" s="83">
        <f t="shared" si="36"/>
        <v>21.910476047851219</v>
      </c>
      <c r="U189" s="3"/>
      <c r="V189" s="88"/>
      <c r="W189" s="88"/>
      <c r="X189" s="88"/>
      <c r="Y189" s="88"/>
      <c r="Z189" s="88"/>
      <c r="AA189" s="88"/>
      <c r="AB189" s="88"/>
      <c r="AC189" s="88"/>
      <c r="AE189">
        <f t="shared" si="19"/>
        <v>31</v>
      </c>
      <c r="AF189" s="3">
        <f t="shared" si="33"/>
        <v>14.224538704708843</v>
      </c>
      <c r="AG189" s="113">
        <f t="shared" si="20"/>
        <v>119.01217795623283</v>
      </c>
      <c r="AH189" s="124">
        <f t="shared" si="40"/>
        <v>12.358768178547384</v>
      </c>
      <c r="AI189" s="124">
        <f t="shared" si="41"/>
        <v>39.810048534318845</v>
      </c>
      <c r="AJ189" s="124">
        <f t="shared" si="42"/>
        <v>-2.5626287775264589</v>
      </c>
      <c r="AK189" s="124">
        <f t="shared" si="43"/>
        <v>13.054829013918962</v>
      </c>
      <c r="AL189" s="124">
        <f t="shared" si="44"/>
        <v>24.634745948548957</v>
      </c>
      <c r="AM189" s="124">
        <f t="shared" si="45"/>
        <v>10.523684586782977</v>
      </c>
      <c r="AN189" s="124">
        <f t="shared" si="46"/>
        <v>5.2565857076838043</v>
      </c>
      <c r="AO189" s="124">
        <f t="shared" si="47"/>
        <v>23.253914181043147</v>
      </c>
      <c r="AP189" s="3">
        <f t="shared" si="32"/>
        <v>90.717265013727086</v>
      </c>
    </row>
    <row r="190" spans="1:42" ht="14">
      <c r="A190">
        <f t="shared" si="38"/>
        <v>32</v>
      </c>
      <c r="B190" s="19">
        <f t="shared" si="38"/>
        <v>112</v>
      </c>
      <c r="C190" s="26">
        <f t="shared" si="30"/>
        <v>119.8756581485074</v>
      </c>
      <c r="D190" s="125">
        <f>(($C$39*$C$118*0.72)*D$40)*('Product half-life and C flows'!B91/100)</f>
        <v>0.66642001668448037</v>
      </c>
      <c r="E190" s="26"/>
      <c r="F190" s="54">
        <f t="shared" si="48"/>
        <v>0</v>
      </c>
      <c r="G190" s="54">
        <f t="shared" si="48"/>
        <v>0.7542108817919595</v>
      </c>
      <c r="H190" s="125">
        <f>(H$118)*('Product half-life and C flows'!L91/100)</f>
        <v>0.77749001946522722</v>
      </c>
      <c r="I190" s="125">
        <f>(($C$39*$C$118*0.28)*H$41)*('Product half-life and C flows'!N91/100)</f>
        <v>0.79049920256039063</v>
      </c>
      <c r="J190" s="125">
        <f>(($C$39*$C$118*0.28)*H$41)*(+'Product half-life and C flows'!P91/100)</f>
        <v>0.39485474653366154</v>
      </c>
      <c r="K190" s="54">
        <f t="shared" si="49"/>
        <v>1.3434381331919276</v>
      </c>
      <c r="L190" s="26"/>
      <c r="M190" s="83">
        <f>C$158*(0.4*D$14)*('Product half-life and C flows'!B51/100)</f>
        <v>11.27136314773478</v>
      </c>
      <c r="N190" s="83">
        <f t="shared" si="31"/>
        <v>41.747689244282668</v>
      </c>
      <c r="O190" s="83">
        <f t="shared" si="39"/>
        <v>-2.5626287775264589</v>
      </c>
      <c r="P190" s="83">
        <f t="shared" si="39"/>
        <v>12.300618132127003</v>
      </c>
      <c r="Q190" s="83">
        <f>C$158*(0.6*C$15)*('Product half-life and C flows'!L51/100)</f>
        <v>23.480707750862639</v>
      </c>
      <c r="R190" s="83">
        <f>C$158*0.6*('Product half-life and C flows'!N51/100)</f>
        <v>9.982455090630852</v>
      </c>
      <c r="S190" s="83">
        <f>C$158*0.6*('Product half-life and C flows'!P51/100)</f>
        <v>4.986241304011414</v>
      </c>
      <c r="T190" s="83">
        <f t="shared" si="36"/>
        <v>21.910476047851219</v>
      </c>
      <c r="U190" s="3"/>
      <c r="V190" s="88"/>
      <c r="W190" s="88"/>
      <c r="X190" s="88"/>
      <c r="Y190" s="88"/>
      <c r="Z190" s="88"/>
      <c r="AA190" s="88"/>
      <c r="AB190" s="88"/>
      <c r="AC190" s="88"/>
      <c r="AE190">
        <f t="shared" si="19"/>
        <v>32</v>
      </c>
      <c r="AF190" s="3">
        <f t="shared" si="33"/>
        <v>14.916877606303993</v>
      </c>
      <c r="AG190" s="113">
        <f t="shared" si="20"/>
        <v>119.8756581485074</v>
      </c>
      <c r="AH190" s="124">
        <f t="shared" si="40"/>
        <v>11.93778316441926</v>
      </c>
      <c r="AI190" s="124">
        <f t="shared" si="41"/>
        <v>41.747689244282668</v>
      </c>
      <c r="AJ190" s="124">
        <f t="shared" si="42"/>
        <v>-2.5626287775264589</v>
      </c>
      <c r="AK190" s="124">
        <f t="shared" si="43"/>
        <v>13.054829013918962</v>
      </c>
      <c r="AL190" s="124">
        <f t="shared" si="44"/>
        <v>24.258197770327865</v>
      </c>
      <c r="AM190" s="124">
        <f t="shared" si="45"/>
        <v>10.772954293191242</v>
      </c>
      <c r="AN190" s="124">
        <f t="shared" si="46"/>
        <v>5.3810960505450751</v>
      </c>
      <c r="AO190" s="124">
        <f t="shared" si="47"/>
        <v>23.253914181043147</v>
      </c>
      <c r="AP190" s="3">
        <f t="shared" si="32"/>
        <v>92.652137594739372</v>
      </c>
    </row>
    <row r="191" spans="1:42" ht="14">
      <c r="A191">
        <f t="shared" si="38"/>
        <v>33</v>
      </c>
      <c r="B191" s="19">
        <f t="shared" si="38"/>
        <v>113</v>
      </c>
      <c r="C191" s="26">
        <f t="shared" si="30"/>
        <v>120.72608380988746</v>
      </c>
      <c r="D191" s="125">
        <f>(($C$39*$C$118*0.72)*D$40)*('Product half-life and C flows'!B92/100)</f>
        <v>0.64371930443824121</v>
      </c>
      <c r="E191" s="26"/>
      <c r="F191" s="54">
        <f t="shared" si="48"/>
        <v>0</v>
      </c>
      <c r="G191" s="54">
        <f t="shared" si="48"/>
        <v>0.7542108817919595</v>
      </c>
      <c r="H191" s="125">
        <f>(H$118)*('Product half-life and C flows'!L92/100)</f>
        <v>0.76560589242668731</v>
      </c>
      <c r="I191" s="125">
        <f>(($C$39*$C$118*0.28)*H$41)*('Product half-life and C flows'!N92/100)</f>
        <v>0.79644720814317982</v>
      </c>
      <c r="J191" s="125">
        <f>(($C$39*$C$118*0.28)*H$41)*(+'Product half-life and C flows'!P92/100)</f>
        <v>0.39782577829329657</v>
      </c>
      <c r="K191" s="54">
        <f t="shared" si="49"/>
        <v>1.3434381331919276</v>
      </c>
      <c r="L191" s="26"/>
      <c r="M191" s="83">
        <f>C$158*(0.4*D$14)*('Product half-life and C flows'!B52/100)</f>
        <v>10.887419140901725</v>
      </c>
      <c r="N191" s="83">
        <f t="shared" si="31"/>
        <v>43.667624633970696</v>
      </c>
      <c r="O191" s="83">
        <f t="shared" si="39"/>
        <v>-2.5626287775264589</v>
      </c>
      <c r="P191" s="83">
        <f t="shared" si="39"/>
        <v>12.300618132127003</v>
      </c>
      <c r="Q191" s="83">
        <f>C$158*(0.6*C$15)*('Product half-life and C flows'!L52/100)</f>
        <v>23.121799331616288</v>
      </c>
      <c r="R191" s="83">
        <f>C$158*0.6*('Product half-life and C flows'!N52/100)</f>
        <v>10.221966642407917</v>
      </c>
      <c r="S191" s="83">
        <f>C$158*0.6*('Product half-life and C flows'!P52/100)</f>
        <v>5.1058774437601979</v>
      </c>
      <c r="T191" s="83">
        <f t="shared" si="36"/>
        <v>21.910476047851219</v>
      </c>
      <c r="U191" s="3"/>
      <c r="V191" s="88"/>
      <c r="W191" s="88"/>
      <c r="X191" s="88"/>
      <c r="Y191" s="88"/>
      <c r="Z191" s="88"/>
      <c r="AA191" s="88"/>
      <c r="AB191" s="88"/>
      <c r="AC191" s="88"/>
      <c r="AE191">
        <f t="shared" si="19"/>
        <v>33</v>
      </c>
      <c r="AF191" s="3">
        <f t="shared" si="33"/>
        <v>15.602890215347021</v>
      </c>
      <c r="AG191" s="113">
        <f t="shared" si="20"/>
        <v>120.72608380988746</v>
      </c>
      <c r="AH191" s="124">
        <f t="shared" si="40"/>
        <v>11.531138445339966</v>
      </c>
      <c r="AI191" s="124">
        <f t="shared" si="41"/>
        <v>43.667624633970696</v>
      </c>
      <c r="AJ191" s="124">
        <f t="shared" si="42"/>
        <v>-2.5626287775264589</v>
      </c>
      <c r="AK191" s="124">
        <f t="shared" si="43"/>
        <v>13.054829013918962</v>
      </c>
      <c r="AL191" s="124">
        <f t="shared" si="44"/>
        <v>23.887405224042976</v>
      </c>
      <c r="AM191" s="124">
        <f t="shared" si="45"/>
        <v>11.018413850551097</v>
      </c>
      <c r="AN191" s="124">
        <f t="shared" si="46"/>
        <v>5.5037032220534945</v>
      </c>
      <c r="AO191" s="124">
        <f t="shared" si="47"/>
        <v>23.253914181043147</v>
      </c>
      <c r="AP191" s="3">
        <f t="shared" si="32"/>
        <v>94.569347167010761</v>
      </c>
    </row>
    <row r="192" spans="1:42" ht="14">
      <c r="A192">
        <f t="shared" ref="A192:B207" si="50">A191+1</f>
        <v>34</v>
      </c>
      <c r="B192" s="19">
        <f t="shared" si="50"/>
        <v>114</v>
      </c>
      <c r="C192" s="26">
        <f t="shared" si="30"/>
        <v>121.56356405531533</v>
      </c>
      <c r="D192" s="125">
        <f>(($C$39*$C$118*0.72)*D$40)*('Product half-life and C flows'!B93/100)</f>
        <v>0.62179186178712986</v>
      </c>
      <c r="E192" s="26"/>
      <c r="F192" s="54">
        <f t="shared" si="48"/>
        <v>0</v>
      </c>
      <c r="G192" s="54">
        <f t="shared" si="48"/>
        <v>0.7542108817919595</v>
      </c>
      <c r="H192" s="125">
        <f>(H$118)*('Product half-life and C flows'!L93/100)</f>
        <v>0.75390341720609022</v>
      </c>
      <c r="I192" s="125">
        <f>(($C$39*$C$118*0.28)*H$41)*('Product half-life and C flows'!N93/100)</f>
        <v>0.80230429699108863</v>
      </c>
      <c r="J192" s="125">
        <f>(($C$39*$C$118*0.28)*H$41)*(+'Product half-life and C flows'!P93/100)</f>
        <v>0.40075139709844582</v>
      </c>
      <c r="K192" s="54">
        <f t="shared" si="49"/>
        <v>1.3434381331919276</v>
      </c>
      <c r="L192" s="26"/>
      <c r="M192" s="83">
        <f>C$158*(0.4*D$14)*('Product half-life and C flows'!B53/100)</f>
        <v>10.516553676428707</v>
      </c>
      <c r="N192" s="83">
        <f t="shared" si="31"/>
        <v>45.566881743001851</v>
      </c>
      <c r="O192" s="83">
        <f t="shared" ref="O192:P207" si="51">O191</f>
        <v>-2.5626287775264589</v>
      </c>
      <c r="P192" s="83">
        <f t="shared" si="51"/>
        <v>12.300618132127003</v>
      </c>
      <c r="Q192" s="83">
        <f>C$158*(0.6*C$15)*('Product half-life and C flows'!L53/100)</f>
        <v>22.768376916232032</v>
      </c>
      <c r="R192" s="83">
        <f>C$158*0.6*('Product half-life and C flows'!N53/100)</f>
        <v>10.457817200941012</v>
      </c>
      <c r="S192" s="83">
        <f>C$158*0.6*('Product half-life and C flows'!P53/100)</f>
        <v>5.2236849155549505</v>
      </c>
      <c r="T192" s="83">
        <f t="shared" si="36"/>
        <v>21.910476047851219</v>
      </c>
      <c r="U192" s="3"/>
      <c r="V192" s="88"/>
      <c r="W192" s="88"/>
      <c r="X192" s="88"/>
      <c r="Y192" s="88"/>
      <c r="Z192" s="88"/>
      <c r="AA192" s="88"/>
      <c r="AB192" s="88"/>
      <c r="AC192" s="88"/>
      <c r="AE192">
        <f t="shared" si="19"/>
        <v>34</v>
      </c>
      <c r="AF192" s="3">
        <f t="shared" si="33"/>
        <v>16.281514262597739</v>
      </c>
      <c r="AG192" s="113">
        <f t="shared" si="20"/>
        <v>121.56356405531533</v>
      </c>
      <c r="AH192" s="124">
        <f t="shared" si="40"/>
        <v>11.138345538215837</v>
      </c>
      <c r="AI192" s="124">
        <f t="shared" si="41"/>
        <v>45.566881743001851</v>
      </c>
      <c r="AJ192" s="124">
        <f t="shared" si="42"/>
        <v>-2.5626287775264589</v>
      </c>
      <c r="AK192" s="124">
        <f t="shared" si="43"/>
        <v>13.054829013918962</v>
      </c>
      <c r="AL192" s="124">
        <f t="shared" si="44"/>
        <v>23.522280333438122</v>
      </c>
      <c r="AM192" s="124">
        <f t="shared" si="45"/>
        <v>11.260121497932101</v>
      </c>
      <c r="AN192" s="124">
        <f t="shared" si="46"/>
        <v>5.6244363126533967</v>
      </c>
      <c r="AO192" s="124">
        <f t="shared" si="47"/>
        <v>23.253914181043147</v>
      </c>
      <c r="AP192" s="3">
        <f t="shared" si="32"/>
        <v>96.465920123417987</v>
      </c>
    </row>
    <row r="193" spans="1:42" ht="14">
      <c r="A193">
        <f t="shared" si="50"/>
        <v>35</v>
      </c>
      <c r="B193" s="19">
        <f t="shared" si="50"/>
        <v>115</v>
      </c>
      <c r="C193" s="26">
        <f t="shared" si="30"/>
        <v>122.3882111626412</v>
      </c>
      <c r="D193" s="125">
        <f>(($C$39*$C$118*0.72)*D$40)*('Product half-life and C flows'!B94/100)</f>
        <v>0.60061134833000518</v>
      </c>
      <c r="E193" s="26"/>
      <c r="F193" s="54">
        <f t="shared" si="48"/>
        <v>0</v>
      </c>
      <c r="G193" s="54">
        <f t="shared" si="48"/>
        <v>0.7542108817919595</v>
      </c>
      <c r="H193" s="125">
        <f>(H$118)*('Product half-life and C flows'!L94/100)</f>
        <v>0.74237981721051849</v>
      </c>
      <c r="I193" s="125">
        <f>(($C$39*$C$118*0.28)*H$41)*('Product half-life and C flows'!N94/100)</f>
        <v>0.80807185878887222</v>
      </c>
      <c r="J193" s="125">
        <f>(($C$39*$C$118*0.28)*H$41)*(+'Product half-life and C flows'!P94/100)</f>
        <v>0.40363229709733878</v>
      </c>
      <c r="K193" s="54">
        <f t="shared" si="49"/>
        <v>1.3434381331919276</v>
      </c>
      <c r="L193" s="26"/>
      <c r="M193" s="83">
        <f>C$158*(0.4*D$14)*('Product half-life and C flows'!B54/100)</f>
        <v>10.158321251150635</v>
      </c>
      <c r="N193" s="83">
        <f t="shared" si="31"/>
        <v>47.44279421141578</v>
      </c>
      <c r="O193" s="83">
        <f t="shared" si="51"/>
        <v>-2.5626287775264589</v>
      </c>
      <c r="P193" s="83">
        <f t="shared" si="51"/>
        <v>12.300618132127003</v>
      </c>
      <c r="Q193" s="83">
        <f>C$158*(0.6*C$15)*('Product half-life and C flows'!L54/100)</f>
        <v>22.420356649785429</v>
      </c>
      <c r="R193" s="83">
        <f>C$158*0.6*('Product half-life and C flows'!N54/100)</f>
        <v>10.690062725416377</v>
      </c>
      <c r="S193" s="83">
        <f>C$158*0.6*('Product half-life and C flows'!P54/100)</f>
        <v>5.3396916710371505</v>
      </c>
      <c r="T193" s="83">
        <f t="shared" si="36"/>
        <v>21.910476047851219</v>
      </c>
      <c r="U193" s="3"/>
      <c r="V193" s="88"/>
      <c r="W193" s="88"/>
      <c r="X193" s="88"/>
      <c r="Y193" s="88"/>
      <c r="Z193" s="88"/>
      <c r="AA193" s="88"/>
      <c r="AB193" s="88"/>
      <c r="AC193" s="88"/>
      <c r="AE193">
        <f t="shared" si="19"/>
        <v>35</v>
      </c>
      <c r="AF193" s="3">
        <f t="shared" si="33"/>
        <v>16.951797030291342</v>
      </c>
      <c r="AG193" s="113">
        <f t="shared" si="20"/>
        <v>122.3882111626412</v>
      </c>
      <c r="AH193" s="124">
        <f t="shared" si="40"/>
        <v>10.758932599480641</v>
      </c>
      <c r="AI193" s="124">
        <f t="shared" si="41"/>
        <v>47.44279421141578</v>
      </c>
      <c r="AJ193" s="124">
        <f t="shared" si="42"/>
        <v>-2.5626287775264589</v>
      </c>
      <c r="AK193" s="124">
        <f t="shared" si="43"/>
        <v>13.054829013918962</v>
      </c>
      <c r="AL193" s="124">
        <f t="shared" si="44"/>
        <v>23.162736466995948</v>
      </c>
      <c r="AM193" s="124">
        <f t="shared" si="45"/>
        <v>11.49813458420525</v>
      </c>
      <c r="AN193" s="124">
        <f t="shared" si="46"/>
        <v>5.7433239681344892</v>
      </c>
      <c r="AO193" s="124">
        <f t="shared" si="47"/>
        <v>23.253914181043147</v>
      </c>
      <c r="AP193" s="3">
        <f t="shared" si="32"/>
        <v>98.339189467143967</v>
      </c>
    </row>
    <row r="194" spans="1:42" ht="14">
      <c r="A194">
        <f t="shared" si="50"/>
        <v>36</v>
      </c>
      <c r="B194" s="19">
        <f t="shared" si="50"/>
        <v>116</v>
      </c>
      <c r="C194" s="26">
        <f t="shared" si="30"/>
        <v>123.20014033234281</v>
      </c>
      <c r="D194" s="125">
        <f>(($C$39*$C$118*0.72)*D$40)*('Product half-life and C flows'!B95/100)</f>
        <v>0.58015232091648683</v>
      </c>
      <c r="E194" s="26"/>
      <c r="F194" s="54">
        <f t="shared" si="48"/>
        <v>0</v>
      </c>
      <c r="G194" s="54">
        <f t="shared" si="48"/>
        <v>0.7542108817919595</v>
      </c>
      <c r="H194" s="125">
        <f>(H$118)*('Product half-life and C flows'!L95/100)</f>
        <v>0.73103235828796398</v>
      </c>
      <c r="I194" s="125">
        <f>(($C$39*$C$118*0.28)*H$41)*('Product half-life and C flows'!N95/100)</f>
        <v>0.81375126197961078</v>
      </c>
      <c r="J194" s="125">
        <f>(($C$39*$C$118*0.28)*H$41)*(+'Product half-life and C flows'!P95/100)</f>
        <v>0.40646916182797738</v>
      </c>
      <c r="K194" s="54">
        <f t="shared" si="49"/>
        <v>1.3434381331919276</v>
      </c>
      <c r="L194" s="26"/>
      <c r="M194" s="83">
        <f>C$158*(0.4*D$14)*('Product half-life and C flows'!B55/100)</f>
        <v>9.8122915373756872</v>
      </c>
      <c r="N194" s="83">
        <f t="shared" si="31"/>
        <v>49.292986041673906</v>
      </c>
      <c r="O194" s="83">
        <f t="shared" si="51"/>
        <v>-2.5626287775264589</v>
      </c>
      <c r="P194" s="83">
        <f t="shared" si="51"/>
        <v>12.300618132127003</v>
      </c>
      <c r="Q194" s="83">
        <f>C$158*(0.6*C$15)*('Product half-life and C flows'!L55/100)</f>
        <v>22.077655959095296</v>
      </c>
      <c r="R194" s="83">
        <f>C$158*0.6*('Product half-life and C flows'!N55/100)</f>
        <v>10.91875831967026</v>
      </c>
      <c r="S194" s="83">
        <f>C$158*0.6*('Product half-life and C flows'!P55/100)</f>
        <v>5.4539252346005291</v>
      </c>
      <c r="T194" s="83">
        <f t="shared" si="36"/>
        <v>21.910476047851219</v>
      </c>
      <c r="U194" s="3"/>
      <c r="V194" s="88"/>
      <c r="W194" s="88"/>
      <c r="X194" s="88"/>
      <c r="Y194" s="88"/>
      <c r="Z194" s="88"/>
      <c r="AA194" s="88"/>
      <c r="AB194" s="88"/>
      <c r="AC194" s="88"/>
      <c r="AE194">
        <f t="shared" si="19"/>
        <v>36</v>
      </c>
      <c r="AF194" s="3">
        <f t="shared" si="33"/>
        <v>17.612889550134792</v>
      </c>
      <c r="AG194" s="113">
        <f t="shared" si="20"/>
        <v>123.20014033234281</v>
      </c>
      <c r="AH194" s="124">
        <f t="shared" si="40"/>
        <v>10.392443858292173</v>
      </c>
      <c r="AI194" s="124">
        <f t="shared" si="41"/>
        <v>49.292986041673906</v>
      </c>
      <c r="AJ194" s="124">
        <f t="shared" si="42"/>
        <v>-2.5626287775264589</v>
      </c>
      <c r="AK194" s="124">
        <f t="shared" si="43"/>
        <v>13.054829013918962</v>
      </c>
      <c r="AL194" s="124">
        <f t="shared" si="44"/>
        <v>22.808688317383261</v>
      </c>
      <c r="AM194" s="124">
        <f t="shared" si="45"/>
        <v>11.732509581649872</v>
      </c>
      <c r="AN194" s="124">
        <f t="shared" si="46"/>
        <v>5.8603943964285063</v>
      </c>
      <c r="AO194" s="124">
        <f t="shared" si="47"/>
        <v>23.253914181043147</v>
      </c>
      <c r="AP194" s="3">
        <f t="shared" si="32"/>
        <v>100.18677857352806</v>
      </c>
    </row>
    <row r="195" spans="1:42" ht="14">
      <c r="A195">
        <f t="shared" si="50"/>
        <v>37</v>
      </c>
      <c r="B195" s="19">
        <f t="shared" si="50"/>
        <v>117</v>
      </c>
      <c r="C195" s="26">
        <f t="shared" si="30"/>
        <v>123.99946945715783</v>
      </c>
      <c r="D195" s="125">
        <f>(($C$39*$C$118*0.72)*D$40)*('Product half-life and C flows'!B96/100)</f>
        <v>0.56039020308330012</v>
      </c>
      <c r="E195" s="26"/>
      <c r="F195" s="54">
        <f t="shared" si="48"/>
        <v>0</v>
      </c>
      <c r="G195" s="54">
        <f t="shared" si="48"/>
        <v>0.7542108817919595</v>
      </c>
      <c r="H195" s="125">
        <f>(H$118)*('Product half-life and C flows'!L96/100)</f>
        <v>0.71985834807860705</v>
      </c>
      <c r="I195" s="125">
        <f>(($C$39*$C$118*0.28)*H$41)*('Product half-life and C flows'!N96/100)</f>
        <v>0.81934385408939392</v>
      </c>
      <c r="J195" s="125">
        <f>(($C$39*$C$118*0.28)*H$41)*(+'Product half-life and C flows'!P96/100)</f>
        <v>0.40926266438031667</v>
      </c>
      <c r="K195" s="54">
        <f t="shared" si="49"/>
        <v>1.3434381331919276</v>
      </c>
      <c r="L195" s="26"/>
      <c r="M195" s="83">
        <f>C$158*(0.4*D$14)*('Product half-life and C flows'!B56/100)</f>
        <v>9.4780488659530011</v>
      </c>
      <c r="N195" s="83">
        <f t="shared" si="31"/>
        <v>51.115355146144822</v>
      </c>
      <c r="O195" s="83">
        <f t="shared" si="51"/>
        <v>-2.5626287775264589</v>
      </c>
      <c r="P195" s="83">
        <f t="shared" si="51"/>
        <v>12.300618132127003</v>
      </c>
      <c r="Q195" s="83">
        <f>C$158*(0.6*C$15)*('Product half-life and C flows'!L56/100)</f>
        <v>21.740193533131897</v>
      </c>
      <c r="R195" s="83">
        <f>C$158*0.6*('Product half-life and C flows'!N56/100)</f>
        <v>11.143958245263169</v>
      </c>
      <c r="S195" s="83">
        <f>C$158*0.6*('Product half-life and C flows'!P56/100)</f>
        <v>5.5664127099216616</v>
      </c>
      <c r="T195" s="83">
        <f t="shared" si="36"/>
        <v>21.910476047851219</v>
      </c>
      <c r="U195" s="3"/>
      <c r="V195" s="88"/>
      <c r="W195" s="88"/>
      <c r="X195" s="88"/>
      <c r="Y195" s="88"/>
      <c r="Z195" s="88"/>
      <c r="AA195" s="88"/>
      <c r="AB195" s="88"/>
      <c r="AC195" s="88"/>
      <c r="AE195">
        <f t="shared" si="19"/>
        <v>37</v>
      </c>
      <c r="AF195" s="3">
        <f t="shared" si="33"/>
        <v>18.264040724654595</v>
      </c>
      <c r="AG195" s="113">
        <f t="shared" si="20"/>
        <v>123.99946945715783</v>
      </c>
      <c r="AH195" s="124">
        <f t="shared" si="40"/>
        <v>10.038439069036301</v>
      </c>
      <c r="AI195" s="124">
        <f t="shared" si="41"/>
        <v>51.115355146144822</v>
      </c>
      <c r="AJ195" s="124">
        <f t="shared" si="42"/>
        <v>-2.5626287775264589</v>
      </c>
      <c r="AK195" s="124">
        <f t="shared" si="43"/>
        <v>13.054829013918962</v>
      </c>
      <c r="AL195" s="124">
        <f t="shared" si="44"/>
        <v>22.460051881210504</v>
      </c>
      <c r="AM195" s="124">
        <f t="shared" si="45"/>
        <v>11.963302099352564</v>
      </c>
      <c r="AN195" s="124">
        <f t="shared" si="46"/>
        <v>5.9756753743019786</v>
      </c>
      <c r="AO195" s="124">
        <f t="shared" si="47"/>
        <v>23.253914181043147</v>
      </c>
      <c r="AP195" s="3">
        <f t="shared" si="32"/>
        <v>102.00658473740236</v>
      </c>
    </row>
    <row r="196" spans="1:42" ht="14">
      <c r="A196">
        <f t="shared" si="50"/>
        <v>38</v>
      </c>
      <c r="B196" s="19">
        <f t="shared" si="50"/>
        <v>118</v>
      </c>
      <c r="C196" s="26">
        <f t="shared" si="30"/>
        <v>124.78631890133678</v>
      </c>
      <c r="D196" s="125">
        <f>(($C$39*$C$118*0.72)*D$40)*('Product half-life and C flows'!B97/100)</f>
        <v>0.5413012555317317</v>
      </c>
      <c r="E196" s="26"/>
      <c r="F196" s="54">
        <f t="shared" si="48"/>
        <v>0</v>
      </c>
      <c r="G196" s="54">
        <f t="shared" si="48"/>
        <v>0.7542108817919595</v>
      </c>
      <c r="H196" s="125">
        <f>(H$118)*('Product half-life and C flows'!L97/100)</f>
        <v>0.7088551353760133</v>
      </c>
      <c r="I196" s="125">
        <f>(($C$39*$C$118*0.28)*H$41)*('Product half-life and C flows'!N97/100)</f>
        <v>0.824850962047042</v>
      </c>
      <c r="J196" s="125">
        <f>(($C$39*$C$118*0.28)*H$41)*(+'Product half-life and C flows'!P97/100)</f>
        <v>0.41201346755596507</v>
      </c>
      <c r="K196" s="54">
        <f t="shared" si="49"/>
        <v>1.3434381331919276</v>
      </c>
      <c r="L196" s="26"/>
      <c r="M196" s="83">
        <f>C$158*(0.4*D$14)*('Product half-life and C flows'!B57/100)</f>
        <v>9.1551917269489351</v>
      </c>
      <c r="N196" s="83">
        <f t="shared" si="31"/>
        <v>52.908056886839212</v>
      </c>
      <c r="O196" s="83">
        <f t="shared" si="51"/>
        <v>-2.5626287775264589</v>
      </c>
      <c r="P196" s="83">
        <f t="shared" si="51"/>
        <v>12.300618132127003</v>
      </c>
      <c r="Q196" s="83">
        <f>C$158*(0.6*C$15)*('Product half-life and C flows'!L57/100)</f>
        <v>21.407889303724694</v>
      </c>
      <c r="R196" s="83">
        <f>C$158*0.6*('Product half-life and C flows'!N57/100)</f>
        <v>11.365715934354242</v>
      </c>
      <c r="S196" s="83">
        <f>C$158*0.6*('Product half-life and C flows'!P57/100)</f>
        <v>5.6771807863907293</v>
      </c>
      <c r="T196" s="83">
        <f t="shared" si="36"/>
        <v>21.910476047851219</v>
      </c>
      <c r="U196" s="3"/>
      <c r="V196" s="88"/>
      <c r="W196" s="88"/>
      <c r="X196" s="88"/>
      <c r="Y196" s="88"/>
      <c r="Z196" s="88"/>
      <c r="AA196" s="88"/>
      <c r="AB196" s="88"/>
      <c r="AC196" s="88"/>
      <c r="AE196">
        <f t="shared" si="19"/>
        <v>38</v>
      </c>
      <c r="AF196" s="3">
        <f t="shared" si="33"/>
        <v>18.90459144577525</v>
      </c>
      <c r="AG196" s="113">
        <f t="shared" si="20"/>
        <v>124.78631890133678</v>
      </c>
      <c r="AH196" s="124">
        <f t="shared" si="40"/>
        <v>9.6964929824806667</v>
      </c>
      <c r="AI196" s="124">
        <f t="shared" si="41"/>
        <v>52.908056886839212</v>
      </c>
      <c r="AJ196" s="124">
        <f t="shared" si="42"/>
        <v>-2.5626287775264589</v>
      </c>
      <c r="AK196" s="124">
        <f t="shared" si="43"/>
        <v>13.054829013918962</v>
      </c>
      <c r="AL196" s="124">
        <f t="shared" si="44"/>
        <v>22.116744439100707</v>
      </c>
      <c r="AM196" s="124">
        <f t="shared" si="45"/>
        <v>12.190566896401284</v>
      </c>
      <c r="AN196" s="124">
        <f t="shared" si="46"/>
        <v>6.0891942539466948</v>
      </c>
      <c r="AO196" s="124">
        <f t="shared" si="47"/>
        <v>23.253914181043147</v>
      </c>
      <c r="AP196" s="3">
        <f t="shared" si="32"/>
        <v>103.7967627126804</v>
      </c>
    </row>
    <row r="197" spans="1:42" ht="14">
      <c r="A197">
        <f t="shared" si="50"/>
        <v>39</v>
      </c>
      <c r="B197" s="19">
        <f t="shared" si="50"/>
        <v>119</v>
      </c>
      <c r="C197" s="26">
        <f t="shared" si="30"/>
        <v>125.56081128922662</v>
      </c>
      <c r="D197" s="125">
        <f>(($C$39*$C$118*0.72)*D$40)*('Product half-life and C flows'!B98/100)</f>
        <v>0.52286254761073059</v>
      </c>
      <c r="E197" s="26"/>
      <c r="F197" s="54">
        <f t="shared" si="48"/>
        <v>0</v>
      </c>
      <c r="G197" s="54">
        <f t="shared" si="48"/>
        <v>0.7542108817919595</v>
      </c>
      <c r="H197" s="125">
        <f>(H$118)*('Product half-life and C flows'!L98/100)</f>
        <v>0.69802010949809379</v>
      </c>
      <c r="I197" s="125">
        <f>(($C$39*$C$118*0.28)*H$41)*('Product half-life and C flows'!N98/100)</f>
        <v>0.83027389249894068</v>
      </c>
      <c r="J197" s="125">
        <f>(($C$39*$C$118*0.28)*H$41)*(+'Product half-life and C flows'!P98/100)</f>
        <v>0.41472222402544495</v>
      </c>
      <c r="K197" s="54">
        <f t="shared" si="49"/>
        <v>1.3434381331919276</v>
      </c>
      <c r="L197" s="26"/>
      <c r="M197" s="83">
        <f>C$158*(0.4*D$14)*('Product half-life and C flows'!B58/100)</f>
        <v>8.8433322873321725</v>
      </c>
      <c r="N197" s="83">
        <f t="shared" si="31"/>
        <v>54.669487775772701</v>
      </c>
      <c r="O197" s="83">
        <f t="shared" si="51"/>
        <v>-2.5626287775264589</v>
      </c>
      <c r="P197" s="83">
        <f t="shared" si="51"/>
        <v>12.300618132127003</v>
      </c>
      <c r="Q197" s="83">
        <f>C$158*(0.6*C$15)*('Product half-life and C flows'!L58/100)</f>
        <v>21.080664426564915</v>
      </c>
      <c r="R197" s="83">
        <f>C$158*0.6*('Product half-life and C flows'!N58/100)</f>
        <v>11.584084002378869</v>
      </c>
      <c r="S197" s="83">
        <f>C$158*0.6*('Product half-life and C flows'!P58/100)</f>
        <v>5.7862557454439889</v>
      </c>
      <c r="T197" s="83">
        <f t="shared" si="36"/>
        <v>21.910476047851219</v>
      </c>
      <c r="U197" s="3"/>
      <c r="V197" s="88"/>
      <c r="W197" s="88"/>
      <c r="X197" s="88"/>
      <c r="Y197" s="88"/>
      <c r="Z197" s="88"/>
      <c r="AA197" s="88"/>
      <c r="AB197" s="88"/>
      <c r="AC197" s="88"/>
      <c r="AE197">
        <f t="shared" si="19"/>
        <v>39</v>
      </c>
      <c r="AF197" s="3">
        <f t="shared" si="33"/>
        <v>19.533968770791688</v>
      </c>
      <c r="AG197" s="113">
        <f t="shared" si="20"/>
        <v>125.56081128922662</v>
      </c>
      <c r="AH197" s="124">
        <f t="shared" si="40"/>
        <v>9.3661948349429025</v>
      </c>
      <c r="AI197" s="124">
        <f t="shared" si="41"/>
        <v>54.669487775772701</v>
      </c>
      <c r="AJ197" s="124">
        <f t="shared" si="42"/>
        <v>-2.5626287775264589</v>
      </c>
      <c r="AK197" s="124">
        <f t="shared" si="43"/>
        <v>13.054829013918962</v>
      </c>
      <c r="AL197" s="124">
        <f t="shared" si="44"/>
        <v>21.778684536063011</v>
      </c>
      <c r="AM197" s="124">
        <f t="shared" si="45"/>
        <v>12.41435789487781</v>
      </c>
      <c r="AN197" s="124">
        <f t="shared" si="46"/>
        <v>6.2009779694694336</v>
      </c>
      <c r="AO197" s="124">
        <f t="shared" si="47"/>
        <v>23.253914181043147</v>
      </c>
      <c r="AP197" s="3">
        <f t="shared" si="32"/>
        <v>105.55570841257546</v>
      </c>
    </row>
    <row r="198" spans="1:42" ht="14">
      <c r="A198">
        <f t="shared" si="50"/>
        <v>40</v>
      </c>
      <c r="B198" s="19">
        <f t="shared" si="50"/>
        <v>120</v>
      </c>
      <c r="C198" s="26">
        <f t="shared" si="30"/>
        <v>126.32307130289904</v>
      </c>
      <c r="D198" s="125">
        <f>(($C$39*$C$118*0.72)*D$40)*('Product half-life and C flows'!B99/100)</f>
        <v>0.50505192977140134</v>
      </c>
      <c r="E198" s="26"/>
      <c r="F198" s="54">
        <f t="shared" si="48"/>
        <v>0</v>
      </c>
      <c r="G198" s="54">
        <f t="shared" si="48"/>
        <v>0.7542108817919595</v>
      </c>
      <c r="H198" s="125">
        <f>(H$118)*('Product half-life and C flows'!L99/100)</f>
        <v>0.68735069966768003</v>
      </c>
      <c r="I198" s="125">
        <f>(($C$39*$C$118*0.28)*H$41)*('Product half-life and C flows'!N99/100)</f>
        <v>0.83561393211906287</v>
      </c>
      <c r="J198" s="125">
        <f>(($C$39*$C$118*0.28)*H$41)*(+'Product half-life and C flows'!P99/100)</f>
        <v>0.41738957648304836</v>
      </c>
      <c r="K198" s="54">
        <f t="shared" si="49"/>
        <v>1.3434381331919276</v>
      </c>
      <c r="L198" s="26"/>
      <c r="M198" s="83">
        <f>C$158*(0.4*D$14)*('Product half-life and C flows'!B59/100)</f>
        <v>8.542095925088196</v>
      </c>
      <c r="N198" s="83">
        <f t="shared" si="31"/>
        <v>56.398269471480361</v>
      </c>
      <c r="O198" s="83">
        <f t="shared" si="51"/>
        <v>-2.5626287775264589</v>
      </c>
      <c r="P198" s="83">
        <f t="shared" si="51"/>
        <v>12.300618132127003</v>
      </c>
      <c r="Q198" s="83">
        <f>C$158*(0.6*C$15)*('Product half-life and C flows'!L59/100)</f>
        <v>20.758441262498526</v>
      </c>
      <c r="R198" s="83">
        <f>C$158*0.6*('Product half-life and C flows'!N59/100)</f>
        <v>11.799114260532507</v>
      </c>
      <c r="S198" s="83">
        <f>C$158*0.6*('Product half-life and C flows'!P59/100)</f>
        <v>5.8936634667994516</v>
      </c>
      <c r="T198" s="83">
        <f t="shared" si="36"/>
        <v>21.910476047851219</v>
      </c>
      <c r="U198" s="3"/>
      <c r="V198" s="88"/>
      <c r="W198" s="88"/>
      <c r="X198" s="88"/>
      <c r="Y198" s="88"/>
      <c r="Z198" s="88"/>
      <c r="AA198" s="88"/>
      <c r="AB198" s="88"/>
      <c r="AC198" s="88"/>
      <c r="AE198">
        <f t="shared" si="19"/>
        <v>40</v>
      </c>
      <c r="AF198" s="3">
        <f t="shared" si="33"/>
        <v>20.151680204159739</v>
      </c>
      <c r="AG198" s="113">
        <f t="shared" si="20"/>
        <v>126.32307130289904</v>
      </c>
      <c r="AH198" s="124">
        <f t="shared" si="40"/>
        <v>9.0471478548595972</v>
      </c>
      <c r="AI198" s="124">
        <f t="shared" si="41"/>
        <v>56.398269471480361</v>
      </c>
      <c r="AJ198" s="124">
        <f t="shared" si="42"/>
        <v>-2.5626287775264589</v>
      </c>
      <c r="AK198" s="124">
        <f t="shared" si="43"/>
        <v>13.054829013918962</v>
      </c>
      <c r="AL198" s="124">
        <f t="shared" si="44"/>
        <v>21.445791962166204</v>
      </c>
      <c r="AM198" s="124">
        <f t="shared" si="45"/>
        <v>12.63472819265157</v>
      </c>
      <c r="AN198" s="124">
        <f t="shared" si="46"/>
        <v>6.3110530432824996</v>
      </c>
      <c r="AO198" s="124">
        <f t="shared" si="47"/>
        <v>23.253914181043147</v>
      </c>
      <c r="AP198" s="3">
        <f t="shared" si="32"/>
        <v>107.28204290597314</v>
      </c>
    </row>
    <row r="199" spans="1:42" ht="14">
      <c r="A199">
        <f t="shared" si="50"/>
        <v>41</v>
      </c>
      <c r="B199" s="19">
        <f t="shared" si="50"/>
        <v>121</v>
      </c>
      <c r="C199" s="26">
        <f t="shared" si="30"/>
        <v>127.07322548854273</v>
      </c>
      <c r="D199" s="125">
        <f>(($C$39*$C$118*0.72)*D$40)*('Product half-life and C flows'!B100/100)</f>
        <v>0.48784800695979635</v>
      </c>
      <c r="E199" s="26"/>
      <c r="F199" s="54">
        <f t="shared" si="48"/>
        <v>0</v>
      </c>
      <c r="G199" s="54">
        <f t="shared" si="48"/>
        <v>0.7542108817919595</v>
      </c>
      <c r="H199" s="125">
        <f>(H$118)*('Product half-life and C flows'!L100/100)</f>
        <v>0.67684437440256806</v>
      </c>
      <c r="I199" s="125">
        <f>(($C$39*$C$118*0.28)*H$41)*('Product half-life and C flows'!N100/100)</f>
        <v>0.84087234791425125</v>
      </c>
      <c r="J199" s="125">
        <f>(($C$39*$C$118*0.28)*H$41)*(+'Product half-life and C flows'!P100/100)</f>
        <v>0.42001615779932633</v>
      </c>
      <c r="K199" s="54">
        <f t="shared" si="49"/>
        <v>1.3434381331919276</v>
      </c>
      <c r="L199" s="26"/>
      <c r="M199" s="83">
        <f>C$158*(0.4*D$14)*('Product half-life and C flows'!B60/100)</f>
        <v>8.2511207792035766</v>
      </c>
      <c r="N199" s="83">
        <f t="shared" si="31"/>
        <v>58.093233179167008</v>
      </c>
      <c r="O199" s="83">
        <f t="shared" si="51"/>
        <v>-2.5626287775264589</v>
      </c>
      <c r="P199" s="83">
        <f t="shared" si="51"/>
        <v>12.300618132127003</v>
      </c>
      <c r="Q199" s="83">
        <f>C$158*(0.6*C$15)*('Product half-life and C flows'!L60/100)</f>
        <v>20.441143359105141</v>
      </c>
      <c r="R199" s="83">
        <f>C$158*0.6*('Product half-life and C flows'!N60/100)</f>
        <v>12.010857728063694</v>
      </c>
      <c r="S199" s="83">
        <f>C$158*0.6*('Product half-life and C flows'!P60/100)</f>
        <v>5.9994294345972472</v>
      </c>
      <c r="T199" s="83">
        <f t="shared" si="36"/>
        <v>21.910476047851219</v>
      </c>
      <c r="U199" s="3"/>
      <c r="V199" s="88"/>
      <c r="W199" s="88"/>
      <c r="X199" s="88"/>
      <c r="Y199" s="88"/>
      <c r="Z199" s="88"/>
      <c r="AA199" s="88"/>
      <c r="AB199" s="88"/>
      <c r="AC199" s="88"/>
      <c r="AE199">
        <f t="shared" si="19"/>
        <v>41</v>
      </c>
      <c r="AF199" s="3">
        <f t="shared" si="33"/>
        <v>20.757308123509826</v>
      </c>
      <c r="AG199" s="113">
        <f t="shared" si="20"/>
        <v>127.07322548854273</v>
      </c>
      <c r="AH199" s="124">
        <f t="shared" si="40"/>
        <v>8.7389687861633725</v>
      </c>
      <c r="AI199" s="124">
        <f t="shared" si="41"/>
        <v>58.093233179167008</v>
      </c>
      <c r="AJ199" s="124">
        <f t="shared" si="42"/>
        <v>-2.5626287775264589</v>
      </c>
      <c r="AK199" s="124">
        <f t="shared" si="43"/>
        <v>13.054829013918962</v>
      </c>
      <c r="AL199" s="124">
        <f t="shared" si="44"/>
        <v>21.117987733507707</v>
      </c>
      <c r="AM199" s="124">
        <f t="shared" si="45"/>
        <v>12.851730075977946</v>
      </c>
      <c r="AN199" s="124">
        <f t="shared" si="46"/>
        <v>6.4194455923965732</v>
      </c>
      <c r="AO199" s="124">
        <f t="shared" si="47"/>
        <v>23.253914181043147</v>
      </c>
      <c r="AP199" s="3">
        <f t="shared" si="32"/>
        <v>108.97459681744174</v>
      </c>
    </row>
    <row r="200" spans="1:42" ht="14">
      <c r="A200">
        <f t="shared" si="50"/>
        <v>42</v>
      </c>
      <c r="B200" s="19">
        <f t="shared" si="50"/>
        <v>122</v>
      </c>
      <c r="C200" s="26">
        <f t="shared" si="30"/>
        <v>127.81140207134142</v>
      </c>
      <c r="D200" s="125">
        <f>(($C$39*$C$118*0.72)*D$40)*('Product half-life and C flows'!B101/100)</f>
        <v>0.47123011291604838</v>
      </c>
      <c r="E200" s="26"/>
      <c r="F200" s="54">
        <f t="shared" ref="F200:G215" si="52">F199</f>
        <v>0</v>
      </c>
      <c r="G200" s="54">
        <f t="shared" si="52"/>
        <v>0.7542108817919595</v>
      </c>
      <c r="H200" s="125">
        <f>(H$118)*('Product half-life and C flows'!L101/100)</f>
        <v>0.66649864091488453</v>
      </c>
      <c r="I200" s="125">
        <f>(($C$39*$C$118*0.28)*H$41)*('Product half-life and C flows'!N101/100)</f>
        <v>0.84605038752483686</v>
      </c>
      <c r="J200" s="125">
        <f>(($C$39*$C$118*0.28)*H$41)*(+'Product half-life and C flows'!P101/100)</f>
        <v>0.42260259117124727</v>
      </c>
      <c r="K200" s="54">
        <f t="shared" si="49"/>
        <v>1.3434381331919276</v>
      </c>
      <c r="L200" s="26"/>
      <c r="M200" s="83">
        <f>C$158*(0.4*D$14)*('Product half-life and C flows'!B61/100)</f>
        <v>7.9700573149794121</v>
      </c>
      <c r="N200" s="83">
        <f t="shared" si="31"/>
        <v>59.753404538120442</v>
      </c>
      <c r="O200" s="83">
        <f t="shared" si="51"/>
        <v>-2.5626287775264589</v>
      </c>
      <c r="P200" s="83">
        <f t="shared" si="51"/>
        <v>12.300618132127003</v>
      </c>
      <c r="Q200" s="83">
        <f>C$158*(0.6*C$15)*('Product half-life and C flows'!L61/100)</f>
        <v>20.128695432558505</v>
      </c>
      <c r="R200" s="83">
        <f>C$158*0.6*('Product half-life and C flows'!N61/100)</f>
        <v>12.219364644379148</v>
      </c>
      <c r="S200" s="83">
        <f>C$158*0.6*('Product half-life and C flows'!P61/100)</f>
        <v>6.1035787434461257</v>
      </c>
      <c r="T200" s="83">
        <f t="shared" si="36"/>
        <v>21.910476047851219</v>
      </c>
      <c r="U200" s="3"/>
      <c r="V200" s="88"/>
      <c r="W200" s="88"/>
      <c r="X200" s="88"/>
      <c r="Y200" s="88"/>
      <c r="Z200" s="88"/>
      <c r="AA200" s="88"/>
      <c r="AB200" s="88"/>
      <c r="AC200" s="88"/>
      <c r="AE200">
        <f t="shared" si="19"/>
        <v>42</v>
      </c>
      <c r="AF200" s="3">
        <f t="shared" si="33"/>
        <v>21.350504379764686</v>
      </c>
      <c r="AG200" s="113">
        <f t="shared" si="20"/>
        <v>127.81140207134142</v>
      </c>
      <c r="AH200" s="124">
        <f t="shared" si="40"/>
        <v>8.4412874278954604</v>
      </c>
      <c r="AI200" s="124">
        <f t="shared" si="41"/>
        <v>59.753404538120442</v>
      </c>
      <c r="AJ200" s="124">
        <f t="shared" si="42"/>
        <v>-2.5626287775264589</v>
      </c>
      <c r="AK200" s="124">
        <f t="shared" si="43"/>
        <v>13.054829013918962</v>
      </c>
      <c r="AL200" s="124">
        <f t="shared" si="44"/>
        <v>20.79519407347339</v>
      </c>
      <c r="AM200" s="124">
        <f t="shared" si="45"/>
        <v>13.065415031903985</v>
      </c>
      <c r="AN200" s="124">
        <f t="shared" si="46"/>
        <v>6.5261813346173732</v>
      </c>
      <c r="AO200" s="124">
        <f t="shared" si="47"/>
        <v>23.253914181043147</v>
      </c>
      <c r="AP200" s="3">
        <f t="shared" si="32"/>
        <v>110.6323952145077</v>
      </c>
    </row>
    <row r="201" spans="1:42" ht="14">
      <c r="A201">
        <f t="shared" si="50"/>
        <v>43</v>
      </c>
      <c r="B201" s="19">
        <f t="shared" si="50"/>
        <v>123</v>
      </c>
      <c r="C201" s="26">
        <f t="shared" si="30"/>
        <v>128.53773077856621</v>
      </c>
      <c r="D201" s="125">
        <f>(($C$39*$C$118*0.72)*D$40)*('Product half-life and C flows'!B102/100)</f>
        <v>0.45517828534896781</v>
      </c>
      <c r="E201" s="26"/>
      <c r="F201" s="54">
        <f t="shared" si="52"/>
        <v>0</v>
      </c>
      <c r="G201" s="54">
        <f t="shared" si="52"/>
        <v>0.7542108817919595</v>
      </c>
      <c r="H201" s="125">
        <f>(H$118)*('Product half-life and C flows'!L102/100)</f>
        <v>0.65631104451963462</v>
      </c>
      <c r="I201" s="125">
        <f>(($C$39*$C$118*0.28)*H$41)*('Product half-life and C flows'!N102/100)</f>
        <v>0.85114927952065955</v>
      </c>
      <c r="J201" s="125">
        <f>(($C$39*$C$118*0.28)*H$41)*(+'Product half-life and C flows'!P102/100)</f>
        <v>0.42514949027005966</v>
      </c>
      <c r="K201" s="54">
        <f t="shared" si="49"/>
        <v>1.3434381331919276</v>
      </c>
      <c r="L201" s="26"/>
      <c r="M201" s="83">
        <f>C$158*(0.4*D$14)*('Product half-life and C flows'!B62/100)</f>
        <v>7.6985679041518251</v>
      </c>
      <c r="N201" s="83">
        <f t="shared" si="31"/>
        <v>61.377989059788973</v>
      </c>
      <c r="O201" s="83">
        <f t="shared" si="51"/>
        <v>-2.5626287775264589</v>
      </c>
      <c r="P201" s="83">
        <f t="shared" si="51"/>
        <v>12.300618132127003</v>
      </c>
      <c r="Q201" s="83">
        <f>C$158*(0.6*C$15)*('Product half-life and C flows'!L62/100)</f>
        <v>19.821023349764264</v>
      </c>
      <c r="R201" s="83">
        <f>C$158*0.6*('Product half-life and C flows'!N62/100)</f>
        <v>12.424684480963839</v>
      </c>
      <c r="S201" s="83">
        <f>C$158*0.6*('Product half-life and C flows'!P62/100)</f>
        <v>6.2061361043775394</v>
      </c>
      <c r="T201" s="83">
        <f t="shared" si="36"/>
        <v>21.910476047851219</v>
      </c>
      <c r="U201" s="3"/>
      <c r="V201" s="88"/>
      <c r="W201" s="88"/>
      <c r="X201" s="88"/>
      <c r="Y201" s="88"/>
      <c r="Z201" s="88"/>
      <c r="AA201" s="88"/>
      <c r="AB201" s="88"/>
      <c r="AC201" s="88"/>
      <c r="AE201">
        <f t="shared" si="19"/>
        <v>43</v>
      </c>
      <c r="AF201" s="3">
        <f t="shared" si="33"/>
        <v>21.930985094015096</v>
      </c>
      <c r="AG201" s="113">
        <f t="shared" si="20"/>
        <v>128.53773077856621</v>
      </c>
      <c r="AH201" s="124">
        <f t="shared" si="40"/>
        <v>8.1537461895007937</v>
      </c>
      <c r="AI201" s="124">
        <f t="shared" si="41"/>
        <v>61.377989059788973</v>
      </c>
      <c r="AJ201" s="124">
        <f t="shared" si="42"/>
        <v>-2.5626287775264589</v>
      </c>
      <c r="AK201" s="124">
        <f t="shared" si="43"/>
        <v>13.054829013918962</v>
      </c>
      <c r="AL201" s="124">
        <f t="shared" si="44"/>
        <v>20.477334394283897</v>
      </c>
      <c r="AM201" s="124">
        <f t="shared" si="45"/>
        <v>13.275833760484499</v>
      </c>
      <c r="AN201" s="124">
        <f t="shared" si="46"/>
        <v>6.6312855946475988</v>
      </c>
      <c r="AO201" s="124">
        <f t="shared" si="47"/>
        <v>23.253914181043147</v>
      </c>
      <c r="AP201" s="3">
        <f t="shared" si="32"/>
        <v>112.25464304559748</v>
      </c>
    </row>
    <row r="202" spans="1:42" ht="14">
      <c r="A202">
        <f t="shared" si="50"/>
        <v>44</v>
      </c>
      <c r="B202" s="19">
        <f t="shared" si="50"/>
        <v>124</v>
      </c>
      <c r="C202" s="26">
        <f t="shared" si="30"/>
        <v>129.2523426706143</v>
      </c>
      <c r="D202" s="125">
        <f>(($C$39*$C$118*0.72)*D$40)*('Product half-life and C flows'!B103/100)</f>
        <v>0.43967324195628804</v>
      </c>
      <c r="E202" s="26"/>
      <c r="F202" s="54">
        <f t="shared" si="52"/>
        <v>0</v>
      </c>
      <c r="G202" s="54">
        <f t="shared" si="52"/>
        <v>0.7542108817919595</v>
      </c>
      <c r="H202" s="125">
        <f>(H$118)*('Product half-life and C flows'!L103/100)</f>
        <v>0.64627916805229046</v>
      </c>
      <c r="I202" s="125">
        <f>(($C$39*$C$118*0.28)*H$41)*('Product half-life and C flows'!N103/100)</f>
        <v>0.8561702336925654</v>
      </c>
      <c r="J202" s="125">
        <f>(($C$39*$C$118*0.28)*H$41)*(+'Product half-life and C flows'!P103/100)</f>
        <v>0.42765745938689576</v>
      </c>
      <c r="K202" s="54">
        <f t="shared" si="49"/>
        <v>1.3434381331919276</v>
      </c>
      <c r="L202" s="26"/>
      <c r="M202" s="83">
        <f>C$158*(0.4*D$14)*('Product half-life and C flows'!B63/100)</f>
        <v>7.4363264193150558</v>
      </c>
      <c r="N202" s="83">
        <f t="shared" si="31"/>
        <v>62.966358162848096</v>
      </c>
      <c r="O202" s="83">
        <f t="shared" si="51"/>
        <v>-2.5626287775264589</v>
      </c>
      <c r="P202" s="83">
        <f t="shared" si="51"/>
        <v>12.300618132127003</v>
      </c>
      <c r="Q202" s="83">
        <f>C$158*(0.6*C$15)*('Product half-life and C flows'!L63/100)</f>
        <v>19.518054110770713</v>
      </c>
      <c r="R202" s="83">
        <f>C$158*0.6*('Product half-life and C flows'!N63/100)</f>
        <v>12.626865953118871</v>
      </c>
      <c r="S202" s="83">
        <f>C$158*0.6*('Product half-life and C flows'!P63/100)</f>
        <v>6.307125850708724</v>
      </c>
      <c r="T202" s="83">
        <f t="shared" si="36"/>
        <v>21.910476047851219</v>
      </c>
      <c r="U202" s="3"/>
      <c r="V202" s="88"/>
      <c r="W202" s="88"/>
      <c r="X202" s="88"/>
      <c r="Y202" s="88"/>
      <c r="Z202" s="88"/>
      <c r="AA202" s="88"/>
      <c r="AB202" s="88"/>
      <c r="AC202" s="88"/>
      <c r="AE202">
        <f t="shared" si="19"/>
        <v>44</v>
      </c>
      <c r="AF202" s="3">
        <f t="shared" si="33"/>
        <v>22.498525667705955</v>
      </c>
      <c r="AG202" s="113">
        <f t="shared" si="20"/>
        <v>129.2523426706143</v>
      </c>
      <c r="AH202" s="124">
        <f t="shared" si="40"/>
        <v>7.8759996612713437</v>
      </c>
      <c r="AI202" s="124">
        <f t="shared" si="41"/>
        <v>62.966358162848096</v>
      </c>
      <c r="AJ202" s="124">
        <f t="shared" si="42"/>
        <v>-2.5626287775264589</v>
      </c>
      <c r="AK202" s="124">
        <f t="shared" si="43"/>
        <v>13.054829013918962</v>
      </c>
      <c r="AL202" s="124">
        <f t="shared" si="44"/>
        <v>20.164333278823005</v>
      </c>
      <c r="AM202" s="124">
        <f t="shared" si="45"/>
        <v>13.483036186811436</v>
      </c>
      <c r="AN202" s="124">
        <f t="shared" si="46"/>
        <v>6.7347833100956196</v>
      </c>
      <c r="AO202" s="124">
        <f t="shared" si="47"/>
        <v>23.253914181043147</v>
      </c>
      <c r="AP202" s="3">
        <f t="shared" si="32"/>
        <v>113.84071117497066</v>
      </c>
    </row>
    <row r="203" spans="1:42" ht="14">
      <c r="A203">
        <f t="shared" si="50"/>
        <v>45</v>
      </c>
      <c r="B203" s="19">
        <f t="shared" si="50"/>
        <v>125</v>
      </c>
      <c r="C203" s="26">
        <f t="shared" si="30"/>
        <v>129.9553699797319</v>
      </c>
      <c r="D203" s="125">
        <f>(($C$39*$C$118*0.72)*D$40)*('Product half-life and C flows'!B104/100)</f>
        <v>0.42469635726174221</v>
      </c>
      <c r="E203" s="26"/>
      <c r="F203" s="54">
        <f t="shared" si="52"/>
        <v>0</v>
      </c>
      <c r="G203" s="54">
        <f t="shared" si="52"/>
        <v>0.7542108817919595</v>
      </c>
      <c r="H203" s="125">
        <f>(H$118)*('Product half-life and C flows'!L104/100)</f>
        <v>0.63640063129528102</v>
      </c>
      <c r="I203" s="125">
        <f>(($C$39*$C$118*0.28)*H$41)*('Product half-life and C flows'!N104/100)</f>
        <v>0.86111444133944859</v>
      </c>
      <c r="J203" s="125">
        <f>(($C$39*$C$118*0.28)*H$41)*(+'Product half-life and C flows'!P104/100)</f>
        <v>0.43012709357614803</v>
      </c>
      <c r="K203" s="54">
        <f t="shared" si="49"/>
        <v>1.3434381331919276</v>
      </c>
      <c r="L203" s="26"/>
      <c r="M203" s="83">
        <f>C$158*(0.4*D$14)*('Product half-life and C flows'!B64/100)</f>
        <v>7.1830178421600275</v>
      </c>
      <c r="N203" s="83">
        <f t="shared" si="31"/>
        <v>64.518035837226023</v>
      </c>
      <c r="O203" s="83">
        <f t="shared" si="51"/>
        <v>-2.5626287775264589</v>
      </c>
      <c r="P203" s="83">
        <f t="shared" si="51"/>
        <v>12.300618132127003</v>
      </c>
      <c r="Q203" s="83">
        <f>C$158*(0.6*C$15)*('Product half-life and C flows'!L64/100)</f>
        <v>19.21971583144844</v>
      </c>
      <c r="R203" s="83">
        <f>C$158*0.6*('Product half-life and C flows'!N64/100)</f>
        <v>12.825957031519934</v>
      </c>
      <c r="S203" s="83">
        <f>C$158*0.6*('Product half-life and C flows'!P64/100)</f>
        <v>6.4065719438161475</v>
      </c>
      <c r="T203" s="83">
        <f t="shared" si="36"/>
        <v>21.910476047851219</v>
      </c>
      <c r="U203" s="3"/>
      <c r="V203" s="88"/>
      <c r="W203" s="88"/>
      <c r="X203" s="88"/>
      <c r="Y203" s="88"/>
      <c r="Z203" s="88"/>
      <c r="AA203" s="88"/>
      <c r="AB203" s="88"/>
      <c r="AC203" s="88"/>
      <c r="AE203">
        <f t="shared" si="19"/>
        <v>45</v>
      </c>
      <c r="AF203" s="3">
        <f t="shared" si="33"/>
        <v>23.052956017555793</v>
      </c>
      <c r="AG203" s="113">
        <f t="shared" si="20"/>
        <v>129.9553699797319</v>
      </c>
      <c r="AH203" s="124">
        <f t="shared" si="40"/>
        <v>7.6077141994217694</v>
      </c>
      <c r="AI203" s="124">
        <f t="shared" si="41"/>
        <v>64.518035837226023</v>
      </c>
      <c r="AJ203" s="124">
        <f t="shared" si="42"/>
        <v>-2.5626287775264589</v>
      </c>
      <c r="AK203" s="124">
        <f t="shared" si="43"/>
        <v>13.054829013918962</v>
      </c>
      <c r="AL203" s="124">
        <f t="shared" si="44"/>
        <v>19.856116462743721</v>
      </c>
      <c r="AM203" s="124">
        <f t="shared" si="45"/>
        <v>13.687071472859383</v>
      </c>
      <c r="AN203" s="124">
        <f t="shared" si="46"/>
        <v>6.8366990373922958</v>
      </c>
      <c r="AO203" s="124">
        <f t="shared" si="47"/>
        <v>23.253914181043147</v>
      </c>
      <c r="AP203" s="3">
        <f t="shared" si="32"/>
        <v>115.39012304661394</v>
      </c>
    </row>
    <row r="204" spans="1:42" ht="14">
      <c r="A204">
        <f t="shared" si="50"/>
        <v>46</v>
      </c>
      <c r="B204" s="19">
        <f t="shared" si="50"/>
        <v>126</v>
      </c>
      <c r="C204" s="26">
        <f t="shared" si="30"/>
        <v>130.6469459561647</v>
      </c>
      <c r="D204" s="125">
        <f>(($C$39*$C$118*0.72)*D$40)*('Product half-life and C flows'!B105/100)</f>
        <v>0.41022964024116187</v>
      </c>
      <c r="E204" s="26"/>
      <c r="F204" s="54">
        <f t="shared" si="52"/>
        <v>0</v>
      </c>
      <c r="G204" s="54">
        <f t="shared" si="52"/>
        <v>0.7542108817919595</v>
      </c>
      <c r="H204" s="125">
        <f>(H$118)*('Product half-life and C flows'!L105/100)</f>
        <v>0.62667309041324881</v>
      </c>
      <c r="I204" s="125">
        <f>(($C$39*$C$118*0.28)*H$41)*('Product half-life and C flows'!N105/100)</f>
        <v>0.8659830755509057</v>
      </c>
      <c r="J204" s="125">
        <f>(($C$39*$C$118*0.28)*H$41)*(+'Product half-life and C flows'!P105/100)</f>
        <v>0.43255897879665611</v>
      </c>
      <c r="K204" s="54">
        <f t="shared" si="49"/>
        <v>1.3434381331919276</v>
      </c>
      <c r="L204" s="26"/>
      <c r="M204" s="83">
        <f>C$158*(0.4*D$14)*('Product half-life and C flows'!B65/100)</f>
        <v>6.9383378850577229</v>
      </c>
      <c r="N204" s="83">
        <f t="shared" si="31"/>
        <v>66.032685957059485</v>
      </c>
      <c r="O204" s="83">
        <f t="shared" si="51"/>
        <v>-2.5626287775264589</v>
      </c>
      <c r="P204" s="83">
        <f t="shared" si="51"/>
        <v>12.300618132127003</v>
      </c>
      <c r="Q204" s="83">
        <f>C$158*(0.6*C$15)*('Product half-life and C flows'!L65/100)</f>
        <v>18.925937726434729</v>
      </c>
      <c r="R204" s="83">
        <f>C$158*0.6*('Product half-life and C flows'!N65/100)</f>
        <v>13.022004953599085</v>
      </c>
      <c r="S204" s="83">
        <f>C$158*0.6*('Product half-life and C flows'!P65/100)</f>
        <v>6.5044979788207176</v>
      </c>
      <c r="T204" s="83">
        <f t="shared" si="36"/>
        <v>21.910476047851219</v>
      </c>
      <c r="U204" s="3"/>
      <c r="V204" s="88"/>
      <c r="W204" s="88"/>
      <c r="X204" s="88"/>
      <c r="Y204" s="88"/>
      <c r="Z204" s="88"/>
      <c r="AA204" s="88"/>
      <c r="AB204" s="88"/>
      <c r="AC204" s="88"/>
      <c r="AE204">
        <f t="shared" si="19"/>
        <v>46</v>
      </c>
      <c r="AF204" s="3">
        <f t="shared" si="33"/>
        <v>23.594156042345755</v>
      </c>
      <c r="AG204" s="113">
        <f t="shared" si="20"/>
        <v>130.6469459561647</v>
      </c>
      <c r="AH204" s="124">
        <f t="shared" si="40"/>
        <v>7.3485675252988845</v>
      </c>
      <c r="AI204" s="124">
        <f t="shared" si="41"/>
        <v>66.032685957059485</v>
      </c>
      <c r="AJ204" s="124">
        <f t="shared" si="42"/>
        <v>-2.5626287775264589</v>
      </c>
      <c r="AK204" s="124">
        <f t="shared" si="43"/>
        <v>13.054829013918962</v>
      </c>
      <c r="AL204" s="124">
        <f t="shared" si="44"/>
        <v>19.552610816847977</v>
      </c>
      <c r="AM204" s="124">
        <f t="shared" si="45"/>
        <v>13.887988029149991</v>
      </c>
      <c r="AN204" s="124">
        <f t="shared" si="46"/>
        <v>6.937056957617374</v>
      </c>
      <c r="AO204" s="124">
        <f t="shared" si="47"/>
        <v>23.253914181043147</v>
      </c>
      <c r="AP204" s="3">
        <f t="shared" si="32"/>
        <v>116.90254199706733</v>
      </c>
    </row>
    <row r="205" spans="1:42" ht="14">
      <c r="A205">
        <f t="shared" si="50"/>
        <v>47</v>
      </c>
      <c r="B205" s="19">
        <f t="shared" si="50"/>
        <v>127</v>
      </c>
      <c r="C205" s="26">
        <f t="shared" si="30"/>
        <v>131.32720472148327</v>
      </c>
      <c r="D205" s="125">
        <f>(($C$39*$C$118*0.72)*D$40)*('Product half-life and C flows'!B106/100)</f>
        <v>0.39625571271070825</v>
      </c>
      <c r="E205" s="26"/>
      <c r="F205" s="54">
        <f t="shared" si="52"/>
        <v>0</v>
      </c>
      <c r="G205" s="54">
        <f t="shared" si="52"/>
        <v>0.7542108817919595</v>
      </c>
      <c r="H205" s="125">
        <f>(H$118)*('Product half-life and C flows'!L106/100)</f>
        <v>0.61709423739693892</v>
      </c>
      <c r="I205" s="125">
        <f>(($C$39*$C$118*0.28)*H$41)*('Product half-life and C flows'!N106/100)</f>
        <v>0.87077729148556882</v>
      </c>
      <c r="J205" s="125">
        <f>(($C$39*$C$118*0.28)*H$41)*(+'Product half-life and C flows'!P106/100)</f>
        <v>0.43495369205073353</v>
      </c>
      <c r="K205" s="54">
        <f t="shared" si="49"/>
        <v>1.3434381331919276</v>
      </c>
      <c r="L205" s="26"/>
      <c r="M205" s="83">
        <f>C$158*(0.4*D$14)*('Product half-life and C flows'!B66/100)</f>
        <v>6.7019926255328333</v>
      </c>
      <c r="N205" s="83">
        <f t="shared" si="31"/>
        <v>67.510100252580912</v>
      </c>
      <c r="O205" s="83">
        <f t="shared" si="51"/>
        <v>-2.5626287775264589</v>
      </c>
      <c r="P205" s="83">
        <f t="shared" si="51"/>
        <v>12.300618132127003</v>
      </c>
      <c r="Q205" s="83">
        <f>C$158*(0.6*C$15)*('Product half-life and C flows'!L66/100)</f>
        <v>18.636650092338606</v>
      </c>
      <c r="R205" s="83">
        <f>C$158*0.6*('Product half-life and C flows'!N66/100)</f>
        <v>13.215056234752565</v>
      </c>
      <c r="S205" s="83">
        <f>C$158*0.6*('Product half-life and C flows'!P66/100)</f>
        <v>6.6009271901860931</v>
      </c>
      <c r="T205" s="83">
        <f t="shared" si="36"/>
        <v>21.910476047851219</v>
      </c>
      <c r="U205" s="3"/>
      <c r="V205" s="88"/>
      <c r="W205" s="88"/>
      <c r="X205" s="88"/>
      <c r="Y205" s="88"/>
      <c r="Z205" s="88"/>
      <c r="AA205" s="88"/>
      <c r="AB205" s="88"/>
      <c r="AC205" s="88"/>
      <c r="AE205">
        <f t="shared" si="19"/>
        <v>47</v>
      </c>
      <c r="AF205" s="3">
        <f t="shared" si="33"/>
        <v>24.122051325151499</v>
      </c>
      <c r="AG205" s="113">
        <f t="shared" si="20"/>
        <v>131.32720472148327</v>
      </c>
      <c r="AH205" s="124">
        <f t="shared" si="40"/>
        <v>7.0982483382435415</v>
      </c>
      <c r="AI205" s="124">
        <f t="shared" si="41"/>
        <v>67.510100252580912</v>
      </c>
      <c r="AJ205" s="124">
        <f t="shared" si="42"/>
        <v>-2.5626287775264589</v>
      </c>
      <c r="AK205" s="124">
        <f t="shared" si="43"/>
        <v>13.054829013918962</v>
      </c>
      <c r="AL205" s="124">
        <f t="shared" si="44"/>
        <v>19.253744329735543</v>
      </c>
      <c r="AM205" s="124">
        <f t="shared" si="45"/>
        <v>14.085833526238133</v>
      </c>
      <c r="AN205" s="124">
        <f t="shared" si="46"/>
        <v>7.0358808822368264</v>
      </c>
      <c r="AO205" s="124">
        <f t="shared" si="47"/>
        <v>23.253914181043147</v>
      </c>
      <c r="AP205" s="3">
        <f t="shared" si="32"/>
        <v>118.37775922718392</v>
      </c>
    </row>
    <row r="206" spans="1:42" ht="14">
      <c r="A206">
        <f t="shared" si="50"/>
        <v>48</v>
      </c>
      <c r="B206" s="19">
        <f t="shared" si="50"/>
        <v>128</v>
      </c>
      <c r="C206" s="26">
        <f t="shared" si="30"/>
        <v>131.99628112883832</v>
      </c>
      <c r="D206" s="125">
        <f>(($C$39*$C$118*0.72)*D$40)*('Product half-life and C flows'!B107/100)</f>
        <v>0.38275778845127961</v>
      </c>
      <c r="E206" s="26"/>
      <c r="F206" s="54">
        <f t="shared" si="52"/>
        <v>0</v>
      </c>
      <c r="G206" s="54">
        <f t="shared" si="52"/>
        <v>0.7542108817919595</v>
      </c>
      <c r="H206" s="125">
        <f>(H$118)*('Product half-life and C flows'!L107/100)</f>
        <v>0.60766179951558796</v>
      </c>
      <c r="I206" s="125">
        <f>(($C$39*$C$118*0.28)*H$41)*('Product half-life and C flows'!N107/100)</f>
        <v>0.87549822664518506</v>
      </c>
      <c r="J206" s="125">
        <f>(($C$39*$C$118*0.28)*H$41)*(+'Product half-life and C flows'!P107/100)</f>
        <v>0.4373118015210713</v>
      </c>
      <c r="K206" s="54">
        <f t="shared" si="49"/>
        <v>1.3434381331919276</v>
      </c>
      <c r="L206" s="26"/>
      <c r="M206" s="83">
        <f>C$158*(0.4*D$14)*('Product half-life and C flows'!B67/100)</f>
        <v>6.4736981531885709</v>
      </c>
      <c r="N206" s="83">
        <f t="shared" si="31"/>
        <v>68.950186942718261</v>
      </c>
      <c r="O206" s="83">
        <f t="shared" si="51"/>
        <v>-2.5626287775264589</v>
      </c>
      <c r="P206" s="83">
        <f t="shared" si="51"/>
        <v>12.300618132127003</v>
      </c>
      <c r="Q206" s="83">
        <f>C$158*(0.6*C$15)*('Product half-life and C flows'!L67/100)</f>
        <v>18.351784291202652</v>
      </c>
      <c r="R206" s="83">
        <f>C$158*0.6*('Product half-life and C flows'!N67/100)</f>
        <v>13.405156679377288</v>
      </c>
      <c r="S206" s="83">
        <f>C$158*0.6*('Product half-life and C flows'!P67/100)</f>
        <v>6.6958824572314093</v>
      </c>
      <c r="T206" s="83">
        <f t="shared" si="36"/>
        <v>21.910476047851219</v>
      </c>
      <c r="U206" s="3"/>
      <c r="V206" s="88"/>
      <c r="W206" s="88"/>
      <c r="X206" s="88"/>
      <c r="Y206" s="88"/>
      <c r="Z206" s="88"/>
      <c r="AA206" s="88"/>
      <c r="AB206" s="88"/>
      <c r="AC206" s="88"/>
      <c r="AE206">
        <f t="shared" ref="AE206:AE269" si="53">A206</f>
        <v>48</v>
      </c>
      <c r="AF206" s="3">
        <f t="shared" si="33"/>
        <v>24.636609071654515</v>
      </c>
      <c r="AG206" s="113">
        <f t="shared" ref="AG206:AG269" si="54">C206</f>
        <v>131.99628112883832</v>
      </c>
      <c r="AH206" s="124">
        <f t="shared" si="40"/>
        <v>6.8564559416398509</v>
      </c>
      <c r="AI206" s="124">
        <f t="shared" si="41"/>
        <v>68.950186942718261</v>
      </c>
      <c r="AJ206" s="124">
        <f t="shared" si="42"/>
        <v>-2.5626287775264589</v>
      </c>
      <c r="AK206" s="124">
        <f t="shared" si="43"/>
        <v>13.054829013918962</v>
      </c>
      <c r="AL206" s="124">
        <f t="shared" si="44"/>
        <v>18.959446090718238</v>
      </c>
      <c r="AM206" s="124">
        <f t="shared" si="45"/>
        <v>14.280654906022473</v>
      </c>
      <c r="AN206" s="124">
        <f t="shared" si="46"/>
        <v>7.1331942587524804</v>
      </c>
      <c r="AO206" s="124">
        <f t="shared" si="47"/>
        <v>23.253914181043147</v>
      </c>
      <c r="AP206" s="3">
        <f t="shared" si="32"/>
        <v>119.81568243460397</v>
      </c>
    </row>
    <row r="207" spans="1:42" ht="14">
      <c r="A207">
        <f t="shared" si="50"/>
        <v>49</v>
      </c>
      <c r="B207" s="19">
        <f t="shared" si="50"/>
        <v>129</v>
      </c>
      <c r="C207" s="26">
        <f t="shared" si="30"/>
        <v>132.65431062990476</v>
      </c>
      <c r="D207" s="125">
        <f>(($C$39*$C$118*0.72)*D$40)*('Product half-life and C flows'!B108/100)</f>
        <v>0.36971965304402166</v>
      </c>
      <c r="E207" s="26"/>
      <c r="F207" s="54">
        <f t="shared" si="52"/>
        <v>0</v>
      </c>
      <c r="G207" s="54">
        <f t="shared" si="52"/>
        <v>0.7542108817919595</v>
      </c>
      <c r="H207" s="125">
        <f>(H$118)*('Product half-life and C flows'!L108/100)</f>
        <v>0.59837353877768396</v>
      </c>
      <c r="I207" s="125">
        <f>(($C$39*$C$118*0.28)*H$41)*('Product half-life and C flows'!N108/100)</f>
        <v>0.88014700114450595</v>
      </c>
      <c r="J207" s="125">
        <f>(($C$39*$C$118*0.28)*H$41)*(+'Product half-life and C flows'!P108/100)</f>
        <v>0.43963386670554727</v>
      </c>
      <c r="K207" s="54">
        <f t="shared" si="49"/>
        <v>1.3434381331919276</v>
      </c>
      <c r="L207" s="26"/>
      <c r="M207" s="83">
        <f>C$158*(0.4*D$14)*('Product half-life and C flows'!B68/100)</f>
        <v>6.253180228658521</v>
      </c>
      <c r="N207" s="83">
        <f t="shared" si="31"/>
        <v>70.352960023466522</v>
      </c>
      <c r="O207" s="83">
        <f t="shared" si="51"/>
        <v>-2.5626287775264589</v>
      </c>
      <c r="P207" s="83">
        <f t="shared" si="51"/>
        <v>12.300618132127003</v>
      </c>
      <c r="Q207" s="83">
        <f>C$158*(0.6*C$15)*('Product half-life and C flows'!L68/100)</f>
        <v>18.071272734217597</v>
      </c>
      <c r="R207" s="83">
        <f>C$158*0.6*('Product half-life and C flows'!N68/100)</f>
        <v>13.592351391738649</v>
      </c>
      <c r="S207" s="83">
        <f>C$158*0.6*('Product half-life and C flows'!P68/100)</f>
        <v>6.7893863095597604</v>
      </c>
      <c r="T207" s="83">
        <f t="shared" si="36"/>
        <v>21.910476047851219</v>
      </c>
      <c r="U207" s="3"/>
      <c r="V207" s="88"/>
      <c r="W207" s="88"/>
      <c r="X207" s="88"/>
      <c r="Y207" s="88"/>
      <c r="Z207" s="88"/>
      <c r="AA207" s="88"/>
      <c r="AB207" s="88"/>
      <c r="AC207" s="88"/>
      <c r="AE207">
        <f t="shared" si="53"/>
        <v>49</v>
      </c>
      <c r="AF207" s="3">
        <f t="shared" si="33"/>
        <v>25.137834282767379</v>
      </c>
      <c r="AG207" s="113">
        <f t="shared" si="54"/>
        <v>132.65431062990476</v>
      </c>
      <c r="AH207" s="124">
        <f t="shared" si="40"/>
        <v>6.6228998817025424</v>
      </c>
      <c r="AI207" s="124">
        <f t="shared" si="41"/>
        <v>70.352960023466522</v>
      </c>
      <c r="AJ207" s="124">
        <f t="shared" si="42"/>
        <v>-2.5626287775264589</v>
      </c>
      <c r="AK207" s="124">
        <f t="shared" si="43"/>
        <v>13.054829013918962</v>
      </c>
      <c r="AL207" s="124">
        <f t="shared" si="44"/>
        <v>18.66964627299528</v>
      </c>
      <c r="AM207" s="124">
        <f t="shared" si="45"/>
        <v>14.472498392883155</v>
      </c>
      <c r="AN207" s="124">
        <f t="shared" si="46"/>
        <v>7.2290201762653075</v>
      </c>
      <c r="AO207" s="124">
        <f t="shared" si="47"/>
        <v>23.253914181043147</v>
      </c>
      <c r="AP207" s="3">
        <f t="shared" si="32"/>
        <v>121.21632510200277</v>
      </c>
    </row>
    <row r="208" spans="1:42" ht="14">
      <c r="A208">
        <f t="shared" ref="A208:B223" si="55">A207+1</f>
        <v>50</v>
      </c>
      <c r="B208" s="19">
        <f t="shared" si="55"/>
        <v>130</v>
      </c>
      <c r="C208" s="26">
        <f t="shared" si="30"/>
        <v>133.30142914827974</v>
      </c>
      <c r="D208" s="125">
        <f>(($C$39*$C$118*0.72)*D$40)*('Product half-life and C flows'!B109/100)</f>
        <v>0.35712564439270988</v>
      </c>
      <c r="E208" s="26"/>
      <c r="F208" s="54">
        <f t="shared" si="52"/>
        <v>0</v>
      </c>
      <c r="G208" s="54">
        <f t="shared" si="52"/>
        <v>0.7542108817919595</v>
      </c>
      <c r="H208" s="125">
        <f>(H$118)*('Product half-life and C flows'!L109/100)</f>
        <v>0.58922725139996834</v>
      </c>
      <c r="I208" s="125">
        <f>(($C$39*$C$118*0.28)*H$41)*('Product half-life and C flows'!N109/100)</f>
        <v>0.88472471797705254</v>
      </c>
      <c r="J208" s="125">
        <f>(($C$39*$C$118*0.28)*H$41)*(+'Product half-life and C flows'!P109/100)</f>
        <v>0.4419204385499762</v>
      </c>
      <c r="K208" s="54">
        <f t="shared" si="49"/>
        <v>1.3434381331919276</v>
      </c>
      <c r="L208" s="26"/>
      <c r="M208" s="83">
        <f>C$158*(0.4*D$14)*('Product half-life and C flows'!B69/100)</f>
        <v>6.040173954175839</v>
      </c>
      <c r="N208" s="83">
        <f t="shared" si="31"/>
        <v>71.718529201659706</v>
      </c>
      <c r="O208" s="83">
        <f t="shared" ref="O208:P223" si="56">O207</f>
        <v>-2.5626287775264589</v>
      </c>
      <c r="P208" s="83">
        <f t="shared" si="56"/>
        <v>12.300618132127003</v>
      </c>
      <c r="Q208" s="83">
        <f>C$158*(0.6*C$15)*('Product half-life and C flows'!L69/100)</f>
        <v>17.795048865685807</v>
      </c>
      <c r="R208" s="83">
        <f>C$158*0.6*('Product half-life and C flows'!N69/100)</f>
        <v>13.776684786672199</v>
      </c>
      <c r="S208" s="83">
        <f>C$158*0.6*('Product half-life and C flows'!P69/100)</f>
        <v>6.8814609324036926</v>
      </c>
      <c r="T208" s="83">
        <f t="shared" si="36"/>
        <v>21.910476047851219</v>
      </c>
      <c r="U208" s="3"/>
      <c r="V208" s="88"/>
      <c r="W208" s="88"/>
      <c r="X208" s="88"/>
      <c r="Y208" s="88"/>
      <c r="Z208" s="88"/>
      <c r="AA208" s="88"/>
      <c r="AB208" s="88"/>
      <c r="AC208" s="88"/>
      <c r="AE208">
        <f t="shared" si="53"/>
        <v>50</v>
      </c>
      <c r="AF208" s="3">
        <f t="shared" si="33"/>
        <v>25.625766157867233</v>
      </c>
      <c r="AG208" s="113">
        <f t="shared" si="54"/>
        <v>133.30142914827974</v>
      </c>
      <c r="AH208" s="124">
        <f t="shared" si="40"/>
        <v>6.3972995985685488</v>
      </c>
      <c r="AI208" s="124">
        <f t="shared" si="41"/>
        <v>71.718529201659706</v>
      </c>
      <c r="AJ208" s="124">
        <f t="shared" si="42"/>
        <v>-2.5626287775264589</v>
      </c>
      <c r="AK208" s="124">
        <f t="shared" si="43"/>
        <v>13.054829013918962</v>
      </c>
      <c r="AL208" s="124">
        <f t="shared" si="44"/>
        <v>18.384276117085776</v>
      </c>
      <c r="AM208" s="124">
        <f t="shared" si="45"/>
        <v>14.661409504649251</v>
      </c>
      <c r="AN208" s="124">
        <f t="shared" si="46"/>
        <v>7.323381370953669</v>
      </c>
      <c r="AO208" s="124">
        <f t="shared" si="47"/>
        <v>23.253914181043147</v>
      </c>
      <c r="AP208" s="3">
        <f t="shared" si="32"/>
        <v>122.57979643074091</v>
      </c>
    </row>
    <row r="209" spans="1:42" ht="14">
      <c r="A209">
        <f t="shared" si="55"/>
        <v>51</v>
      </c>
      <c r="B209" s="19">
        <f t="shared" si="55"/>
        <v>131</v>
      </c>
      <c r="C209" s="26">
        <f t="shared" si="30"/>
        <v>133.9377729591053</v>
      </c>
      <c r="D209" s="125">
        <f>(($C$39*$C$118*0.72)*D$40)*('Product half-life and C flows'!B110/100)</f>
        <v>0.34496063390961407</v>
      </c>
      <c r="E209" s="26"/>
      <c r="F209" s="54">
        <f t="shared" si="52"/>
        <v>0</v>
      </c>
      <c r="G209" s="54">
        <f t="shared" si="52"/>
        <v>0.7542108817919595</v>
      </c>
      <c r="H209" s="125">
        <f>(H$118)*('Product half-life and C flows'!L110/100)</f>
        <v>0.58022076728455385</v>
      </c>
      <c r="I209" s="125">
        <f>(($C$39*$C$118*0.28)*H$41)*('Product half-life and C flows'!N110/100)</f>
        <v>0.88923246327681749</v>
      </c>
      <c r="J209" s="125">
        <f>(($C$39*$C$118*0.28)*H$41)*(+'Product half-life and C flows'!P110/100)</f>
        <v>0.44417205957882983</v>
      </c>
      <c r="K209" s="54">
        <f t="shared" si="49"/>
        <v>1.3434381331919276</v>
      </c>
      <c r="L209" s="26"/>
      <c r="M209" s="83">
        <f>C$158*(0.4*D$14)*('Product half-life and C flows'!B70/100)</f>
        <v>5.8344234553640799</v>
      </c>
      <c r="N209" s="83">
        <f t="shared" si="31"/>
        <v>73.047090459435708</v>
      </c>
      <c r="O209" s="83">
        <f t="shared" si="56"/>
        <v>-2.5626287775264589</v>
      </c>
      <c r="P209" s="83">
        <f t="shared" si="56"/>
        <v>12.300618132127003</v>
      </c>
      <c r="Q209" s="83">
        <f>C$158*(0.6*C$15)*('Product half-life and C flows'!L70/100)</f>
        <v>17.523047147229931</v>
      </c>
      <c r="R209" s="83">
        <f>C$158*0.6*('Product half-life and C flows'!N70/100)</f>
        <v>13.958200600121751</v>
      </c>
      <c r="S209" s="83">
        <f>C$158*0.6*('Product half-life and C flows'!P70/100)</f>
        <v>6.9721281718889836</v>
      </c>
      <c r="T209" s="83">
        <f t="shared" si="36"/>
        <v>21.910476047851219</v>
      </c>
      <c r="U209" s="3"/>
      <c r="V209" s="88"/>
      <c r="W209" s="88"/>
      <c r="X209" s="88"/>
      <c r="Y209" s="88"/>
      <c r="Z209" s="88"/>
      <c r="AA209" s="88"/>
      <c r="AB209" s="88"/>
      <c r="AC209" s="88"/>
      <c r="AE209">
        <f t="shared" si="53"/>
        <v>51</v>
      </c>
      <c r="AF209" s="3">
        <f t="shared" si="33"/>
        <v>26.100474723382295</v>
      </c>
      <c r="AG209" s="113">
        <f t="shared" si="54"/>
        <v>133.9377729591053</v>
      </c>
      <c r="AH209" s="124">
        <f t="shared" si="40"/>
        <v>6.179384089273694</v>
      </c>
      <c r="AI209" s="124">
        <f t="shared" si="41"/>
        <v>73.047090459435708</v>
      </c>
      <c r="AJ209" s="124">
        <f t="shared" si="42"/>
        <v>-2.5626287775264589</v>
      </c>
      <c r="AK209" s="124">
        <f t="shared" si="43"/>
        <v>13.054829013918962</v>
      </c>
      <c r="AL209" s="124">
        <f t="shared" si="44"/>
        <v>18.103267914514486</v>
      </c>
      <c r="AM209" s="124">
        <f t="shared" si="45"/>
        <v>14.847433063398569</v>
      </c>
      <c r="AN209" s="124">
        <f t="shared" si="46"/>
        <v>7.4163002314678135</v>
      </c>
      <c r="AO209" s="124">
        <f t="shared" si="47"/>
        <v>23.253914181043147</v>
      </c>
      <c r="AP209" s="3">
        <f t="shared" si="32"/>
        <v>123.90629190520909</v>
      </c>
    </row>
    <row r="210" spans="1:42" ht="14">
      <c r="A210">
        <f t="shared" si="55"/>
        <v>52</v>
      </c>
      <c r="B210" s="19">
        <f t="shared" si="55"/>
        <v>132</v>
      </c>
      <c r="C210" s="26">
        <f t="shared" si="30"/>
        <v>134.56347857469208</v>
      </c>
      <c r="D210" s="125">
        <f>(($C$39*$C$118*0.72)*D$40)*('Product half-life and C flows'!B111/100)</f>
        <v>0.33321000834224029</v>
      </c>
      <c r="E210" s="26"/>
      <c r="F210" s="54">
        <f t="shared" si="52"/>
        <v>0</v>
      </c>
      <c r="G210" s="54">
        <f t="shared" si="52"/>
        <v>0.7542108817919595</v>
      </c>
      <c r="H210" s="125">
        <f>(H$118)*('Product half-life and C flows'!L111/100)</f>
        <v>0.57135194950403567</v>
      </c>
      <c r="I210" s="125">
        <f>(($C$39*$C$118*0.28)*H$41)*('Product half-life and C flows'!N111/100)</f>
        <v>0.89367130657596683</v>
      </c>
      <c r="J210" s="125">
        <f>(($C$39*$C$118*0.28)*H$41)*(+'Product half-life and C flows'!P111/100)</f>
        <v>0.44638926402395934</v>
      </c>
      <c r="K210" s="54">
        <f t="shared" si="49"/>
        <v>1.3434381331919276</v>
      </c>
      <c r="L210" s="26"/>
      <c r="M210" s="83">
        <f>C$158*(0.4*D$14)*('Product half-life and C flows'!B71/100)</f>
        <v>5.6356815738673891</v>
      </c>
      <c r="N210" s="83">
        <f t="shared" si="31"/>
        <v>74.338917231292029</v>
      </c>
      <c r="O210" s="83">
        <f t="shared" si="56"/>
        <v>-2.5626287775264589</v>
      </c>
      <c r="P210" s="83">
        <f t="shared" si="56"/>
        <v>12.300618132127003</v>
      </c>
      <c r="Q210" s="83">
        <f>C$158*(0.6*C$15)*('Product half-life and C flows'!L71/100)</f>
        <v>17.255203042242908</v>
      </c>
      <c r="R210" s="83">
        <f>C$158*0.6*('Product half-life and C flows'!N71/100)</f>
        <v>14.136941899516422</v>
      </c>
      <c r="S210" s="83">
        <f>C$158*0.6*('Product half-life and C flows'!P71/100)</f>
        <v>7.0614095402179915</v>
      </c>
      <c r="T210" s="83">
        <f t="shared" si="36"/>
        <v>21.910476047851219</v>
      </c>
      <c r="U210" s="3"/>
      <c r="V210" s="88"/>
      <c r="W210" s="88"/>
      <c r="X210" s="88"/>
      <c r="Y210" s="88"/>
      <c r="Z210" s="88"/>
      <c r="AA210" s="88"/>
      <c r="AB210" s="88"/>
      <c r="AC210" s="88"/>
      <c r="AE210">
        <f t="shared" si="53"/>
        <v>52</v>
      </c>
      <c r="AF210" s="3">
        <f t="shared" si="33"/>
        <v>26.562057680263354</v>
      </c>
      <c r="AG210" s="113">
        <f t="shared" si="54"/>
        <v>134.56347857469208</v>
      </c>
      <c r="AH210" s="124">
        <f t="shared" si="40"/>
        <v>5.9688915822096291</v>
      </c>
      <c r="AI210" s="124">
        <f t="shared" si="41"/>
        <v>74.338917231292029</v>
      </c>
      <c r="AJ210" s="124">
        <f t="shared" si="42"/>
        <v>-2.5626287775264589</v>
      </c>
      <c r="AK210" s="124">
        <f t="shared" si="43"/>
        <v>13.054829013918962</v>
      </c>
      <c r="AL210" s="124">
        <f t="shared" si="44"/>
        <v>17.826554991746942</v>
      </c>
      <c r="AM210" s="124">
        <f t="shared" si="45"/>
        <v>15.03061320609239</v>
      </c>
      <c r="AN210" s="124">
        <f t="shared" si="46"/>
        <v>7.5077988042419506</v>
      </c>
      <c r="AO210" s="124">
        <f t="shared" si="47"/>
        <v>23.253914181043147</v>
      </c>
      <c r="AP210" s="3">
        <f t="shared" si="32"/>
        <v>125.19608446976582</v>
      </c>
    </row>
    <row r="211" spans="1:42" ht="14">
      <c r="A211">
        <f t="shared" si="55"/>
        <v>53</v>
      </c>
      <c r="B211" s="19">
        <f t="shared" si="55"/>
        <v>133</v>
      </c>
      <c r="C211" s="26">
        <f t="shared" si="30"/>
        <v>135.17868263592746</v>
      </c>
      <c r="D211" s="125">
        <f>(($C$39*$C$118*0.72)*D$40)*('Product half-life and C flows'!B112/100)</f>
        <v>0.32185965221912061</v>
      </c>
      <c r="E211" s="26"/>
      <c r="F211" s="54">
        <f t="shared" si="52"/>
        <v>0</v>
      </c>
      <c r="G211" s="54">
        <f t="shared" si="52"/>
        <v>0.7542108817919595</v>
      </c>
      <c r="H211" s="125">
        <f>(H$118)*('Product half-life and C flows'!L112/100)</f>
        <v>0.56261869379447194</v>
      </c>
      <c r="I211" s="125">
        <f>(($C$39*$C$118*0.28)*H$41)*('Product half-life and C flows'!N112/100)</f>
        <v>0.8980423010586035</v>
      </c>
      <c r="J211" s="125">
        <f>(($C$39*$C$118*0.28)*H$41)*(+'Product half-life and C flows'!P112/100)</f>
        <v>0.44857257795135025</v>
      </c>
      <c r="K211" s="54">
        <f t="shared" si="49"/>
        <v>1.3434381331919276</v>
      </c>
      <c r="L211" s="26"/>
      <c r="M211" s="83">
        <f>C$158*(0.4*D$14)*('Product half-life and C flows'!B72/100)</f>
        <v>5.4437095704508636</v>
      </c>
      <c r="N211" s="83">
        <f t="shared" si="31"/>
        <v>75.59435217302817</v>
      </c>
      <c r="O211" s="83">
        <f t="shared" si="56"/>
        <v>-2.5626287775264589</v>
      </c>
      <c r="P211" s="83">
        <f t="shared" si="56"/>
        <v>12.300618132127003</v>
      </c>
      <c r="Q211" s="83">
        <f>C$158*(0.6*C$15)*('Product half-life and C flows'!L72/100)</f>
        <v>16.991453000575671</v>
      </c>
      <c r="R211" s="83">
        <f>C$158*0.6*('Product half-life and C flows'!N72/100)</f>
        <v>14.312951093989028</v>
      </c>
      <c r="S211" s="83">
        <f>C$158*0.6*('Product half-life and C flows'!P72/100)</f>
        <v>7.1493262207737374</v>
      </c>
      <c r="T211" s="83">
        <f t="shared" si="36"/>
        <v>21.910476047851219</v>
      </c>
      <c r="U211" s="3"/>
      <c r="V211" s="88"/>
      <c r="W211" s="88"/>
      <c r="X211" s="88"/>
      <c r="Y211" s="88"/>
      <c r="Z211" s="88"/>
      <c r="AA211" s="88"/>
      <c r="AB211" s="88"/>
      <c r="AC211" s="88"/>
      <c r="AE211">
        <f t="shared" si="53"/>
        <v>53</v>
      </c>
      <c r="AF211" s="3">
        <f t="shared" si="33"/>
        <v>27.010637462942462</v>
      </c>
      <c r="AG211" s="113">
        <f t="shared" si="54"/>
        <v>135.17868263592746</v>
      </c>
      <c r="AH211" s="124">
        <f t="shared" si="40"/>
        <v>5.765569222669984</v>
      </c>
      <c r="AI211" s="124">
        <f t="shared" si="41"/>
        <v>75.59435217302817</v>
      </c>
      <c r="AJ211" s="124">
        <f t="shared" si="42"/>
        <v>-2.5626287775264589</v>
      </c>
      <c r="AK211" s="124">
        <f t="shared" si="43"/>
        <v>13.054829013918962</v>
      </c>
      <c r="AL211" s="124">
        <f t="shared" si="44"/>
        <v>17.554071694370144</v>
      </c>
      <c r="AM211" s="124">
        <f t="shared" si="45"/>
        <v>15.210993395047632</v>
      </c>
      <c r="AN211" s="124">
        <f t="shared" si="46"/>
        <v>7.5978987987250877</v>
      </c>
      <c r="AO211" s="124">
        <f t="shared" si="47"/>
        <v>23.253914181043147</v>
      </c>
      <c r="AP211" s="3">
        <f t="shared" si="32"/>
        <v>126.44951629756355</v>
      </c>
    </row>
    <row r="212" spans="1:42" ht="14">
      <c r="A212">
        <f t="shared" si="55"/>
        <v>54</v>
      </c>
      <c r="B212" s="19">
        <f t="shared" si="55"/>
        <v>134</v>
      </c>
      <c r="C212" s="26">
        <f t="shared" si="30"/>
        <v>135.78352180925319</v>
      </c>
      <c r="D212" s="125">
        <f>(($C$39*$C$118*0.72)*D$40)*('Product half-life and C flows'!B113/100)</f>
        <v>0.31089593089356488</v>
      </c>
      <c r="E212" s="26"/>
      <c r="F212" s="54">
        <f t="shared" si="52"/>
        <v>0</v>
      </c>
      <c r="G212" s="54">
        <f t="shared" si="52"/>
        <v>0.7542108817919595</v>
      </c>
      <c r="H212" s="125">
        <f>(H$118)*('Product half-life and C flows'!L113/100)</f>
        <v>0.55401892805611597</v>
      </c>
      <c r="I212" s="125">
        <f>(($C$39*$C$118*0.28)*H$41)*('Product half-life and C flows'!N113/100)</f>
        <v>0.90234648381065075</v>
      </c>
      <c r="J212" s="125">
        <f>(($C$39*$C$118*0.28)*H$41)*(+'Product half-life and C flows'!P113/100)</f>
        <v>0.45072251938593932</v>
      </c>
      <c r="K212" s="54">
        <f t="shared" si="49"/>
        <v>1.3434381331919276</v>
      </c>
      <c r="L212" s="26"/>
      <c r="M212" s="83">
        <f>C$158*(0.4*D$14)*('Product half-life and C flows'!B73/100)</f>
        <v>5.2582768382143534</v>
      </c>
      <c r="N212" s="83">
        <f t="shared" si="31"/>
        <v>76.813799499943926</v>
      </c>
      <c r="O212" s="83">
        <f t="shared" si="56"/>
        <v>-2.5626287775264589</v>
      </c>
      <c r="P212" s="83">
        <f t="shared" si="56"/>
        <v>12.300618132127003</v>
      </c>
      <c r="Q212" s="83">
        <f>C$158*(0.6*C$15)*('Product half-life and C flows'!L73/100)</f>
        <v>16.731734443458873</v>
      </c>
      <c r="R212" s="83">
        <f>C$158*0.6*('Product half-life and C flows'!N73/100)</f>
        <v>14.486269944438302</v>
      </c>
      <c r="S212" s="83">
        <f>C$158*0.6*('Product half-life and C flows'!P73/100)</f>
        <v>7.2358990731460029</v>
      </c>
      <c r="T212" s="83">
        <f t="shared" si="36"/>
        <v>21.910476047851219</v>
      </c>
      <c r="U212" s="3"/>
      <c r="V212" s="88"/>
      <c r="W212" s="88"/>
      <c r="X212" s="88"/>
      <c r="Y212" s="88"/>
      <c r="Z212" s="88"/>
      <c r="AA212" s="88"/>
      <c r="AB212" s="88"/>
      <c r="AC212" s="88"/>
      <c r="AE212">
        <f t="shared" si="53"/>
        <v>54</v>
      </c>
      <c r="AF212" s="3">
        <f t="shared" si="33"/>
        <v>27.4463585016926</v>
      </c>
      <c r="AG212" s="113">
        <f t="shared" si="54"/>
        <v>135.78352180925319</v>
      </c>
      <c r="AH212" s="124">
        <f t="shared" si="40"/>
        <v>5.5691727691079187</v>
      </c>
      <c r="AI212" s="124">
        <f t="shared" si="41"/>
        <v>76.813799499943926</v>
      </c>
      <c r="AJ212" s="124">
        <f t="shared" si="42"/>
        <v>-2.5626287775264589</v>
      </c>
      <c r="AK212" s="124">
        <f t="shared" si="43"/>
        <v>13.054829013918962</v>
      </c>
      <c r="AL212" s="124">
        <f t="shared" si="44"/>
        <v>17.285753371514989</v>
      </c>
      <c r="AM212" s="124">
        <f t="shared" si="45"/>
        <v>15.388616428248952</v>
      </c>
      <c r="AN212" s="124">
        <f t="shared" si="46"/>
        <v>7.6866215925319423</v>
      </c>
      <c r="AO212" s="124">
        <f t="shared" si="47"/>
        <v>23.253914181043147</v>
      </c>
      <c r="AP212" s="3">
        <f t="shared" si="32"/>
        <v>127.6669911286323</v>
      </c>
    </row>
    <row r="213" spans="1:42" ht="14">
      <c r="A213">
        <f t="shared" si="55"/>
        <v>55</v>
      </c>
      <c r="B213" s="19">
        <f t="shared" si="55"/>
        <v>135</v>
      </c>
      <c r="C213" s="26">
        <f t="shared" si="30"/>
        <v>136.37813268900979</v>
      </c>
      <c r="D213" s="125">
        <f>(($C$39*$C$118*0.72)*D$40)*('Product half-life and C flows'!B114/100)</f>
        <v>0.30030567416500253</v>
      </c>
      <c r="E213" s="26"/>
      <c r="F213" s="54">
        <f t="shared" si="52"/>
        <v>0</v>
      </c>
      <c r="G213" s="54">
        <f t="shared" si="52"/>
        <v>0.7542108817919595</v>
      </c>
      <c r="H213" s="125">
        <f>(H$118)*('Product half-life and C flows'!L114/100)</f>
        <v>0.54555061186177667</v>
      </c>
      <c r="I213" s="125">
        <f>(($C$39*$C$118*0.28)*H$41)*('Product half-life and C flows'!N114/100)</f>
        <v>0.90658487606591753</v>
      </c>
      <c r="J213" s="125">
        <f>(($C$39*$C$118*0.28)*H$41)*(+'Product half-life and C flows'!P114/100)</f>
        <v>0.45283959843452415</v>
      </c>
      <c r="K213" s="54">
        <f t="shared" si="49"/>
        <v>1.3434381331919276</v>
      </c>
      <c r="L213" s="26"/>
      <c r="M213" s="83">
        <f>C$158*(0.4*D$14)*('Product half-life and C flows'!B74/100)</f>
        <v>5.0791606255753168</v>
      </c>
      <c r="N213" s="83">
        <f t="shared" si="31"/>
        <v>77.997717870301713</v>
      </c>
      <c r="O213" s="83">
        <f t="shared" si="56"/>
        <v>-2.5626287775264589</v>
      </c>
      <c r="P213" s="83">
        <f t="shared" si="56"/>
        <v>12.300618132127003</v>
      </c>
      <c r="Q213" s="83">
        <f>C$158*(0.6*C$15)*('Product half-life and C flows'!L74/100)</f>
        <v>16.475985748655116</v>
      </c>
      <c r="R213" s="83">
        <f>C$158*0.6*('Product half-life and C flows'!N74/100)</f>
        <v>14.656939573437343</v>
      </c>
      <c r="S213" s="83">
        <f>C$158*0.6*('Product half-life and C flows'!P74/100)</f>
        <v>7.3211486380805892</v>
      </c>
      <c r="T213" s="83">
        <f t="shared" si="36"/>
        <v>21.910476047851219</v>
      </c>
      <c r="U213" s="3"/>
      <c r="V213" s="88"/>
      <c r="W213" s="88"/>
      <c r="X213" s="88"/>
      <c r="Y213" s="88"/>
      <c r="Z213" s="88"/>
      <c r="AA213" s="88"/>
      <c r="AB213" s="88"/>
      <c r="AC213" s="88"/>
      <c r="AE213">
        <f t="shared" si="53"/>
        <v>55</v>
      </c>
      <c r="AF213" s="3">
        <f t="shared" si="33"/>
        <v>27.869384679815756</v>
      </c>
      <c r="AG213" s="113">
        <f t="shared" si="54"/>
        <v>136.37813268900979</v>
      </c>
      <c r="AH213" s="124">
        <f t="shared" si="40"/>
        <v>5.3794662997403195</v>
      </c>
      <c r="AI213" s="124">
        <f t="shared" si="41"/>
        <v>77.997717870301713</v>
      </c>
      <c r="AJ213" s="124">
        <f t="shared" si="42"/>
        <v>-2.5626287775264589</v>
      </c>
      <c r="AK213" s="124">
        <f t="shared" si="43"/>
        <v>13.054829013918962</v>
      </c>
      <c r="AL213" s="124">
        <f t="shared" si="44"/>
        <v>17.021536360516894</v>
      </c>
      <c r="AM213" s="124">
        <f t="shared" si="45"/>
        <v>15.563524449503261</v>
      </c>
      <c r="AN213" s="124">
        <f t="shared" si="46"/>
        <v>7.7739882365151134</v>
      </c>
      <c r="AO213" s="124">
        <f t="shared" si="47"/>
        <v>23.253914181043147</v>
      </c>
      <c r="AP213" s="3">
        <f t="shared" si="32"/>
        <v>128.84896715322949</v>
      </c>
    </row>
    <row r="214" spans="1:42" ht="14">
      <c r="A214">
        <f t="shared" si="55"/>
        <v>56</v>
      </c>
      <c r="B214" s="19">
        <f t="shared" si="55"/>
        <v>136</v>
      </c>
      <c r="C214" s="26">
        <f t="shared" si="30"/>
        <v>136.96265170494351</v>
      </c>
      <c r="D214" s="125">
        <f>(($C$39*$C$118*0.72)*D$40)*('Product half-life and C flows'!B115/100)</f>
        <v>0.29007616045824341</v>
      </c>
      <c r="E214" s="26"/>
      <c r="F214" s="54">
        <f t="shared" si="52"/>
        <v>0</v>
      </c>
      <c r="G214" s="54">
        <f t="shared" si="52"/>
        <v>0.7542108817919595</v>
      </c>
      <c r="H214" s="125">
        <f>(H$118)*('Product half-life and C flows'!L115/100)</f>
        <v>0.53721173597269722</v>
      </c>
      <c r="I214" s="125">
        <f>(($C$39*$C$118*0.28)*H$41)*('Product half-life and C flows'!N115/100)</f>
        <v>0.9107584834484016</v>
      </c>
      <c r="J214" s="125">
        <f>(($C$39*$C$118*0.28)*H$41)*(+'Product half-life and C flows'!P115/100)</f>
        <v>0.45492431740679395</v>
      </c>
      <c r="K214" s="54">
        <f t="shared" si="49"/>
        <v>1.3434381331919276</v>
      </c>
      <c r="L214" s="26"/>
      <c r="M214" s="83">
        <f>C$158*(0.4*D$14)*('Product half-life and C flows'!B75/100)</f>
        <v>4.9061457686878445</v>
      </c>
      <c r="N214" s="83">
        <f t="shared" si="31"/>
        <v>79.146613789176996</v>
      </c>
      <c r="O214" s="83">
        <f t="shared" si="56"/>
        <v>-2.5626287775264589</v>
      </c>
      <c r="P214" s="83">
        <f t="shared" si="56"/>
        <v>12.300618132127003</v>
      </c>
      <c r="Q214" s="83">
        <f>C$158*(0.6*C$15)*('Product half-life and C flows'!L75/100)</f>
        <v>16.224146235838134</v>
      </c>
      <c r="R214" s="83">
        <f>C$158*0.6*('Product half-life and C flows'!N75/100)</f>
        <v>14.825000474990544</v>
      </c>
      <c r="S214" s="83">
        <f>C$158*0.6*('Product half-life and C flows'!P75/100)</f>
        <v>7.4050951423529154</v>
      </c>
      <c r="T214" s="83">
        <f t="shared" si="36"/>
        <v>21.910476047851219</v>
      </c>
      <c r="U214" s="3"/>
      <c r="V214" s="88"/>
      <c r="W214" s="88"/>
      <c r="X214" s="88"/>
      <c r="Y214" s="88"/>
      <c r="Z214" s="88"/>
      <c r="AA214" s="88"/>
      <c r="AB214" s="88"/>
      <c r="AC214" s="88"/>
      <c r="AE214">
        <f t="shared" si="53"/>
        <v>56</v>
      </c>
      <c r="AF214" s="3">
        <f t="shared" si="33"/>
        <v>28.279896976771013</v>
      </c>
      <c r="AG214" s="113">
        <f t="shared" si="54"/>
        <v>136.96265170494351</v>
      </c>
      <c r="AH214" s="124">
        <f t="shared" si="40"/>
        <v>5.1962219291460876</v>
      </c>
      <c r="AI214" s="124">
        <f t="shared" si="41"/>
        <v>79.146613789176996</v>
      </c>
      <c r="AJ214" s="124">
        <f t="shared" si="42"/>
        <v>-2.5626287775264589</v>
      </c>
      <c r="AK214" s="124">
        <f t="shared" si="43"/>
        <v>13.054829013918962</v>
      </c>
      <c r="AL214" s="124">
        <f t="shared" si="44"/>
        <v>16.761357971810831</v>
      </c>
      <c r="AM214" s="124">
        <f t="shared" si="45"/>
        <v>15.735758958438945</v>
      </c>
      <c r="AN214" s="124">
        <f t="shared" si="46"/>
        <v>7.8600194597597097</v>
      </c>
      <c r="AO214" s="124">
        <f t="shared" si="47"/>
        <v>23.253914181043147</v>
      </c>
      <c r="AP214" s="3">
        <f t="shared" si="32"/>
        <v>129.99595041557899</v>
      </c>
    </row>
    <row r="215" spans="1:42" ht="14">
      <c r="A215">
        <f t="shared" si="55"/>
        <v>57</v>
      </c>
      <c r="B215" s="19">
        <f t="shared" si="55"/>
        <v>137</v>
      </c>
      <c r="C215" s="26">
        <f t="shared" si="30"/>
        <v>137.5372150346831</v>
      </c>
      <c r="D215" s="125">
        <f>(($C$39*$C$118*0.72)*D$40)*('Product half-life and C flows'!B116/100)</f>
        <v>0.28019510154165017</v>
      </c>
      <c r="E215" s="26"/>
      <c r="F215" s="54">
        <f t="shared" si="52"/>
        <v>0</v>
      </c>
      <c r="G215" s="54">
        <f t="shared" si="52"/>
        <v>0.7542108817919595</v>
      </c>
      <c r="H215" s="125">
        <f>(H$118)*('Product half-life and C flows'!L116/100)</f>
        <v>0.52900032186183155</v>
      </c>
      <c r="I215" s="125">
        <f>(($C$39*$C$118*0.28)*H$41)*('Product half-life and C flows'!N116/100)</f>
        <v>0.91486829621088983</v>
      </c>
      <c r="J215" s="125">
        <f>(($C$39*$C$118*0.28)*H$41)*(+'Product half-life and C flows'!P116/100)</f>
        <v>0.4569771709345104</v>
      </c>
      <c r="K215" s="54">
        <f t="shared" si="49"/>
        <v>1.3434381331919276</v>
      </c>
      <c r="L215" s="26"/>
      <c r="M215" s="83">
        <f>C$158*(0.4*D$14)*('Product half-life and C flows'!B76/100)</f>
        <v>4.7390244329765006</v>
      </c>
      <c r="N215" s="83">
        <f t="shared" si="31"/>
        <v>80.261035507330135</v>
      </c>
      <c r="O215" s="83">
        <f t="shared" si="56"/>
        <v>-2.5626287775264589</v>
      </c>
      <c r="P215" s="83">
        <f t="shared" si="56"/>
        <v>12.300618132127003</v>
      </c>
      <c r="Q215" s="83">
        <f>C$158*(0.6*C$15)*('Product half-life and C flows'!L76/100)</f>
        <v>15.976156152195431</v>
      </c>
      <c r="R215" s="83">
        <f>C$158*0.6*('Product half-life and C flows'!N76/100)</f>
        <v>14.990492524141441</v>
      </c>
      <c r="S215" s="83">
        <f>C$158*0.6*('Product half-life and C flows'!P76/100)</f>
        <v>7.4877585035671501</v>
      </c>
      <c r="T215" s="83">
        <f t="shared" si="36"/>
        <v>21.910476047851219</v>
      </c>
      <c r="U215" s="3"/>
      <c r="V215" s="88"/>
      <c r="W215" s="88"/>
      <c r="X215" s="88"/>
      <c r="Y215" s="88"/>
      <c r="Z215" s="88"/>
      <c r="AA215" s="88"/>
      <c r="AB215" s="88"/>
      <c r="AC215" s="88"/>
      <c r="AE215">
        <f t="shared" si="53"/>
        <v>57</v>
      </c>
      <c r="AF215" s="3">
        <f t="shared" si="33"/>
        <v>28.678091288178894</v>
      </c>
      <c r="AG215" s="113">
        <f t="shared" si="54"/>
        <v>137.5372150346831</v>
      </c>
      <c r="AH215" s="124">
        <f t="shared" si="40"/>
        <v>5.0192195345181503</v>
      </c>
      <c r="AI215" s="124">
        <f t="shared" si="41"/>
        <v>80.261035507330135</v>
      </c>
      <c r="AJ215" s="124">
        <f t="shared" si="42"/>
        <v>-2.5626287775264589</v>
      </c>
      <c r="AK215" s="124">
        <f t="shared" si="43"/>
        <v>13.054829013918962</v>
      </c>
      <c r="AL215" s="124">
        <f t="shared" si="44"/>
        <v>16.505156474057262</v>
      </c>
      <c r="AM215" s="124">
        <f t="shared" si="45"/>
        <v>15.905360820352332</v>
      </c>
      <c r="AN215" s="124">
        <f t="shared" si="46"/>
        <v>7.9447356745016604</v>
      </c>
      <c r="AO215" s="124">
        <f t="shared" si="47"/>
        <v>23.253914181043147</v>
      </c>
      <c r="AP215" s="3">
        <f t="shared" si="32"/>
        <v>131.10848871263389</v>
      </c>
    </row>
    <row r="216" spans="1:42" ht="14">
      <c r="A216">
        <f t="shared" si="55"/>
        <v>58</v>
      </c>
      <c r="B216" s="19">
        <f t="shared" si="55"/>
        <v>138</v>
      </c>
      <c r="C216" s="26">
        <f t="shared" si="30"/>
        <v>138.10195852099525</v>
      </c>
      <c r="D216" s="125">
        <f>(($C$39*$C$118*0.72)*D$40)*('Product half-life and C flows'!B117/100)</f>
        <v>0.27065062776586579</v>
      </c>
      <c r="E216" s="26"/>
      <c r="F216" s="54">
        <f t="shared" ref="F216:G231" si="57">F215</f>
        <v>0</v>
      </c>
      <c r="G216" s="54">
        <f t="shared" si="57"/>
        <v>0.7542108817919595</v>
      </c>
      <c r="H216" s="125">
        <f>(H$118)*('Product half-life and C flows'!L117/100)</f>
        <v>0.52091442124440801</v>
      </c>
      <c r="I216" s="125">
        <f>(($C$39*$C$118*0.28)*H$41)*('Product half-life and C flows'!N117/100)</f>
        <v>0.91891528946991041</v>
      </c>
      <c r="J216" s="125">
        <f>(($C$39*$C$118*0.28)*H$41)*(+'Product half-life and C flows'!P117/100)</f>
        <v>0.45899864608886631</v>
      </c>
      <c r="K216" s="54">
        <f t="shared" si="49"/>
        <v>1.3434381331919276</v>
      </c>
      <c r="L216" s="26"/>
      <c r="M216" s="83">
        <f>C$158*(0.4*D$14)*('Product half-life and C flows'!B77/100)</f>
        <v>4.5775958634744693</v>
      </c>
      <c r="N216" s="83">
        <f t="shared" si="31"/>
        <v>81.341567389573953</v>
      </c>
      <c r="O216" s="83">
        <f t="shared" si="56"/>
        <v>-2.5626287775264589</v>
      </c>
      <c r="P216" s="83">
        <f t="shared" si="56"/>
        <v>12.300618132127003</v>
      </c>
      <c r="Q216" s="83">
        <f>C$158*(0.6*C$15)*('Product half-life and C flows'!L77/100)</f>
        <v>15.731956658251018</v>
      </c>
      <c r="R216" s="83">
        <f>C$158*0.6*('Product half-life and C flows'!N77/100)</f>
        <v>15.15345498643368</v>
      </c>
      <c r="S216" s="83">
        <f>C$158*0.6*('Product half-life and C flows'!P77/100)</f>
        <v>7.569158334881954</v>
      </c>
      <c r="T216" s="83">
        <f t="shared" si="36"/>
        <v>21.910476047851219</v>
      </c>
      <c r="U216" s="3"/>
      <c r="V216" s="88"/>
      <c r="W216" s="88"/>
      <c r="X216" s="88"/>
      <c r="Y216" s="88"/>
      <c r="Z216" s="88"/>
      <c r="AA216" s="88"/>
      <c r="AB216" s="88"/>
      <c r="AC216" s="88"/>
      <c r="AE216">
        <f t="shared" si="53"/>
        <v>58</v>
      </c>
      <c r="AF216" s="3">
        <f t="shared" si="33"/>
        <v>29.064176413581322</v>
      </c>
      <c r="AG216" s="113">
        <f t="shared" si="54"/>
        <v>138.10195852099525</v>
      </c>
      <c r="AH216" s="124">
        <f t="shared" si="40"/>
        <v>4.8482464912403351</v>
      </c>
      <c r="AI216" s="124">
        <f t="shared" si="41"/>
        <v>81.341567389573953</v>
      </c>
      <c r="AJ216" s="124">
        <f t="shared" si="42"/>
        <v>-2.5626287775264589</v>
      </c>
      <c r="AK216" s="124">
        <f t="shared" si="43"/>
        <v>13.054829013918962</v>
      </c>
      <c r="AL216" s="124">
        <f t="shared" si="44"/>
        <v>16.252871079495428</v>
      </c>
      <c r="AM216" s="124">
        <f t="shared" si="45"/>
        <v>16.072370275903591</v>
      </c>
      <c r="AN216" s="124">
        <f t="shared" si="46"/>
        <v>8.0281569809708202</v>
      </c>
      <c r="AO216" s="124">
        <f t="shared" si="47"/>
        <v>23.253914181043147</v>
      </c>
      <c r="AP216" s="3">
        <f t="shared" si="32"/>
        <v>132.18716596233631</v>
      </c>
    </row>
    <row r="217" spans="1:42" ht="14">
      <c r="A217">
        <f t="shared" si="55"/>
        <v>59</v>
      </c>
      <c r="B217" s="19">
        <f t="shared" si="55"/>
        <v>139</v>
      </c>
      <c r="C217" s="26">
        <f t="shared" si="30"/>
        <v>138.65701759363526</v>
      </c>
      <c r="D217" s="125">
        <f>(($C$39*$C$118*0.72)*D$40)*('Product half-life and C flows'!B118/100)</f>
        <v>0.26143127380536529</v>
      </c>
      <c r="E217" s="26"/>
      <c r="F217" s="54">
        <f t="shared" si="57"/>
        <v>0</v>
      </c>
      <c r="G217" s="54">
        <f t="shared" si="57"/>
        <v>0.7542108817919595</v>
      </c>
      <c r="H217" s="125">
        <f>(H$118)*('Product half-life and C flows'!L118/100)</f>
        <v>0.51295211561566934</v>
      </c>
      <c r="I217" s="125">
        <f>(($C$39*$C$118*0.28)*H$41)*('Product half-life and C flows'!N118/100)</f>
        <v>0.92290042343709422</v>
      </c>
      <c r="J217" s="125">
        <f>(($C$39*$C$118*0.28)*H$41)*(+'Product half-life and C flows'!P118/100)</f>
        <v>0.46098922249605095</v>
      </c>
      <c r="K217" s="54">
        <f t="shared" si="49"/>
        <v>1.3434381331919276</v>
      </c>
      <c r="L217" s="26"/>
      <c r="M217" s="83">
        <f>C$158*(0.4*D$14)*('Product half-life and C flows'!B78/100)</f>
        <v>4.4216661436660845</v>
      </c>
      <c r="N217" s="83">
        <f t="shared" si="31"/>
        <v>82.388824727217184</v>
      </c>
      <c r="O217" s="83">
        <f t="shared" si="56"/>
        <v>-2.5626287775264589</v>
      </c>
      <c r="P217" s="83">
        <f t="shared" si="56"/>
        <v>12.300618132127003</v>
      </c>
      <c r="Q217" s="83">
        <f>C$158*(0.6*C$15)*('Product half-life and C flows'!L78/100)</f>
        <v>15.491489813904833</v>
      </c>
      <c r="R217" s="83">
        <f>C$158*0.6*('Product half-life and C flows'!N78/100)</f>
        <v>15.313926527227368</v>
      </c>
      <c r="S217" s="83">
        <f>C$158*0.6*('Product half-life and C flows'!P78/100)</f>
        <v>7.6493139496640161</v>
      </c>
      <c r="T217" s="83">
        <f t="shared" si="36"/>
        <v>21.910476047851219</v>
      </c>
      <c r="U217" s="3"/>
      <c r="V217" s="88"/>
      <c r="W217" s="88"/>
      <c r="X217" s="88"/>
      <c r="Y217" s="88"/>
      <c r="Z217" s="88"/>
      <c r="AA217" s="88"/>
      <c r="AB217" s="88"/>
      <c r="AC217" s="88"/>
      <c r="AE217">
        <f t="shared" si="53"/>
        <v>59</v>
      </c>
      <c r="AF217" s="3">
        <f t="shared" si="33"/>
        <v>29.438372202874429</v>
      </c>
      <c r="AG217" s="113">
        <f t="shared" si="54"/>
        <v>138.65701759363526</v>
      </c>
      <c r="AH217" s="124">
        <f t="shared" ref="AH217:AH248" si="58">D217+M217+V217</f>
        <v>4.6830974174714495</v>
      </c>
      <c r="AI217" s="124">
        <f t="shared" ref="AI217:AI248" si="59">E217+N217+W217</f>
        <v>82.388824727217184</v>
      </c>
      <c r="AJ217" s="124">
        <f t="shared" ref="AJ217:AJ248" si="60">F217+O217+X217</f>
        <v>-2.5626287775264589</v>
      </c>
      <c r="AK217" s="124">
        <f t="shared" ref="AK217:AK248" si="61">G217+P217+Y217</f>
        <v>13.054829013918962</v>
      </c>
      <c r="AL217" s="124">
        <f t="shared" ref="AL217:AL248" si="62">H217+Q217+Z217</f>
        <v>16.004441929520503</v>
      </c>
      <c r="AM217" s="124">
        <f t="shared" ref="AM217:AM248" si="63">I217+R217+AA217</f>
        <v>16.236826950664462</v>
      </c>
      <c r="AN217" s="124">
        <f t="shared" ref="AN217:AN248" si="64">J217+S217+AB217</f>
        <v>8.1103031721600676</v>
      </c>
      <c r="AO217" s="124">
        <f t="shared" ref="AO217:AO280" si="65">K217+T217+AC217</f>
        <v>23.253914181043147</v>
      </c>
      <c r="AP217" s="3">
        <f t="shared" si="32"/>
        <v>133.23259701595472</v>
      </c>
    </row>
    <row r="218" spans="1:42" ht="14">
      <c r="A218">
        <f t="shared" si="55"/>
        <v>60</v>
      </c>
      <c r="B218" s="19">
        <f t="shared" si="55"/>
        <v>140</v>
      </c>
      <c r="C218" s="26">
        <f t="shared" si="30"/>
        <v>139.20252719561401</v>
      </c>
      <c r="D218" s="125">
        <f>(($C$39*$C$118*0.72)*D$40)*('Product half-life and C flows'!B119/100)</f>
        <v>0.25252596488570067</v>
      </c>
      <c r="E218" s="26"/>
      <c r="F218" s="54">
        <f t="shared" si="57"/>
        <v>0</v>
      </c>
      <c r="G218" s="54">
        <f t="shared" si="57"/>
        <v>0.7542108817919595</v>
      </c>
      <c r="H218" s="125">
        <f>(H$118)*('Product half-life and C flows'!L119/100)</f>
        <v>0.5051115157956777</v>
      </c>
      <c r="I218" s="125">
        <f>(($C$39*$C$118*0.28)*H$41)*('Product half-life and C flows'!N119/100)</f>
        <v>0.9268246436469999</v>
      </c>
      <c r="J218" s="125">
        <f>(($C$39*$C$118*0.28)*H$41)*(+'Product half-life and C flows'!P119/100)</f>
        <v>0.46294937245104889</v>
      </c>
      <c r="K218" s="54">
        <f t="shared" si="49"/>
        <v>1.3434381331919276</v>
      </c>
      <c r="L218" s="26"/>
      <c r="M218" s="83">
        <f>C$158*(0.4*D$14)*('Product half-life and C flows'!B79/100)</f>
        <v>4.271047962544098</v>
      </c>
      <c r="N218" s="83">
        <f t="shared" si="31"/>
        <v>83.403448969491279</v>
      </c>
      <c r="O218" s="83">
        <f t="shared" si="56"/>
        <v>-2.5626287775264589</v>
      </c>
      <c r="P218" s="83">
        <f t="shared" si="56"/>
        <v>12.300618132127003</v>
      </c>
      <c r="Q218" s="83">
        <f>C$158*(0.6*C$15)*('Product half-life and C flows'!L79/100)</f>
        <v>15.254698564685556</v>
      </c>
      <c r="R218" s="83">
        <f>C$158*0.6*('Product half-life and C flows'!N79/100)</f>
        <v>15.471945220873032</v>
      </c>
      <c r="S218" s="83">
        <f>C$158*0.6*('Product half-life and C flows'!P79/100)</f>
        <v>7.7282443660704416</v>
      </c>
      <c r="T218" s="83">
        <f t="shared" si="36"/>
        <v>21.910476047851219</v>
      </c>
      <c r="U218" s="3"/>
      <c r="V218" s="88"/>
      <c r="W218" s="88"/>
      <c r="X218" s="88"/>
      <c r="Y218" s="88"/>
      <c r="Z218" s="88"/>
      <c r="AA218" s="88"/>
      <c r="AB218" s="88"/>
      <c r="AC218" s="88"/>
      <c r="AE218">
        <f t="shared" si="53"/>
        <v>60</v>
      </c>
      <c r="AF218" s="3">
        <f t="shared" si="33"/>
        <v>29.800907852448479</v>
      </c>
      <c r="AG218" s="113">
        <f t="shared" si="54"/>
        <v>139.20252719561401</v>
      </c>
      <c r="AH218" s="124">
        <f t="shared" si="58"/>
        <v>4.5235739274297986</v>
      </c>
      <c r="AI218" s="124">
        <f t="shared" si="59"/>
        <v>83.403448969491279</v>
      </c>
      <c r="AJ218" s="124">
        <f t="shared" si="60"/>
        <v>-2.5626287775264589</v>
      </c>
      <c r="AK218" s="124">
        <f t="shared" si="61"/>
        <v>13.054829013918962</v>
      </c>
      <c r="AL218" s="124">
        <f t="shared" si="62"/>
        <v>15.759810080481234</v>
      </c>
      <c r="AM218" s="124">
        <f t="shared" si="63"/>
        <v>16.39876986452003</v>
      </c>
      <c r="AN218" s="124">
        <f t="shared" si="64"/>
        <v>8.1911937385214912</v>
      </c>
      <c r="AO218" s="124">
        <f t="shared" si="65"/>
        <v>23.253914181043147</v>
      </c>
      <c r="AP218" s="3">
        <f t="shared" si="32"/>
        <v>134.24542288940654</v>
      </c>
    </row>
    <row r="219" spans="1:42" ht="14">
      <c r="A219">
        <f t="shared" si="55"/>
        <v>61</v>
      </c>
      <c r="B219" s="19">
        <f t="shared" si="55"/>
        <v>141</v>
      </c>
      <c r="C219" s="26">
        <f t="shared" si="30"/>
        <v>139.73862171370757</v>
      </c>
      <c r="D219" s="125">
        <f>(($C$39*$C$118*0.72)*D$40)*('Product half-life and C flows'!B120/100)</f>
        <v>0.24392400347989826</v>
      </c>
      <c r="E219" s="26"/>
      <c r="F219" s="54">
        <f t="shared" si="57"/>
        <v>0</v>
      </c>
      <c r="G219" s="54">
        <f t="shared" si="57"/>
        <v>0.7542108817919595</v>
      </c>
      <c r="H219" s="125">
        <f>(H$118)*('Product half-life and C flows'!L120/100)</f>
        <v>0.49739076148107692</v>
      </c>
      <c r="I219" s="125">
        <f>(($C$39*$C$118*0.28)*H$41)*('Product half-life and C flows'!N120/100)</f>
        <v>0.93068888118145765</v>
      </c>
      <c r="J219" s="125">
        <f>(($C$39*$C$118*0.28)*H$41)*(+'Product half-life and C flows'!P120/100)</f>
        <v>0.46487956102969907</v>
      </c>
      <c r="K219" s="54">
        <f t="shared" si="49"/>
        <v>1.3434381331919276</v>
      </c>
      <c r="L219" s="26"/>
      <c r="M219" s="83">
        <f>C$158*(0.4*D$14)*('Product half-life and C flows'!B80/100)</f>
        <v>4.1255603896017883</v>
      </c>
      <c r="N219" s="83">
        <f t="shared" si="31"/>
        <v>84.386103349369861</v>
      </c>
      <c r="O219" s="83">
        <f t="shared" si="56"/>
        <v>-2.5626287775264589</v>
      </c>
      <c r="P219" s="83">
        <f t="shared" si="56"/>
        <v>12.300618132127003</v>
      </c>
      <c r="Q219" s="83">
        <f>C$158*(0.6*C$15)*('Product half-life and C flows'!L80/100)</f>
        <v>15.021526728213562</v>
      </c>
      <c r="R219" s="83">
        <f>C$158*0.6*('Product half-life and C flows'!N80/100)</f>
        <v>15.627548559745344</v>
      </c>
      <c r="S219" s="83">
        <f>C$158*0.6*('Product half-life and C flows'!P80/100)</f>
        <v>7.8059683115611076</v>
      </c>
      <c r="T219" s="83">
        <f t="shared" si="36"/>
        <v>21.910476047851219</v>
      </c>
      <c r="U219" s="3"/>
      <c r="V219" s="88"/>
      <c r="W219" s="88"/>
      <c r="X219" s="88"/>
      <c r="Y219" s="88"/>
      <c r="Z219" s="88"/>
      <c r="AA219" s="88"/>
      <c r="AB219" s="88"/>
      <c r="AC219" s="88"/>
      <c r="AE219">
        <f t="shared" si="53"/>
        <v>61</v>
      </c>
      <c r="AF219" s="3">
        <f t="shared" si="33"/>
        <v>30.152020342248253</v>
      </c>
      <c r="AG219" s="113">
        <f t="shared" si="54"/>
        <v>139.73862171370757</v>
      </c>
      <c r="AH219" s="124">
        <f t="shared" si="58"/>
        <v>4.3694843930816862</v>
      </c>
      <c r="AI219" s="124">
        <f t="shared" si="59"/>
        <v>84.386103349369861</v>
      </c>
      <c r="AJ219" s="124">
        <f t="shared" si="60"/>
        <v>-2.5626287775264589</v>
      </c>
      <c r="AK219" s="124">
        <f t="shared" si="61"/>
        <v>13.054829013918962</v>
      </c>
      <c r="AL219" s="124">
        <f t="shared" si="62"/>
        <v>15.518917489694639</v>
      </c>
      <c r="AM219" s="124">
        <f t="shared" si="63"/>
        <v>16.558237440926803</v>
      </c>
      <c r="AN219" s="124">
        <f t="shared" si="64"/>
        <v>8.2708478725908066</v>
      </c>
      <c r="AO219" s="124">
        <f t="shared" si="65"/>
        <v>23.253914181043147</v>
      </c>
      <c r="AP219" s="3">
        <f t="shared" si="32"/>
        <v>135.22630638897462</v>
      </c>
    </row>
    <row r="220" spans="1:42" ht="14">
      <c r="A220">
        <f t="shared" si="55"/>
        <v>62</v>
      </c>
      <c r="B220" s="19">
        <f t="shared" si="55"/>
        <v>142</v>
      </c>
      <c r="C220" s="26">
        <f t="shared" si="30"/>
        <v>140.26543491304204</v>
      </c>
      <c r="D220" s="125">
        <f>(($C$39*$C$118*0.72)*D$40)*('Product half-life and C flows'!B121/100)</f>
        <v>0.23561505645802419</v>
      </c>
      <c r="E220" s="26"/>
      <c r="F220" s="54">
        <f t="shared" si="57"/>
        <v>0</v>
      </c>
      <c r="G220" s="54">
        <f t="shared" si="57"/>
        <v>0.7542108817919595</v>
      </c>
      <c r="H220" s="125">
        <f>(H$118)*('Product half-life and C flows'!L121/100)</f>
        <v>0.48978802080370726</v>
      </c>
      <c r="I220" s="125">
        <f>(($C$39*$C$118*0.28)*H$41)*('Product half-life and C flows'!N121/100)</f>
        <v>0.93449405289048115</v>
      </c>
      <c r="J220" s="125">
        <f>(($C$39*$C$118*0.28)*H$41)*(+'Product half-life and C flows'!P121/100)</f>
        <v>0.4667802461990414</v>
      </c>
      <c r="K220" s="54">
        <f t="shared" si="49"/>
        <v>1.3434381331919276</v>
      </c>
      <c r="L220" s="26"/>
      <c r="M220" s="83">
        <f>C$158*(0.4*D$14)*('Product half-life and C flows'!B81/100)</f>
        <v>3.9850286574897065</v>
      </c>
      <c r="N220" s="83">
        <f t="shared" si="31"/>
        <v>85.337468879830681</v>
      </c>
      <c r="O220" s="83">
        <f t="shared" si="56"/>
        <v>-2.5626287775264589</v>
      </c>
      <c r="P220" s="83">
        <f t="shared" si="56"/>
        <v>12.300618132127003</v>
      </c>
      <c r="Q220" s="83">
        <f>C$158*(0.6*C$15)*('Product half-life and C flows'!L81/100)</f>
        <v>14.79191898087077</v>
      </c>
      <c r="R220" s="83">
        <f>C$158*0.6*('Product half-life and C flows'!N81/100)</f>
        <v>15.780773463138765</v>
      </c>
      <c r="S220" s="83">
        <f>C$158*0.6*('Product half-life and C flows'!P81/100)</f>
        <v>7.8825042273420367</v>
      </c>
      <c r="T220" s="83">
        <f t="shared" si="36"/>
        <v>21.910476047851219</v>
      </c>
      <c r="U220" s="3"/>
      <c r="V220" s="88"/>
      <c r="W220" s="88"/>
      <c r="X220" s="88"/>
      <c r="Y220" s="88"/>
      <c r="Z220" s="88"/>
      <c r="AA220" s="88"/>
      <c r="AB220" s="88"/>
      <c r="AC220" s="88"/>
      <c r="AE220">
        <f t="shared" si="53"/>
        <v>62</v>
      </c>
      <c r="AF220" s="3">
        <f t="shared" si="33"/>
        <v>30.491953005196397</v>
      </c>
      <c r="AG220" s="113">
        <f t="shared" si="54"/>
        <v>140.26543491304204</v>
      </c>
      <c r="AH220" s="124">
        <f t="shared" si="58"/>
        <v>4.2206437139477311</v>
      </c>
      <c r="AI220" s="124">
        <f t="shared" si="59"/>
        <v>85.337468879830681</v>
      </c>
      <c r="AJ220" s="124">
        <f t="shared" si="60"/>
        <v>-2.5626287775264589</v>
      </c>
      <c r="AK220" s="124">
        <f t="shared" si="61"/>
        <v>13.054829013918962</v>
      </c>
      <c r="AL220" s="124">
        <f t="shared" si="62"/>
        <v>15.281707001674478</v>
      </c>
      <c r="AM220" s="124">
        <f t="shared" si="63"/>
        <v>16.715267516029247</v>
      </c>
      <c r="AN220" s="124">
        <f t="shared" si="64"/>
        <v>8.3492844735410774</v>
      </c>
      <c r="AO220" s="124">
        <f t="shared" si="65"/>
        <v>23.253914181043147</v>
      </c>
      <c r="AP220" s="3">
        <f t="shared" si="32"/>
        <v>136.175928107468</v>
      </c>
    </row>
    <row r="221" spans="1:42" ht="14">
      <c r="A221">
        <f t="shared" si="55"/>
        <v>63</v>
      </c>
      <c r="B221" s="19">
        <f t="shared" si="55"/>
        <v>143</v>
      </c>
      <c r="C221" s="26">
        <f t="shared" si="30"/>
        <v>140.78309987558936</v>
      </c>
      <c r="D221" s="125">
        <f>(($C$39*$C$118*0.72)*D$40)*('Product half-life and C flows'!B122/100)</f>
        <v>0.22758914267448399</v>
      </c>
      <c r="E221" s="26"/>
      <c r="F221" s="54">
        <f t="shared" si="57"/>
        <v>0</v>
      </c>
      <c r="G221" s="54">
        <f t="shared" si="57"/>
        <v>0.7542108817919595</v>
      </c>
      <c r="H221" s="125">
        <f>(H$118)*('Product half-life and C flows'!L122/100)</f>
        <v>0.48230148989596666</v>
      </c>
      <c r="I221" s="125">
        <f>(($C$39*$C$118*0.28)*H$41)*('Product half-life and C flows'!N122/100)</f>
        <v>0.93824106160980525</v>
      </c>
      <c r="J221" s="125">
        <f>(($C$39*$C$118*0.28)*H$41)*(+'Product half-life and C flows'!P122/100)</f>
        <v>0.46865187892597659</v>
      </c>
      <c r="K221" s="54">
        <f t="shared" si="49"/>
        <v>1.3434381331919276</v>
      </c>
      <c r="L221" s="26"/>
      <c r="M221" s="83">
        <f>C$158*(0.4*D$14)*('Product half-life and C flows'!B82/100)</f>
        <v>3.849283952075913</v>
      </c>
      <c r="N221" s="83">
        <f t="shared" si="31"/>
        <v>86.258240697357081</v>
      </c>
      <c r="O221" s="83">
        <f t="shared" si="56"/>
        <v>-2.5626287775264589</v>
      </c>
      <c r="P221" s="83">
        <f t="shared" si="56"/>
        <v>12.300618132127003</v>
      </c>
      <c r="Q221" s="83">
        <f>C$158*(0.6*C$15)*('Product half-life and C flows'!L82/100)</f>
        <v>14.565820844674287</v>
      </c>
      <c r="R221" s="83">
        <f>C$158*0.6*('Product half-life and C flows'!N82/100)</f>
        <v>15.93165628602722</v>
      </c>
      <c r="S221" s="83">
        <f>C$158*0.6*('Product half-life and C flows'!P82/100)</f>
        <v>7.9578702727408652</v>
      </c>
      <c r="T221" s="83">
        <f t="shared" si="36"/>
        <v>21.910476047851219</v>
      </c>
      <c r="U221" s="3"/>
      <c r="V221" s="88"/>
      <c r="W221" s="88"/>
      <c r="X221" s="88"/>
      <c r="Y221" s="88"/>
      <c r="Z221" s="88"/>
      <c r="AA221" s="88"/>
      <c r="AB221" s="88"/>
      <c r="AC221" s="88"/>
      <c r="AE221">
        <f t="shared" si="53"/>
        <v>63</v>
      </c>
      <c r="AF221" s="3">
        <f t="shared" si="33"/>
        <v>30.820954220688975</v>
      </c>
      <c r="AG221" s="113">
        <f t="shared" si="54"/>
        <v>140.78309987558936</v>
      </c>
      <c r="AH221" s="124">
        <f t="shared" si="58"/>
        <v>4.0768730947503968</v>
      </c>
      <c r="AI221" s="124">
        <f t="shared" si="59"/>
        <v>86.258240697357081</v>
      </c>
      <c r="AJ221" s="124">
        <f t="shared" si="60"/>
        <v>-2.5626287775264589</v>
      </c>
      <c r="AK221" s="124">
        <f t="shared" si="61"/>
        <v>13.054829013918962</v>
      </c>
      <c r="AL221" s="124">
        <f t="shared" si="62"/>
        <v>15.048122334570253</v>
      </c>
      <c r="AM221" s="124">
        <f t="shared" si="63"/>
        <v>16.869897347637025</v>
      </c>
      <c r="AN221" s="124">
        <f t="shared" si="64"/>
        <v>8.4265221516668412</v>
      </c>
      <c r="AO221" s="124">
        <f t="shared" si="65"/>
        <v>23.253914181043147</v>
      </c>
      <c r="AP221" s="3">
        <f t="shared" si="32"/>
        <v>137.09498276762369</v>
      </c>
    </row>
    <row r="222" spans="1:42" ht="14">
      <c r="A222">
        <f t="shared" si="55"/>
        <v>64</v>
      </c>
      <c r="B222" s="19">
        <f t="shared" si="55"/>
        <v>144</v>
      </c>
      <c r="C222" s="26">
        <f t="shared" ref="C222:C285" si="66">B$8*(1-EXP(-B$9*$B222))^3</f>
        <v>141.29174894241757</v>
      </c>
      <c r="D222" s="125">
        <f>(($C$39*$C$118*0.72)*D$40)*('Product half-life and C flows'!B123/100)</f>
        <v>0.21983662097814399</v>
      </c>
      <c r="E222" s="26"/>
      <c r="F222" s="54">
        <f t="shared" si="57"/>
        <v>0</v>
      </c>
      <c r="G222" s="54">
        <f t="shared" si="57"/>
        <v>0.7542108817919595</v>
      </c>
      <c r="H222" s="125">
        <f>(H$118)*('Product half-life and C flows'!L123/100)</f>
        <v>0.4749293924628149</v>
      </c>
      <c r="I222" s="125">
        <f>(($C$39*$C$118*0.28)*H$41)*('Product half-life and C flows'!N123/100)</f>
        <v>0.94193079637509769</v>
      </c>
      <c r="J222" s="125">
        <f>(($C$39*$C$118*0.28)*H$41)*(+'Product half-life and C flows'!P123/100)</f>
        <v>0.47049490328426452</v>
      </c>
      <c r="K222" s="54">
        <f t="shared" si="49"/>
        <v>1.3434381331919276</v>
      </c>
      <c r="L222" s="26"/>
      <c r="M222" s="83">
        <f>C$158*(0.4*D$14)*('Product half-life and C flows'!B83/100)</f>
        <v>3.7181632096575283</v>
      </c>
      <c r="N222" s="83">
        <f t="shared" ref="N222:N238" si="67">C$8*(1-EXP(-C$9*$B142))^3</f>
        <v>87.149124730306028</v>
      </c>
      <c r="O222" s="83">
        <f t="shared" si="56"/>
        <v>-2.5626287775264589</v>
      </c>
      <c r="P222" s="83">
        <f t="shared" si="56"/>
        <v>12.300618132127003</v>
      </c>
      <c r="Q222" s="83">
        <f>C$158*(0.6*C$15)*('Product half-life and C flows'!L83/100)</f>
        <v>14.343178674350629</v>
      </c>
      <c r="R222" s="83">
        <f>C$158*0.6*('Product half-life and C flows'!N83/100)</f>
        <v>16.080232827689873</v>
      </c>
      <c r="S222" s="83">
        <f>C$158*0.6*('Product half-life and C flows'!P83/100)</f>
        <v>8.0320843295154187</v>
      </c>
      <c r="T222" s="83">
        <f t="shared" si="36"/>
        <v>21.910476047851219</v>
      </c>
      <c r="U222" s="3"/>
      <c r="V222" s="88"/>
      <c r="W222" s="88"/>
      <c r="X222" s="88"/>
      <c r="Y222" s="88"/>
      <c r="Z222" s="88"/>
      <c r="AA222" s="88"/>
      <c r="AB222" s="88"/>
      <c r="AC222" s="88"/>
      <c r="AE222">
        <f t="shared" si="53"/>
        <v>64</v>
      </c>
      <c r="AF222" s="3">
        <f t="shared" si="33"/>
        <v>31.139276224169201</v>
      </c>
      <c r="AG222" s="113">
        <f t="shared" si="54"/>
        <v>141.29174894241757</v>
      </c>
      <c r="AH222" s="124">
        <f t="shared" si="58"/>
        <v>3.9379998306356723</v>
      </c>
      <c r="AI222" s="124">
        <f t="shared" si="59"/>
        <v>87.149124730306028</v>
      </c>
      <c r="AJ222" s="124">
        <f t="shared" si="60"/>
        <v>-2.5626287775264589</v>
      </c>
      <c r="AK222" s="124">
        <f t="shared" si="61"/>
        <v>13.054829013918962</v>
      </c>
      <c r="AL222" s="124">
        <f t="shared" si="62"/>
        <v>14.818108066813444</v>
      </c>
      <c r="AM222" s="124">
        <f t="shared" si="63"/>
        <v>17.022163624064969</v>
      </c>
      <c r="AN222" s="124">
        <f t="shared" si="64"/>
        <v>8.5025792327996825</v>
      </c>
      <c r="AO222" s="124">
        <f t="shared" si="65"/>
        <v>23.253914181043147</v>
      </c>
      <c r="AP222" s="3">
        <f t="shared" ref="AP222:AP285" si="68">SUM(AI222:AN222)</f>
        <v>137.98417589037663</v>
      </c>
    </row>
    <row r="223" spans="1:42" ht="14">
      <c r="A223">
        <f t="shared" si="55"/>
        <v>65</v>
      </c>
      <c r="B223" s="19">
        <f t="shared" si="55"/>
        <v>145</v>
      </c>
      <c r="C223" s="26">
        <f t="shared" si="66"/>
        <v>141.79151365954192</v>
      </c>
      <c r="D223" s="125">
        <f>(($C$39*$C$118*0.72)*D$40)*('Product half-life and C flows'!B124/100)</f>
        <v>0.21234817863087108</v>
      </c>
      <c r="E223" s="26"/>
      <c r="F223" s="54">
        <f t="shared" si="57"/>
        <v>0</v>
      </c>
      <c r="G223" s="54">
        <f t="shared" si="57"/>
        <v>0.7542108817919595</v>
      </c>
      <c r="H223" s="125">
        <f>(H$118)*('Product half-life and C flows'!L124/100)</f>
        <v>0.46766997936032023</v>
      </c>
      <c r="I223" s="125">
        <f>(($C$39*$C$118*0.28)*H$41)*('Product half-life and C flows'!N124/100)</f>
        <v>0.94556413263289629</v>
      </c>
      <c r="J223" s="125">
        <f>(($C$39*$C$118*0.28)*H$41)*(+'Product half-life and C flows'!P124/100)</f>
        <v>0.47230975655988816</v>
      </c>
      <c r="K223" s="54">
        <f t="shared" si="49"/>
        <v>1.3434381331919276</v>
      </c>
      <c r="L223" s="26"/>
      <c r="M223" s="83">
        <f>C$158*(0.4*D$14)*('Product half-life and C flows'!B84/100)</f>
        <v>3.5915089210800142</v>
      </c>
      <c r="N223" s="83">
        <f t="shared" si="67"/>
        <v>88.010834670654972</v>
      </c>
      <c r="O223" s="83">
        <f t="shared" si="56"/>
        <v>-2.5626287775264589</v>
      </c>
      <c r="P223" s="83">
        <f t="shared" si="56"/>
        <v>12.300618132127003</v>
      </c>
      <c r="Q223" s="83">
        <f>C$158*(0.6*C$15)*('Product half-life and C flows'!L84/100)</f>
        <v>14.12393964460758</v>
      </c>
      <c r="R223" s="83">
        <f>C$158*0.6*('Product half-life and C flows'!N84/100)</f>
        <v>16.226538340205067</v>
      </c>
      <c r="S223" s="83">
        <f>C$158*0.6*('Product half-life and C flows'!P84/100)</f>
        <v>8.1051640060964338</v>
      </c>
      <c r="T223" s="83">
        <f t="shared" si="36"/>
        <v>21.910476047851219</v>
      </c>
      <c r="U223" s="3"/>
      <c r="V223" s="88"/>
      <c r="W223" s="88"/>
      <c r="X223" s="88"/>
      <c r="Y223" s="88"/>
      <c r="Z223" s="88"/>
      <c r="AA223" s="88"/>
      <c r="AB223" s="88"/>
      <c r="AC223" s="88"/>
      <c r="AE223">
        <f t="shared" si="53"/>
        <v>65</v>
      </c>
      <c r="AF223" s="3">
        <f t="shared" ref="AF223:AF286" si="69">D$8*(1-EXP(-D$9*$B143))^3</f>
        <v>31.447174025101525</v>
      </c>
      <c r="AG223" s="113">
        <f t="shared" si="54"/>
        <v>141.79151365954192</v>
      </c>
      <c r="AH223" s="124">
        <f t="shared" si="58"/>
        <v>3.8038570997108851</v>
      </c>
      <c r="AI223" s="124">
        <f t="shared" si="59"/>
        <v>88.010834670654972</v>
      </c>
      <c r="AJ223" s="124">
        <f t="shared" si="60"/>
        <v>-2.5626287775264589</v>
      </c>
      <c r="AK223" s="124">
        <f t="shared" si="61"/>
        <v>13.054829013918962</v>
      </c>
      <c r="AL223" s="124">
        <f t="shared" si="62"/>
        <v>14.5916096239679</v>
      </c>
      <c r="AM223" s="124">
        <f t="shared" si="63"/>
        <v>17.172102472837963</v>
      </c>
      <c r="AN223" s="124">
        <f t="shared" si="64"/>
        <v>8.5774737626563216</v>
      </c>
      <c r="AO223" s="124">
        <f t="shared" si="65"/>
        <v>23.253914181043147</v>
      </c>
      <c r="AP223" s="3">
        <f t="shared" si="68"/>
        <v>138.84422076650966</v>
      </c>
    </row>
    <row r="224" spans="1:42" ht="14">
      <c r="A224">
        <f t="shared" ref="A224:B238" si="70">A223+1</f>
        <v>66</v>
      </c>
      <c r="B224" s="19">
        <f t="shared" si="70"/>
        <v>146</v>
      </c>
      <c r="C224" s="26">
        <f t="shared" si="66"/>
        <v>142.28252472722863</v>
      </c>
      <c r="D224" s="125">
        <f>(($C$39*$C$118*0.72)*D$40)*('Product half-life and C flows'!B125/100)</f>
        <v>0.20511482012058105</v>
      </c>
      <c r="E224" s="26"/>
      <c r="F224" s="54">
        <f t="shared" si="57"/>
        <v>0</v>
      </c>
      <c r="G224" s="54">
        <f t="shared" si="57"/>
        <v>0.7542108817919595</v>
      </c>
      <c r="H224" s="125">
        <f>(H$118)*('Product half-life and C flows'!L125/100)</f>
        <v>0.46052152818064823</v>
      </c>
      <c r="I224" s="125">
        <f>(($C$39*$C$118*0.28)*H$41)*('Product half-life and C flows'!N125/100)</f>
        <v>0.94914193244832212</v>
      </c>
      <c r="J224" s="125">
        <f>(($C$39*$C$118*0.28)*H$41)*(+'Product half-life and C flows'!P125/100)</f>
        <v>0.47409686935480616</v>
      </c>
      <c r="K224" s="54">
        <f t="shared" si="49"/>
        <v>1.3434381331919276</v>
      </c>
      <c r="L224" s="26"/>
      <c r="M224" s="83">
        <f>C$158*(0.4*D$14)*('Product half-life and C flows'!B85/100)</f>
        <v>3.4691689425288614</v>
      </c>
      <c r="N224" s="83">
        <f t="shared" si="67"/>
        <v>88.84408922856835</v>
      </c>
      <c r="O224" s="83">
        <f t="shared" ref="O224:P238" si="71">O223</f>
        <v>-2.5626287775264589</v>
      </c>
      <c r="P224" s="83">
        <f t="shared" si="71"/>
        <v>12.300618132127003</v>
      </c>
      <c r="Q224" s="83">
        <f>C$158*(0.6*C$15)*('Product half-life and C flows'!L85/100)</f>
        <v>13.908051737600571</v>
      </c>
      <c r="R224" s="83">
        <f>C$158*0.6*('Product half-life and C flows'!N85/100)</f>
        <v>16.370607536814411</v>
      </c>
      <c r="S224" s="83">
        <f>C$158*0.6*('Product half-life and C flows'!P85/100)</f>
        <v>8.1771266417654367</v>
      </c>
      <c r="T224" s="83">
        <f t="shared" ref="T224:T238" si="72">T223</f>
        <v>21.910476047851219</v>
      </c>
      <c r="U224" s="3"/>
      <c r="V224" s="88"/>
      <c r="W224" s="88"/>
      <c r="X224" s="88"/>
      <c r="Y224" s="88"/>
      <c r="Z224" s="88"/>
      <c r="AA224" s="88"/>
      <c r="AB224" s="88"/>
      <c r="AC224" s="88"/>
      <c r="AE224">
        <f t="shared" si="53"/>
        <v>66</v>
      </c>
      <c r="AF224" s="3">
        <f t="shared" si="69"/>
        <v>31.744904426000087</v>
      </c>
      <c r="AG224" s="113">
        <f t="shared" si="54"/>
        <v>142.28252472722863</v>
      </c>
      <c r="AH224" s="124">
        <f t="shared" si="58"/>
        <v>3.6742837626494427</v>
      </c>
      <c r="AI224" s="124">
        <f t="shared" si="59"/>
        <v>88.84408922856835</v>
      </c>
      <c r="AJ224" s="124">
        <f t="shared" si="60"/>
        <v>-2.5626287775264589</v>
      </c>
      <c r="AK224" s="124">
        <f t="shared" si="61"/>
        <v>13.054829013918962</v>
      </c>
      <c r="AL224" s="124">
        <f t="shared" si="62"/>
        <v>14.368573265781219</v>
      </c>
      <c r="AM224" s="124">
        <f t="shared" si="63"/>
        <v>17.319749469262732</v>
      </c>
      <c r="AN224" s="124">
        <f t="shared" si="64"/>
        <v>8.6512235111202429</v>
      </c>
      <c r="AO224" s="124">
        <f t="shared" si="65"/>
        <v>23.253914181043147</v>
      </c>
      <c r="AP224" s="3">
        <f t="shared" si="68"/>
        <v>139.67583571112505</v>
      </c>
    </row>
    <row r="225" spans="1:42" ht="14">
      <c r="A225">
        <f t="shared" si="70"/>
        <v>67</v>
      </c>
      <c r="B225" s="19">
        <f t="shared" si="70"/>
        <v>147</v>
      </c>
      <c r="C225" s="26">
        <f t="shared" si="66"/>
        <v>142.76491195260849</v>
      </c>
      <c r="D225" s="125">
        <f>(($C$39*$C$118*0.72)*D$40)*('Product half-life and C flows'!B126/100)</f>
        <v>0.19812785635535413</v>
      </c>
      <c r="E225" s="26"/>
      <c r="F225" s="54">
        <f t="shared" si="57"/>
        <v>0</v>
      </c>
      <c r="G225" s="54">
        <f t="shared" si="57"/>
        <v>0.7542108817919595</v>
      </c>
      <c r="H225" s="125">
        <f>(H$118)*('Product half-life and C flows'!L126/100)</f>
        <v>0.45348234284339384</v>
      </c>
      <c r="I225" s="125">
        <f>(($C$39*$C$118*0.28)*H$41)*('Product half-life and C flows'!N126/100)</f>
        <v>0.95266504470961788</v>
      </c>
      <c r="J225" s="125">
        <f>(($C$39*$C$118*0.28)*H$41)*(+'Product half-life and C flows'!P126/100)</f>
        <v>0.47585666568911972</v>
      </c>
      <c r="K225" s="54">
        <f t="shared" si="49"/>
        <v>1.3434381331919276</v>
      </c>
      <c r="L225" s="26"/>
      <c r="M225" s="83">
        <f>C$158*(0.4*D$14)*('Product half-life and C flows'!B86/100)</f>
        <v>3.3509963127664171</v>
      </c>
      <c r="N225" s="83">
        <f t="shared" si="67"/>
        <v>89.649609650172877</v>
      </c>
      <c r="O225" s="83">
        <f t="shared" si="71"/>
        <v>-2.5626287775264589</v>
      </c>
      <c r="P225" s="83">
        <f t="shared" si="71"/>
        <v>12.300618132127003</v>
      </c>
      <c r="Q225" s="83">
        <f>C$158*(0.6*C$15)*('Product half-life and C flows'!L86/100)</f>
        <v>13.695463730590637</v>
      </c>
      <c r="R225" s="83">
        <f>C$158*0.6*('Product half-life and C flows'!N86/100)</f>
        <v>16.512474600159042</v>
      </c>
      <c r="S225" s="83">
        <f>C$158*0.6*('Product half-life and C flows'!P86/100)</f>
        <v>8.2479893107687499</v>
      </c>
      <c r="T225" s="83">
        <f t="shared" si="72"/>
        <v>21.910476047851219</v>
      </c>
      <c r="U225" s="3"/>
      <c r="V225" s="88"/>
      <c r="W225" s="88"/>
      <c r="X225" s="88"/>
      <c r="Y225" s="88"/>
      <c r="Z225" s="88"/>
      <c r="AA225" s="88"/>
      <c r="AB225" s="88"/>
      <c r="AC225" s="88"/>
      <c r="AE225">
        <f t="shared" si="53"/>
        <v>67</v>
      </c>
      <c r="AF225" s="3">
        <f t="shared" si="69"/>
        <v>32.03272513550435</v>
      </c>
      <c r="AG225" s="113">
        <f t="shared" si="54"/>
        <v>142.76491195260849</v>
      </c>
      <c r="AH225" s="124">
        <f t="shared" si="58"/>
        <v>3.5491241691217712</v>
      </c>
      <c r="AI225" s="124">
        <f t="shared" si="59"/>
        <v>89.649609650172877</v>
      </c>
      <c r="AJ225" s="124">
        <f t="shared" si="60"/>
        <v>-2.5626287775264589</v>
      </c>
      <c r="AK225" s="124">
        <f t="shared" si="61"/>
        <v>13.054829013918962</v>
      </c>
      <c r="AL225" s="124">
        <f t="shared" si="62"/>
        <v>14.148946073434031</v>
      </c>
      <c r="AM225" s="124">
        <f t="shared" si="63"/>
        <v>17.46513964486866</v>
      </c>
      <c r="AN225" s="124">
        <f t="shared" si="64"/>
        <v>8.72384597645787</v>
      </c>
      <c r="AO225" s="124">
        <f t="shared" si="65"/>
        <v>23.253914181043147</v>
      </c>
      <c r="AP225" s="3">
        <f t="shared" si="68"/>
        <v>140.47974158132595</v>
      </c>
    </row>
    <row r="226" spans="1:42" ht="14">
      <c r="A226">
        <f t="shared" si="70"/>
        <v>68</v>
      </c>
      <c r="B226" s="19">
        <f t="shared" si="70"/>
        <v>148</v>
      </c>
      <c r="C226" s="26">
        <f t="shared" si="66"/>
        <v>143.23880420546197</v>
      </c>
      <c r="D226" s="125">
        <f>(($C$39*$C$118*0.72)*D$40)*('Product half-life and C flows'!B127/100)</f>
        <v>0.19137889422563978</v>
      </c>
      <c r="E226" s="26"/>
      <c r="F226" s="54">
        <f t="shared" si="57"/>
        <v>0</v>
      </c>
      <c r="G226" s="54">
        <f t="shared" si="57"/>
        <v>0.7542108817919595</v>
      </c>
      <c r="H226" s="125">
        <f>(H$118)*('Product half-life and C flows'!L127/100)</f>
        <v>0.44655075319315957</v>
      </c>
      <c r="I226" s="125">
        <f>(($C$39*$C$118*0.28)*H$41)*('Product half-life and C flows'!N127/100)</f>
        <v>0.95613430532956012</v>
      </c>
      <c r="J226" s="125">
        <f>(($C$39*$C$118*0.28)*H$41)*(+'Product half-life and C flows'!P127/100)</f>
        <v>0.47758956310167827</v>
      </c>
      <c r="K226" s="54">
        <f t="shared" si="49"/>
        <v>1.3434381331919276</v>
      </c>
      <c r="L226" s="26"/>
      <c r="M226" s="83">
        <f>C$158*(0.4*D$14)*('Product half-life and C flows'!B87/100)</f>
        <v>3.2368490765942859</v>
      </c>
      <c r="N226" s="83">
        <f t="shared" si="67"/>
        <v>90.428117479893075</v>
      </c>
      <c r="O226" s="83">
        <f t="shared" si="71"/>
        <v>-2.5626287775264589</v>
      </c>
      <c r="P226" s="83">
        <f t="shared" si="71"/>
        <v>12.300618132127003</v>
      </c>
      <c r="Q226" s="83">
        <f>C$158*(0.6*C$15)*('Product half-life and C flows'!L87/100)</f>
        <v>13.486125183791025</v>
      </c>
      <c r="R226" s="83">
        <f>C$158*0.6*('Product half-life and C flows'!N87/100)</f>
        <v>16.652173190389984</v>
      </c>
      <c r="S226" s="83">
        <f>C$158*0.6*('Product half-life and C flows'!P87/100)</f>
        <v>8.3177688263686207</v>
      </c>
      <c r="T226" s="83">
        <f t="shared" si="72"/>
        <v>21.910476047851219</v>
      </c>
      <c r="U226" s="3"/>
      <c r="V226" s="88"/>
      <c r="W226" s="88"/>
      <c r="X226" s="88"/>
      <c r="Y226" s="88"/>
      <c r="Z226" s="88"/>
      <c r="AA226" s="88"/>
      <c r="AB226" s="88"/>
      <c r="AC226" s="88"/>
      <c r="AE226">
        <f t="shared" si="53"/>
        <v>68</v>
      </c>
      <c r="AF226" s="3">
        <f t="shared" si="69"/>
        <v>32.31089396883867</v>
      </c>
      <c r="AG226" s="113">
        <f t="shared" si="54"/>
        <v>143.23880420546197</v>
      </c>
      <c r="AH226" s="124">
        <f t="shared" si="58"/>
        <v>3.4282279708199255</v>
      </c>
      <c r="AI226" s="124">
        <f t="shared" si="59"/>
        <v>90.428117479893075</v>
      </c>
      <c r="AJ226" s="124">
        <f t="shared" si="60"/>
        <v>-2.5626287775264589</v>
      </c>
      <c r="AK226" s="124">
        <f t="shared" si="61"/>
        <v>13.054829013918962</v>
      </c>
      <c r="AL226" s="124">
        <f t="shared" si="62"/>
        <v>13.932675936984184</v>
      </c>
      <c r="AM226" s="124">
        <f t="shared" si="63"/>
        <v>17.608307495719544</v>
      </c>
      <c r="AN226" s="124">
        <f t="shared" si="64"/>
        <v>8.7953583894702998</v>
      </c>
      <c r="AO226" s="124">
        <f t="shared" si="65"/>
        <v>23.253914181043147</v>
      </c>
      <c r="AP226" s="3">
        <f t="shared" si="68"/>
        <v>141.25665953845962</v>
      </c>
    </row>
    <row r="227" spans="1:42" ht="14">
      <c r="A227">
        <f t="shared" si="70"/>
        <v>69</v>
      </c>
      <c r="B227" s="19">
        <f t="shared" si="70"/>
        <v>149</v>
      </c>
      <c r="C227" s="26">
        <f t="shared" si="66"/>
        <v>143.70432937704084</v>
      </c>
      <c r="D227" s="125">
        <f>(($C$39*$C$118*0.72)*D$40)*('Product half-life and C flows'!B128/100)</f>
        <v>0.18485982652201083</v>
      </c>
      <c r="E227" s="26"/>
      <c r="F227" s="54">
        <f t="shared" si="57"/>
        <v>0</v>
      </c>
      <c r="G227" s="54">
        <f t="shared" si="57"/>
        <v>0.7542108817919595</v>
      </c>
      <c r="H227" s="125">
        <f>(H$118)*('Product half-life and C flows'!L128/100)</f>
        <v>0.43972511460328639</v>
      </c>
      <c r="I227" s="125">
        <f>(($C$39*$C$118*0.28)*H$41)*('Product half-life and C flows'!N128/100)</f>
        <v>0.95955053744379171</v>
      </c>
      <c r="J227" s="125">
        <f>(($C$39*$C$118*0.28)*H$41)*(+'Product half-life and C flows'!P128/100)</f>
        <v>0.47929597274914654</v>
      </c>
      <c r="K227" s="54">
        <f t="shared" si="49"/>
        <v>1.3434381331919276</v>
      </c>
      <c r="L227" s="26"/>
      <c r="M227" s="83">
        <f>C$158*(0.4*D$14)*('Product half-life and C flows'!B88/100)</f>
        <v>3.1265901143292618</v>
      </c>
      <c r="N227" s="83">
        <f t="shared" si="67"/>
        <v>91.18033254965907</v>
      </c>
      <c r="O227" s="83">
        <f t="shared" si="71"/>
        <v>-2.5626287775264589</v>
      </c>
      <c r="P227" s="83">
        <f t="shared" si="71"/>
        <v>12.300618132127003</v>
      </c>
      <c r="Q227" s="83">
        <f>C$158*(0.6*C$15)*('Product half-life and C flows'!L88/100)</f>
        <v>13.279986428399583</v>
      </c>
      <c r="R227" s="83">
        <f>C$158*0.6*('Product half-life and C flows'!N88/100)</f>
        <v>16.789736453154536</v>
      </c>
      <c r="S227" s="83">
        <f>C$158*0.6*('Product half-life and C flows'!P88/100)</f>
        <v>8.3864817448324338</v>
      </c>
      <c r="T227" s="83">
        <f t="shared" si="72"/>
        <v>21.910476047851219</v>
      </c>
      <c r="U227" s="3"/>
      <c r="V227" s="88"/>
      <c r="W227" s="88"/>
      <c r="X227" s="88"/>
      <c r="Y227" s="88"/>
      <c r="Z227" s="88"/>
      <c r="AA227" s="88"/>
      <c r="AB227" s="88"/>
      <c r="AC227" s="88"/>
      <c r="AE227">
        <f t="shared" si="53"/>
        <v>69</v>
      </c>
      <c r="AF227" s="3">
        <f t="shared" si="69"/>
        <v>32.579668129335545</v>
      </c>
      <c r="AG227" s="113">
        <f t="shared" si="54"/>
        <v>143.70432937704084</v>
      </c>
      <c r="AH227" s="124">
        <f t="shared" si="58"/>
        <v>3.3114499408512725</v>
      </c>
      <c r="AI227" s="124">
        <f t="shared" si="59"/>
        <v>91.18033254965907</v>
      </c>
      <c r="AJ227" s="124">
        <f t="shared" si="60"/>
        <v>-2.5626287775264589</v>
      </c>
      <c r="AK227" s="124">
        <f t="shared" si="61"/>
        <v>13.054829013918962</v>
      </c>
      <c r="AL227" s="124">
        <f t="shared" si="62"/>
        <v>13.71971154300287</v>
      </c>
      <c r="AM227" s="124">
        <f t="shared" si="63"/>
        <v>17.749286990598328</v>
      </c>
      <c r="AN227" s="124">
        <f t="shared" si="64"/>
        <v>8.8657777175815795</v>
      </c>
      <c r="AO227" s="124">
        <f t="shared" si="65"/>
        <v>23.253914181043147</v>
      </c>
      <c r="AP227" s="3">
        <f t="shared" si="68"/>
        <v>142.00730903723436</v>
      </c>
    </row>
    <row r="228" spans="1:42" ht="14">
      <c r="A228">
        <f t="shared" si="70"/>
        <v>70</v>
      </c>
      <c r="B228" s="19">
        <f t="shared" si="70"/>
        <v>150</v>
      </c>
      <c r="C228" s="26">
        <f t="shared" si="66"/>
        <v>144.16161434179853</v>
      </c>
      <c r="D228" s="125">
        <f>(($C$39*$C$118*0.72)*D$40)*('Product half-life and C flows'!B129/100)</f>
        <v>0.17856282219635491</v>
      </c>
      <c r="E228" s="26"/>
      <c r="F228" s="54">
        <f t="shared" si="57"/>
        <v>0</v>
      </c>
      <c r="G228" s="54">
        <f t="shared" si="57"/>
        <v>0.7542108817919595</v>
      </c>
      <c r="H228" s="125">
        <f>(H$118)*('Product half-life and C flows'!L129/100)</f>
        <v>0.4330038075856395</v>
      </c>
      <c r="I228" s="125">
        <f>(($C$39*$C$118*0.28)*H$41)*('Product half-life and C flows'!N129/100)</f>
        <v>0.96291455160612405</v>
      </c>
      <c r="J228" s="125">
        <f>(($C$39*$C$118*0.28)*H$41)*(+'Product half-life and C flows'!P129/100)</f>
        <v>0.4809762995035583</v>
      </c>
      <c r="K228" s="54">
        <f t="shared" si="49"/>
        <v>1.3434381331919276</v>
      </c>
      <c r="L228" s="26"/>
      <c r="M228" s="83">
        <f>C$158*(0.4*D$14)*('Product half-life and C flows'!B89/100)</f>
        <v>3.0200869770879195</v>
      </c>
      <c r="N228" s="83">
        <f t="shared" si="67"/>
        <v>91.906971178250416</v>
      </c>
      <c r="O228" s="83">
        <f t="shared" si="71"/>
        <v>-2.5626287775264589</v>
      </c>
      <c r="P228" s="83">
        <f t="shared" si="71"/>
        <v>12.300618132127003</v>
      </c>
      <c r="Q228" s="83">
        <f>C$158*(0.6*C$15)*('Product half-life and C flows'!L89/100)</f>
        <v>13.076998554814098</v>
      </c>
      <c r="R228" s="83">
        <f>C$158*0.6*('Product half-life and C flows'!N89/100)</f>
        <v>16.925197027460584</v>
      </c>
      <c r="S228" s="83">
        <f>C$158*0.6*('Product half-life and C flows'!P89/100)</f>
        <v>8.4541443693609271</v>
      </c>
      <c r="T228" s="83">
        <f t="shared" si="72"/>
        <v>21.910476047851219</v>
      </c>
      <c r="U228" s="3"/>
      <c r="V228" s="88"/>
      <c r="W228" s="88"/>
      <c r="X228" s="88"/>
      <c r="Y228" s="88"/>
      <c r="Z228" s="88"/>
      <c r="AA228" s="88"/>
      <c r="AB228" s="88"/>
      <c r="AC228" s="88"/>
      <c r="AE228">
        <f t="shared" si="53"/>
        <v>70</v>
      </c>
      <c r="AF228" s="3">
        <f t="shared" si="69"/>
        <v>32.839303565042783</v>
      </c>
      <c r="AG228" s="113">
        <f t="shared" si="54"/>
        <v>144.16161434179853</v>
      </c>
      <c r="AH228" s="124">
        <f t="shared" si="58"/>
        <v>3.1986497992842744</v>
      </c>
      <c r="AI228" s="124">
        <f t="shared" si="59"/>
        <v>91.906971178250416</v>
      </c>
      <c r="AJ228" s="124">
        <f t="shared" si="60"/>
        <v>-2.5626287775264589</v>
      </c>
      <c r="AK228" s="124">
        <f t="shared" si="61"/>
        <v>13.054829013918962</v>
      </c>
      <c r="AL228" s="124">
        <f t="shared" si="62"/>
        <v>13.510002362399739</v>
      </c>
      <c r="AM228" s="124">
        <f t="shared" si="63"/>
        <v>17.88811157906671</v>
      </c>
      <c r="AN228" s="124">
        <f t="shared" si="64"/>
        <v>8.9351206688644851</v>
      </c>
      <c r="AO228" s="124">
        <f t="shared" si="65"/>
        <v>23.253914181043147</v>
      </c>
      <c r="AP228" s="3">
        <f t="shared" si="68"/>
        <v>142.73240602497384</v>
      </c>
    </row>
    <row r="229" spans="1:42" ht="14">
      <c r="A229">
        <f t="shared" si="70"/>
        <v>71</v>
      </c>
      <c r="B229" s="19">
        <f t="shared" si="70"/>
        <v>151</v>
      </c>
      <c r="C229" s="26">
        <f t="shared" si="66"/>
        <v>144.61078492190234</v>
      </c>
      <c r="D229" s="125">
        <f>(($C$39*$C$118*0.72)*D$40)*('Product half-life and C flows'!B130/100)</f>
        <v>0.17248031695480709</v>
      </c>
      <c r="E229" s="26"/>
      <c r="F229" s="54">
        <f t="shared" si="57"/>
        <v>0</v>
      </c>
      <c r="G229" s="54">
        <f t="shared" si="57"/>
        <v>0.7542108817919595</v>
      </c>
      <c r="H229" s="125">
        <f>(H$118)*('Product half-life and C flows'!L130/100)</f>
        <v>0.42638523740636103</v>
      </c>
      <c r="I229" s="125">
        <f>(($C$39*$C$118*0.28)*H$41)*('Product half-life and C flows'!N130/100)</f>
        <v>0.96622714598085302</v>
      </c>
      <c r="J229" s="125">
        <f>(($C$39*$C$118*0.28)*H$41)*(+'Product half-life and C flows'!P130/100)</f>
        <v>0.48263094204837798</v>
      </c>
      <c r="K229" s="54">
        <f t="shared" si="49"/>
        <v>1.3434381331919276</v>
      </c>
      <c r="L229" s="26"/>
      <c r="M229" s="83">
        <f>C$158*(0.4*D$14)*('Product half-life and C flows'!B90/100)</f>
        <v>2.9172117276820391</v>
      </c>
      <c r="N229" s="83">
        <f t="shared" si="67"/>
        <v>92.608744564975808</v>
      </c>
      <c r="O229" s="83">
        <f t="shared" si="71"/>
        <v>-2.5626287775264589</v>
      </c>
      <c r="P229" s="83">
        <f t="shared" si="71"/>
        <v>12.300618132127003</v>
      </c>
      <c r="Q229" s="83">
        <f>C$158*(0.6*C$15)*('Product half-life and C flows'!L90/100)</f>
        <v>12.877113401027682</v>
      </c>
      <c r="R229" s="83">
        <f>C$158*0.6*('Product half-life and C flows'!N90/100)</f>
        <v>17.05858705342072</v>
      </c>
      <c r="S229" s="83">
        <f>C$158*0.6*('Product half-life and C flows'!P90/100)</f>
        <v>8.5207727539564004</v>
      </c>
      <c r="T229" s="83">
        <f t="shared" si="72"/>
        <v>21.910476047851219</v>
      </c>
      <c r="U229" s="3"/>
      <c r="V229" s="88"/>
      <c r="W229" s="88"/>
      <c r="X229" s="88"/>
      <c r="Y229" s="88"/>
      <c r="Z229" s="88"/>
      <c r="AA229" s="88"/>
      <c r="AB229" s="88"/>
      <c r="AC229" s="88"/>
      <c r="AE229">
        <f t="shared" si="53"/>
        <v>71</v>
      </c>
      <c r="AF229" s="3">
        <f t="shared" si="69"/>
        <v>33.090054394768714</v>
      </c>
      <c r="AG229" s="113">
        <f t="shared" si="54"/>
        <v>144.61078492190234</v>
      </c>
      <c r="AH229" s="124">
        <f t="shared" si="58"/>
        <v>3.0896920446368461</v>
      </c>
      <c r="AI229" s="124">
        <f t="shared" si="59"/>
        <v>92.608744564975808</v>
      </c>
      <c r="AJ229" s="124">
        <f t="shared" si="60"/>
        <v>-2.5626287775264589</v>
      </c>
      <c r="AK229" s="124">
        <f t="shared" si="61"/>
        <v>13.054829013918962</v>
      </c>
      <c r="AL229" s="124">
        <f t="shared" si="62"/>
        <v>13.303498638434043</v>
      </c>
      <c r="AM229" s="124">
        <f t="shared" si="63"/>
        <v>18.024814199401572</v>
      </c>
      <c r="AN229" s="124">
        <f t="shared" si="64"/>
        <v>9.0034036960047779</v>
      </c>
      <c r="AO229" s="124">
        <f t="shared" si="65"/>
        <v>23.253914181043147</v>
      </c>
      <c r="AP229" s="3">
        <f t="shared" si="68"/>
        <v>143.43266133520868</v>
      </c>
    </row>
    <row r="230" spans="1:42" ht="14">
      <c r="A230">
        <f t="shared" si="70"/>
        <v>72</v>
      </c>
      <c r="B230" s="19">
        <f t="shared" si="70"/>
        <v>152</v>
      </c>
      <c r="C230" s="26">
        <f t="shared" si="66"/>
        <v>145.05196585440837</v>
      </c>
      <c r="D230" s="125">
        <f>(($C$39*$C$118*0.72)*D$40)*('Product half-life and C flows'!B131/100)</f>
        <v>0.16660500417112015</v>
      </c>
      <c r="E230" s="26"/>
      <c r="F230" s="54">
        <f t="shared" si="57"/>
        <v>0</v>
      </c>
      <c r="G230" s="54">
        <f t="shared" si="57"/>
        <v>0.7542108817919595</v>
      </c>
      <c r="H230" s="125">
        <f>(H$118)*('Product half-life and C flows'!L131/100)</f>
        <v>0.4198678337074937</v>
      </c>
      <c r="I230" s="125">
        <f>(($C$39*$C$118*0.28)*H$41)*('Product half-life and C flows'!N131/100)</f>
        <v>0.96948910653213605</v>
      </c>
      <c r="J230" s="125">
        <f>(($C$39*$C$118*0.28)*H$41)*(+'Product half-life and C flows'!P131/100)</f>
        <v>0.48426029297309475</v>
      </c>
      <c r="K230" s="54">
        <f t="shared" si="49"/>
        <v>1.3434381331919276</v>
      </c>
      <c r="L230" s="26"/>
      <c r="M230" s="83">
        <f>C$158*(0.4*D$14)*('Product half-life and C flows'!B91/100)</f>
        <v>2.817840786933695</v>
      </c>
      <c r="N230" s="83">
        <f t="shared" si="67"/>
        <v>93.286357362803088</v>
      </c>
      <c r="O230" s="83">
        <f t="shared" si="71"/>
        <v>-2.5626287775264589</v>
      </c>
      <c r="P230" s="83">
        <f t="shared" si="71"/>
        <v>12.300618132127003</v>
      </c>
      <c r="Q230" s="83">
        <f>C$158*(0.6*C$15)*('Product half-life and C flows'!L91/100)</f>
        <v>12.680283541201627</v>
      </c>
      <c r="R230" s="83">
        <f>C$158*0.6*('Product half-life and C flows'!N91/100)</f>
        <v>17.189938179877974</v>
      </c>
      <c r="S230" s="83">
        <f>C$158*0.6*('Product half-life and C flows'!P91/100)</f>
        <v>8.5863827072317527</v>
      </c>
      <c r="T230" s="83">
        <f t="shared" si="72"/>
        <v>21.910476047851219</v>
      </c>
      <c r="U230" s="3"/>
      <c r="V230" s="88"/>
      <c r="W230" s="88"/>
      <c r="X230" s="88"/>
      <c r="Y230" s="88"/>
      <c r="Z230" s="88"/>
      <c r="AA230" s="88"/>
      <c r="AB230" s="88"/>
      <c r="AC230" s="88"/>
      <c r="AE230">
        <f t="shared" si="53"/>
        <v>72</v>
      </c>
      <c r="AF230" s="3">
        <f t="shared" si="69"/>
        <v>33.332172398246932</v>
      </c>
      <c r="AG230" s="113">
        <f t="shared" si="54"/>
        <v>145.05196585440837</v>
      </c>
      <c r="AH230" s="124">
        <f t="shared" si="58"/>
        <v>2.984445791104815</v>
      </c>
      <c r="AI230" s="124">
        <f t="shared" si="59"/>
        <v>93.286357362803088</v>
      </c>
      <c r="AJ230" s="124">
        <f t="shared" si="60"/>
        <v>-2.5626287775264589</v>
      </c>
      <c r="AK230" s="124">
        <f t="shared" si="61"/>
        <v>13.054829013918962</v>
      </c>
      <c r="AL230" s="124">
        <f t="shared" si="62"/>
        <v>13.100151374909121</v>
      </c>
      <c r="AM230" s="124">
        <f t="shared" si="63"/>
        <v>18.159427286410111</v>
      </c>
      <c r="AN230" s="124">
        <f t="shared" si="64"/>
        <v>9.0706430002048481</v>
      </c>
      <c r="AO230" s="124">
        <f t="shared" si="65"/>
        <v>23.253914181043147</v>
      </c>
      <c r="AP230" s="3">
        <f t="shared" si="68"/>
        <v>144.10877926071967</v>
      </c>
    </row>
    <row r="231" spans="1:42" ht="14">
      <c r="A231">
        <f t="shared" si="70"/>
        <v>73</v>
      </c>
      <c r="B231" s="19">
        <f t="shared" si="70"/>
        <v>153</v>
      </c>
      <c r="C231" s="26">
        <f t="shared" si="66"/>
        <v>145.485280760981</v>
      </c>
      <c r="D231" s="125">
        <f>(($C$39*$C$118*0.72)*D$40)*('Product half-life and C flows'!B132/100)</f>
        <v>0.16092982610956028</v>
      </c>
      <c r="E231" s="26"/>
      <c r="F231" s="54">
        <f t="shared" si="57"/>
        <v>0</v>
      </c>
      <c r="G231" s="54">
        <f t="shared" si="57"/>
        <v>0.7542108817919595</v>
      </c>
      <c r="H231" s="125">
        <f>(H$118)*('Product half-life and C flows'!L132/100)</f>
        <v>0.41345005013438946</v>
      </c>
      <c r="I231" s="125">
        <f>(($C$39*$C$118*0.28)*H$41)*('Product half-life and C flows'!N132/100)</f>
        <v>0.97270120721047471</v>
      </c>
      <c r="J231" s="125">
        <f>(($C$39*$C$118*0.28)*H$41)*(+'Product half-life and C flows'!P132/100)</f>
        <v>0.48586473886637083</v>
      </c>
      <c r="K231" s="54">
        <f t="shared" si="49"/>
        <v>1.3434381331919276</v>
      </c>
      <c r="L231" s="26"/>
      <c r="M231" s="83">
        <f>C$158*(0.4*D$14)*('Product half-life and C flows'!B92/100)</f>
        <v>2.7218547852254313</v>
      </c>
      <c r="N231" s="83">
        <f t="shared" si="67"/>
        <v>93.940506416941886</v>
      </c>
      <c r="O231" s="83">
        <f t="shared" si="71"/>
        <v>-2.5626287775264589</v>
      </c>
      <c r="P231" s="83">
        <f t="shared" si="71"/>
        <v>12.300618132127003</v>
      </c>
      <c r="Q231" s="83">
        <f>C$158*(0.6*C$15)*('Product half-life and C flows'!L92/100)</f>
        <v>12.486462274412894</v>
      </c>
      <c r="R231" s="83">
        <f>C$158*0.6*('Product half-life and C flows'!N92/100)</f>
        <v>17.319281571914988</v>
      </c>
      <c r="S231" s="83">
        <f>C$158*0.6*('Product half-life and C flows'!P92/100)</f>
        <v>8.6509897961613316</v>
      </c>
      <c r="T231" s="83">
        <f t="shared" si="72"/>
        <v>21.910476047851219</v>
      </c>
      <c r="U231" s="3"/>
      <c r="V231" s="88"/>
      <c r="W231" s="88"/>
      <c r="X231" s="88"/>
      <c r="Y231" s="88"/>
      <c r="Z231" s="88"/>
      <c r="AA231" s="88"/>
      <c r="AB231" s="88"/>
      <c r="AC231" s="88"/>
      <c r="AE231">
        <f t="shared" si="53"/>
        <v>73</v>
      </c>
      <c r="AF231" s="3">
        <f t="shared" si="69"/>
        <v>33.565906565418935</v>
      </c>
      <c r="AG231" s="113">
        <f t="shared" si="54"/>
        <v>145.485280760981</v>
      </c>
      <c r="AH231" s="124">
        <f t="shared" si="58"/>
        <v>2.8827846113349915</v>
      </c>
      <c r="AI231" s="124">
        <f t="shared" si="59"/>
        <v>93.940506416941886</v>
      </c>
      <c r="AJ231" s="124">
        <f t="shared" si="60"/>
        <v>-2.5626287775264589</v>
      </c>
      <c r="AK231" s="124">
        <f t="shared" si="61"/>
        <v>13.054829013918962</v>
      </c>
      <c r="AL231" s="124">
        <f t="shared" si="62"/>
        <v>12.899912324547284</v>
      </c>
      <c r="AM231" s="124">
        <f t="shared" si="63"/>
        <v>18.291982779125462</v>
      </c>
      <c r="AN231" s="124">
        <f t="shared" si="64"/>
        <v>9.1368545350277017</v>
      </c>
      <c r="AO231" s="124">
        <f t="shared" si="65"/>
        <v>23.253914181043147</v>
      </c>
      <c r="AP231" s="3">
        <f t="shared" si="68"/>
        <v>144.76145629203486</v>
      </c>
    </row>
    <row r="232" spans="1:42" ht="14">
      <c r="A232">
        <f t="shared" si="70"/>
        <v>74</v>
      </c>
      <c r="B232" s="19">
        <f t="shared" si="70"/>
        <v>154</v>
      </c>
      <c r="C232" s="26">
        <f t="shared" si="66"/>
        <v>145.9108521200458</v>
      </c>
      <c r="D232" s="125">
        <f>(($C$39*$C$118*0.72)*D$40)*('Product half-life and C flows'!B133/100)</f>
        <v>0.15544796544678244</v>
      </c>
      <c r="E232" s="26"/>
      <c r="F232" s="54">
        <f t="shared" ref="F232:G238" si="73">F231</f>
        <v>0</v>
      </c>
      <c r="G232" s="54">
        <f t="shared" si="73"/>
        <v>0.7542108817919595</v>
      </c>
      <c r="H232" s="125">
        <f>(H$118)*('Product half-life and C flows'!L133/100)</f>
        <v>0.40713036396881358</v>
      </c>
      <c r="I232" s="125">
        <f>(($C$39*$C$118*0.28)*H$41)*('Product half-life and C flows'!N133/100)</f>
        <v>0.9758642101363455</v>
      </c>
      <c r="J232" s="125">
        <f>(($C$39*$C$118*0.28)*H$41)*(+'Product half-life and C flows'!P133/100)</f>
        <v>0.4874446604077648</v>
      </c>
      <c r="K232" s="54">
        <f t="shared" si="49"/>
        <v>1.3434381331919276</v>
      </c>
      <c r="L232" s="26"/>
      <c r="M232" s="83">
        <f>C$158*(0.4*D$14)*('Product half-life and C flows'!B93/100)</f>
        <v>2.6291384191071772</v>
      </c>
      <c r="N232" s="83">
        <f t="shared" si="67"/>
        <v>94.57187965573975</v>
      </c>
      <c r="O232" s="83">
        <f t="shared" si="71"/>
        <v>-2.5626287775264589</v>
      </c>
      <c r="P232" s="83">
        <f t="shared" si="71"/>
        <v>12.300618132127003</v>
      </c>
      <c r="Q232" s="83">
        <f>C$158*(0.6*C$15)*('Product half-life and C flows'!L93/100)</f>
        <v>12.29560361357359</v>
      </c>
      <c r="R232" s="83">
        <f>C$158*0.6*('Product half-life and C flows'!N93/100)</f>
        <v>17.446647918248413</v>
      </c>
      <c r="S232" s="83">
        <f>C$158*0.6*('Product half-life and C flows'!P93/100)</f>
        <v>8.714609349774431</v>
      </c>
      <c r="T232" s="83">
        <f t="shared" si="72"/>
        <v>21.910476047851219</v>
      </c>
      <c r="U232" s="3"/>
      <c r="V232" s="88"/>
      <c r="W232" s="88"/>
      <c r="X232" s="88"/>
      <c r="Y232" s="88"/>
      <c r="Z232" s="88"/>
      <c r="AA232" s="88"/>
      <c r="AB232" s="88"/>
      <c r="AC232" s="88"/>
      <c r="AE232">
        <f t="shared" si="53"/>
        <v>74</v>
      </c>
      <c r="AF232" s="3">
        <f t="shared" si="69"/>
        <v>33.79150270013993</v>
      </c>
      <c r="AG232" s="113">
        <f t="shared" si="54"/>
        <v>145.9108521200458</v>
      </c>
      <c r="AH232" s="124">
        <f t="shared" si="58"/>
        <v>2.7845863845539598</v>
      </c>
      <c r="AI232" s="124">
        <f t="shared" si="59"/>
        <v>94.57187965573975</v>
      </c>
      <c r="AJ232" s="124">
        <f t="shared" si="60"/>
        <v>-2.5626287775264589</v>
      </c>
      <c r="AK232" s="124">
        <f t="shared" si="61"/>
        <v>13.054829013918962</v>
      </c>
      <c r="AL232" s="124">
        <f t="shared" si="62"/>
        <v>12.702733977542403</v>
      </c>
      <c r="AM232" s="124">
        <f t="shared" si="63"/>
        <v>18.42251212838476</v>
      </c>
      <c r="AN232" s="124">
        <f t="shared" si="64"/>
        <v>9.202054010182195</v>
      </c>
      <c r="AO232" s="124">
        <f t="shared" si="65"/>
        <v>23.253914181043147</v>
      </c>
      <c r="AP232" s="3">
        <f t="shared" si="68"/>
        <v>145.39138000824161</v>
      </c>
    </row>
    <row r="233" spans="1:42" ht="14">
      <c r="A233">
        <f t="shared" si="70"/>
        <v>75</v>
      </c>
      <c r="B233" s="19">
        <f t="shared" si="70"/>
        <v>155</v>
      </c>
      <c r="C233" s="26">
        <f t="shared" si="66"/>
        <v>146.32880124126649</v>
      </c>
      <c r="D233" s="125">
        <f>(($C$39*$C$118*0.72)*D$40)*('Product half-life and C flows'!B134/100)</f>
        <v>0.15015283708250127</v>
      </c>
      <c r="E233" s="26"/>
      <c r="F233" s="54">
        <f t="shared" si="73"/>
        <v>0</v>
      </c>
      <c r="G233" s="54">
        <f t="shared" si="73"/>
        <v>0.7542108817919595</v>
      </c>
      <c r="H233" s="125">
        <f>(H$118)*('Product half-life and C flows'!L134/100)</f>
        <v>0.40090727576765534</v>
      </c>
      <c r="I233" s="125">
        <f>(($C$39*$C$118*0.28)*H$41)*('Product half-life and C flows'!N134/100)</f>
        <v>0.97897886578102511</v>
      </c>
      <c r="J233" s="125">
        <f>(($C$39*$C$118*0.28)*H$41)*(+'Product half-life and C flows'!P134/100)</f>
        <v>0.48900043245805436</v>
      </c>
      <c r="K233" s="54">
        <f t="shared" si="49"/>
        <v>1.3434381331919276</v>
      </c>
      <c r="L233" s="26"/>
      <c r="M233" s="83">
        <f>C$158*(0.4*D$14)*('Product half-life and C flows'!B94/100)</f>
        <v>2.5395803127876588</v>
      </c>
      <c r="N233" s="83">
        <f t="shared" si="67"/>
        <v>95.181155121580233</v>
      </c>
      <c r="O233" s="83">
        <f t="shared" si="71"/>
        <v>-2.5626287775264589</v>
      </c>
      <c r="P233" s="83">
        <f t="shared" si="71"/>
        <v>12.300618132127003</v>
      </c>
      <c r="Q233" s="83">
        <f>C$158*(0.6*C$15)*('Product half-life and C flows'!L94/100)</f>
        <v>12.107662274519816</v>
      </c>
      <c r="R233" s="83">
        <f>C$158*0.6*('Product half-life and C flows'!N94/100)</f>
        <v>17.572067438510299</v>
      </c>
      <c r="S233" s="83">
        <f>C$158*0.6*('Product half-life and C flows'!P94/100)</f>
        <v>8.7772564627923568</v>
      </c>
      <c r="T233" s="83">
        <f t="shared" si="72"/>
        <v>21.910476047851219</v>
      </c>
      <c r="U233" s="3"/>
      <c r="V233" s="88"/>
      <c r="W233" s="88"/>
      <c r="X233" s="88"/>
      <c r="Y233" s="88"/>
      <c r="Z233" s="88"/>
      <c r="AA233" s="88"/>
      <c r="AB233" s="88"/>
      <c r="AC233" s="88"/>
      <c r="AE233">
        <f t="shared" si="53"/>
        <v>75</v>
      </c>
      <c r="AF233" s="3">
        <f t="shared" si="69"/>
        <v>34.009203073908786</v>
      </c>
      <c r="AG233" s="113">
        <f t="shared" si="54"/>
        <v>146.32880124126649</v>
      </c>
      <c r="AH233" s="124">
        <f t="shared" si="58"/>
        <v>2.6897331498701602</v>
      </c>
      <c r="AI233" s="124">
        <f t="shared" si="59"/>
        <v>95.181155121580233</v>
      </c>
      <c r="AJ233" s="124">
        <f t="shared" si="60"/>
        <v>-2.5626287775264589</v>
      </c>
      <c r="AK233" s="124">
        <f t="shared" si="61"/>
        <v>13.054829013918962</v>
      </c>
      <c r="AL233" s="124">
        <f t="shared" si="62"/>
        <v>12.508569550287472</v>
      </c>
      <c r="AM233" s="124">
        <f t="shared" si="63"/>
        <v>18.551046304291322</v>
      </c>
      <c r="AN233" s="124">
        <f t="shared" si="64"/>
        <v>9.266256895250411</v>
      </c>
      <c r="AO233" s="124">
        <f t="shared" si="65"/>
        <v>23.253914181043147</v>
      </c>
      <c r="AP233" s="3">
        <f t="shared" si="68"/>
        <v>145.99922810780197</v>
      </c>
    </row>
    <row r="234" spans="1:42" ht="14">
      <c r="A234">
        <f t="shared" si="70"/>
        <v>76</v>
      </c>
      <c r="B234" s="19">
        <f t="shared" si="70"/>
        <v>156</v>
      </c>
      <c r="C234" s="26">
        <f t="shared" si="66"/>
        <v>146.73924824224071</v>
      </c>
      <c r="D234" s="125">
        <f>(($C$39*$C$118*0.72)*D$40)*('Product half-life and C flows'!B135/100)</f>
        <v>0.14503808022912176</v>
      </c>
      <c r="E234" s="26"/>
      <c r="F234" s="54">
        <f t="shared" si="73"/>
        <v>0</v>
      </c>
      <c r="G234" s="54">
        <f t="shared" si="73"/>
        <v>0.7542108817919595</v>
      </c>
      <c r="H234" s="125">
        <f>(H$118)*('Product half-life and C flows'!L135/100)</f>
        <v>0.39477930900716252</v>
      </c>
      <c r="I234" s="125">
        <f>(($C$39*$C$118*0.28)*H$41)*('Product half-life and C flows'!N135/100)</f>
        <v>0.98204591314465184</v>
      </c>
      <c r="J234" s="125">
        <f>(($C$39*$C$118*0.28)*H$41)*(+'Product half-life and C flows'!P135/100)</f>
        <v>0.4905324241481776</v>
      </c>
      <c r="K234" s="54">
        <f t="shared" si="49"/>
        <v>1.3434381331919276</v>
      </c>
      <c r="L234" s="26"/>
      <c r="M234" s="83">
        <f>C$158*(0.4*D$14)*('Product half-life and C flows'!B95/100)</f>
        <v>2.4530728843439218</v>
      </c>
      <c r="N234" s="83">
        <f t="shared" si="67"/>
        <v>95.769000130262825</v>
      </c>
      <c r="O234" s="83">
        <f t="shared" si="71"/>
        <v>-2.5626287775264589</v>
      </c>
      <c r="P234" s="83">
        <f t="shared" si="71"/>
        <v>12.300618132127003</v>
      </c>
      <c r="Q234" s="83">
        <f>C$158*(0.6*C$15)*('Product half-life and C flows'!L95/100)</f>
        <v>11.922593665267316</v>
      </c>
      <c r="R234" s="83">
        <f>C$158*0.6*('Product half-life and C flows'!N95/100)</f>
        <v>17.695569890418135</v>
      </c>
      <c r="S234" s="83">
        <f>C$158*0.6*('Product half-life and C flows'!P95/100)</f>
        <v>8.8389459992098569</v>
      </c>
      <c r="T234" s="83">
        <f t="shared" si="72"/>
        <v>21.910476047851219</v>
      </c>
      <c r="U234" s="3"/>
      <c r="V234" s="88"/>
      <c r="W234" s="88"/>
      <c r="X234" s="88"/>
      <c r="Y234" s="88"/>
      <c r="Z234" s="88"/>
      <c r="AA234" s="88"/>
      <c r="AB234" s="88"/>
      <c r="AC234" s="88"/>
      <c r="AE234">
        <f t="shared" si="53"/>
        <v>76</v>
      </c>
      <c r="AF234" s="3">
        <f t="shared" si="69"/>
        <v>34.219246125505848</v>
      </c>
      <c r="AG234" s="113">
        <f t="shared" si="54"/>
        <v>146.73924824224071</v>
      </c>
      <c r="AH234" s="124">
        <f t="shared" si="58"/>
        <v>2.5981109645730434</v>
      </c>
      <c r="AI234" s="124">
        <f t="shared" si="59"/>
        <v>95.769000130262825</v>
      </c>
      <c r="AJ234" s="124">
        <f t="shared" si="60"/>
        <v>-2.5626287775264589</v>
      </c>
      <c r="AK234" s="124">
        <f t="shared" si="61"/>
        <v>13.054829013918962</v>
      </c>
      <c r="AL234" s="124">
        <f t="shared" si="62"/>
        <v>12.317372974274479</v>
      </c>
      <c r="AM234" s="124">
        <f t="shared" si="63"/>
        <v>18.677615803562787</v>
      </c>
      <c r="AN234" s="124">
        <f t="shared" si="64"/>
        <v>9.3294784233580348</v>
      </c>
      <c r="AO234" s="124">
        <f t="shared" si="65"/>
        <v>23.253914181043147</v>
      </c>
      <c r="AP234" s="3">
        <f t="shared" si="68"/>
        <v>146.58566756785063</v>
      </c>
    </row>
    <row r="235" spans="1:42" ht="14">
      <c r="A235">
        <f t="shared" si="70"/>
        <v>77</v>
      </c>
      <c r="B235" s="19">
        <f t="shared" si="70"/>
        <v>157</v>
      </c>
      <c r="C235" s="26">
        <f t="shared" si="66"/>
        <v>147.14231202731511</v>
      </c>
      <c r="D235" s="125">
        <f>(($C$39*$C$118*0.72)*D$40)*('Product half-life and C flows'!B136/100)</f>
        <v>0.14009755077082514</v>
      </c>
      <c r="E235" s="26"/>
      <c r="F235" s="54">
        <f t="shared" si="73"/>
        <v>0</v>
      </c>
      <c r="G235" s="54">
        <f t="shared" si="73"/>
        <v>0.7542108817919595</v>
      </c>
      <c r="H235" s="125">
        <f>(H$118)*('Product half-life and C flows'!L136/100)</f>
        <v>0.38874500973261356</v>
      </c>
      <c r="I235" s="125">
        <f>(($C$39*$C$118*0.28)*H$41)*('Product half-life and C flows'!N136/100)</f>
        <v>0.98506607993156359</v>
      </c>
      <c r="J235" s="125">
        <f>(($C$39*$C$118*0.28)*H$41)*(+'Product half-life and C flows'!P136/100)</f>
        <v>0.4920409989668148</v>
      </c>
      <c r="K235" s="54">
        <f t="shared" si="49"/>
        <v>1.3434381331919276</v>
      </c>
      <c r="L235" s="26"/>
      <c r="M235" s="83">
        <f>C$158*(0.4*D$14)*('Product half-life and C flows'!B96/100)</f>
        <v>2.3695122164882503</v>
      </c>
      <c r="N235" s="83">
        <f t="shared" si="67"/>
        <v>96.336070548103805</v>
      </c>
      <c r="O235" s="83">
        <f t="shared" si="71"/>
        <v>-2.5626287775264589</v>
      </c>
      <c r="P235" s="83">
        <f t="shared" si="71"/>
        <v>12.300618132127003</v>
      </c>
      <c r="Q235" s="83">
        <f>C$158*(0.6*C$15)*('Product half-life and C flows'!L96/100)</f>
        <v>11.740353875431319</v>
      </c>
      <c r="R235" s="83">
        <f>C$158*0.6*('Product half-life and C flows'!N96/100)</f>
        <v>17.817184576835356</v>
      </c>
      <c r="S235" s="83">
        <f>C$158*0.6*('Product half-life and C flows'!P96/100)</f>
        <v>8.8996925958218558</v>
      </c>
      <c r="T235" s="83">
        <f t="shared" si="72"/>
        <v>21.910476047851219</v>
      </c>
      <c r="U235" s="3"/>
      <c r="V235" s="88"/>
      <c r="W235" s="88"/>
      <c r="X235" s="88"/>
      <c r="Y235" s="88"/>
      <c r="Z235" s="88"/>
      <c r="AA235" s="88"/>
      <c r="AB235" s="88"/>
      <c r="AC235" s="88"/>
      <c r="AE235">
        <f t="shared" si="53"/>
        <v>77</v>
      </c>
      <c r="AF235" s="3">
        <f t="shared" si="69"/>
        <v>34.421866202693664</v>
      </c>
      <c r="AG235" s="113">
        <f t="shared" si="54"/>
        <v>147.14231202731511</v>
      </c>
      <c r="AH235" s="124">
        <f t="shared" si="58"/>
        <v>2.5096097672590756</v>
      </c>
      <c r="AI235" s="124">
        <f t="shared" si="59"/>
        <v>96.336070548103805</v>
      </c>
      <c r="AJ235" s="124">
        <f t="shared" si="60"/>
        <v>-2.5626287775264589</v>
      </c>
      <c r="AK235" s="124">
        <f t="shared" si="61"/>
        <v>13.054829013918962</v>
      </c>
      <c r="AL235" s="124">
        <f t="shared" si="62"/>
        <v>12.129098885163932</v>
      </c>
      <c r="AM235" s="124">
        <f t="shared" si="63"/>
        <v>18.802250656766919</v>
      </c>
      <c r="AN235" s="124">
        <f t="shared" si="64"/>
        <v>9.3917335947886702</v>
      </c>
      <c r="AO235" s="124">
        <f t="shared" si="65"/>
        <v>23.253914181043147</v>
      </c>
      <c r="AP235" s="3">
        <f t="shared" si="68"/>
        <v>147.15135392121582</v>
      </c>
    </row>
    <row r="236" spans="1:42" ht="14">
      <c r="A236">
        <f t="shared" si="70"/>
        <v>78</v>
      </c>
      <c r="B236" s="19">
        <f t="shared" si="70"/>
        <v>158</v>
      </c>
      <c r="C236" s="26">
        <f t="shared" si="66"/>
        <v>147.53811026842067</v>
      </c>
      <c r="D236" s="125">
        <f>(($C$39*$C$118*0.72)*D$40)*('Product half-life and C flows'!B137/100)</f>
        <v>0.13532531388293284</v>
      </c>
      <c r="E236" s="26"/>
      <c r="F236" s="54">
        <f t="shared" si="73"/>
        <v>0</v>
      </c>
      <c r="G236" s="54">
        <f t="shared" si="73"/>
        <v>0.7542108817919595</v>
      </c>
      <c r="H236" s="125">
        <f>(H$118)*('Product half-life and C flows'!L137/100)</f>
        <v>0.38280294621334365</v>
      </c>
      <c r="I236" s="125">
        <f>(($C$39*$C$118*0.28)*H$41)*('Product half-life and C flows'!N137/100)</f>
        <v>0.98804008272295829</v>
      </c>
      <c r="J236" s="125">
        <f>(($C$39*$C$118*0.28)*H$41)*(+'Product half-life and C flows'!P137/100)</f>
        <v>0.49352651484663218</v>
      </c>
      <c r="K236" s="54">
        <f t="shared" si="49"/>
        <v>1.3434381331919276</v>
      </c>
      <c r="L236" s="26"/>
      <c r="M236" s="83">
        <f>C$158*(0.4*D$14)*('Product half-life and C flows'!B97/100)</f>
        <v>2.2887979317372347</v>
      </c>
      <c r="N236" s="83">
        <f t="shared" si="67"/>
        <v>96.883010176719537</v>
      </c>
      <c r="O236" s="83">
        <f t="shared" si="71"/>
        <v>-2.5626287775264589</v>
      </c>
      <c r="P236" s="83">
        <f t="shared" si="71"/>
        <v>12.300618132127003</v>
      </c>
      <c r="Q236" s="83">
        <f>C$158*(0.6*C$15)*('Product half-life and C flows'!L97/100)</f>
        <v>11.560899665808144</v>
      </c>
      <c r="R236" s="83">
        <f>C$158*0.6*('Product half-life and C flows'!N97/100)</f>
        <v>17.936940352723887</v>
      </c>
      <c r="S236" s="83">
        <f>C$158*0.6*('Product half-life and C flows'!P97/100)</f>
        <v>8.9595106656962482</v>
      </c>
      <c r="T236" s="83">
        <f t="shared" si="72"/>
        <v>21.910476047851219</v>
      </c>
      <c r="U236" s="3"/>
      <c r="V236" s="88"/>
      <c r="W236" s="88"/>
      <c r="X236" s="88"/>
      <c r="Y236" s="88"/>
      <c r="Z236" s="88"/>
      <c r="AA236" s="88"/>
      <c r="AB236" s="88"/>
      <c r="AC236" s="88"/>
      <c r="AE236">
        <f t="shared" si="53"/>
        <v>78</v>
      </c>
      <c r="AF236" s="3">
        <f t="shared" si="69"/>
        <v>34.617293342393751</v>
      </c>
      <c r="AG236" s="113">
        <f t="shared" si="54"/>
        <v>147.53811026842067</v>
      </c>
      <c r="AH236" s="124">
        <f t="shared" si="58"/>
        <v>2.4241232456201676</v>
      </c>
      <c r="AI236" s="124">
        <f t="shared" si="59"/>
        <v>96.883010176719537</v>
      </c>
      <c r="AJ236" s="124">
        <f t="shared" si="60"/>
        <v>-2.5626287775264589</v>
      </c>
      <c r="AK236" s="124">
        <f t="shared" si="61"/>
        <v>13.054829013918962</v>
      </c>
      <c r="AL236" s="124">
        <f t="shared" si="62"/>
        <v>11.943702612021488</v>
      </c>
      <c r="AM236" s="124">
        <f t="shared" si="63"/>
        <v>18.924980435446844</v>
      </c>
      <c r="AN236" s="124">
        <f t="shared" si="64"/>
        <v>9.4530371805428803</v>
      </c>
      <c r="AO236" s="124">
        <f t="shared" si="65"/>
        <v>23.253914181043147</v>
      </c>
      <c r="AP236" s="3">
        <f t="shared" si="68"/>
        <v>147.69693064112326</v>
      </c>
    </row>
    <row r="237" spans="1:42" ht="14">
      <c r="A237">
        <f t="shared" si="70"/>
        <v>79</v>
      </c>
      <c r="B237" s="19">
        <f t="shared" si="70"/>
        <v>159</v>
      </c>
      <c r="C237" s="26">
        <f t="shared" si="66"/>
        <v>147.92675938783603</v>
      </c>
      <c r="D237" s="125">
        <f>(($C$39*$C$118*0.72)*D$40)*('Product half-life and C flows'!B138/100)</f>
        <v>0.13071563690268262</v>
      </c>
      <c r="E237" s="26"/>
      <c r="F237" s="54">
        <f t="shared" si="73"/>
        <v>0</v>
      </c>
      <c r="G237" s="54">
        <f t="shared" si="73"/>
        <v>0.7542108817919595</v>
      </c>
      <c r="H237" s="125">
        <f>(H$118)*('Product half-life and C flows'!L138/100)</f>
        <v>0.37695170860304511</v>
      </c>
      <c r="I237" s="125">
        <f>(($C$39*$C$118*0.28)*H$41)*('Product half-life and C flows'!N138/100)</f>
        <v>0.99096862714691258</v>
      </c>
      <c r="J237" s="125">
        <f>(($C$39*$C$118*0.28)*H$41)*(+'Product half-life and C flows'!P138/100)</f>
        <v>0.49498932424920694</v>
      </c>
      <c r="K237" s="54">
        <f t="shared" si="49"/>
        <v>1.3434381331919276</v>
      </c>
      <c r="L237" s="26"/>
      <c r="M237" s="83">
        <f>C$158*(0.4*D$14)*('Product half-life and C flows'!B98/100)</f>
        <v>2.2108330718330431</v>
      </c>
      <c r="N237" s="83">
        <f t="shared" si="67"/>
        <v>97.410450236139908</v>
      </c>
      <c r="O237" s="83">
        <f t="shared" si="71"/>
        <v>-2.5626287775264589</v>
      </c>
      <c r="P237" s="83">
        <f t="shared" si="71"/>
        <v>12.300618132127003</v>
      </c>
      <c r="Q237" s="83">
        <f>C$158*(0.6*C$15)*('Product half-life and C flows'!L98/100)</f>
        <v>11.384188458116016</v>
      </c>
      <c r="R237" s="83">
        <f>C$158*0.6*('Product half-life and C flows'!N98/100)</f>
        <v>18.054865631990431</v>
      </c>
      <c r="S237" s="83">
        <f>C$158*0.6*('Product half-life and C flows'!P98/100)</f>
        <v>9.0184144015936241</v>
      </c>
      <c r="T237" s="83">
        <f t="shared" si="72"/>
        <v>21.910476047851219</v>
      </c>
      <c r="U237" s="3"/>
      <c r="V237" s="88"/>
      <c r="W237" s="88"/>
      <c r="X237" s="88"/>
      <c r="Y237" s="88"/>
      <c r="Z237" s="88"/>
      <c r="AA237" s="88"/>
      <c r="AB237" s="88"/>
      <c r="AC237" s="88"/>
      <c r="AE237">
        <f t="shared" si="53"/>
        <v>79</v>
      </c>
      <c r="AF237" s="3">
        <f t="shared" si="69"/>
        <v>34.805753085997715</v>
      </c>
      <c r="AG237" s="113">
        <f t="shared" si="54"/>
        <v>147.92675938783603</v>
      </c>
      <c r="AH237" s="124">
        <f t="shared" si="58"/>
        <v>2.3415487087357256</v>
      </c>
      <c r="AI237" s="124">
        <f t="shared" si="59"/>
        <v>97.410450236139908</v>
      </c>
      <c r="AJ237" s="124">
        <f t="shared" si="60"/>
        <v>-2.5626287775264589</v>
      </c>
      <c r="AK237" s="124">
        <f t="shared" si="61"/>
        <v>13.054829013918962</v>
      </c>
      <c r="AL237" s="124">
        <f t="shared" si="62"/>
        <v>11.761140166719061</v>
      </c>
      <c r="AM237" s="124">
        <f t="shared" si="63"/>
        <v>19.045834259137344</v>
      </c>
      <c r="AN237" s="124">
        <f t="shared" si="64"/>
        <v>9.5134037258428314</v>
      </c>
      <c r="AO237" s="124">
        <f t="shared" si="65"/>
        <v>23.253914181043147</v>
      </c>
      <c r="AP237" s="3">
        <f t="shared" si="68"/>
        <v>148.22302862423166</v>
      </c>
    </row>
    <row r="238" spans="1:42" ht="14">
      <c r="A238">
        <f t="shared" si="70"/>
        <v>80</v>
      </c>
      <c r="B238" s="19">
        <f t="shared" si="70"/>
        <v>160</v>
      </c>
      <c r="C238" s="26">
        <f t="shared" si="66"/>
        <v>148.30837454278708</v>
      </c>
      <c r="D238" s="125">
        <f>(($C$39*$C$118*0.72)*D$40)*('Product half-life and C flows'!B139/100)</f>
        <v>0.12626298244285034</v>
      </c>
      <c r="E238" s="26"/>
      <c r="F238" s="54">
        <f t="shared" si="73"/>
        <v>0</v>
      </c>
      <c r="G238" s="54">
        <f t="shared" si="73"/>
        <v>0.7542108817919595</v>
      </c>
      <c r="H238" s="125">
        <f>(H$118)*('Product half-life and C flows'!L139/100)</f>
        <v>0.3711899086052593</v>
      </c>
      <c r="I238" s="125">
        <f>(($C$39*$C$118*0.28)*H$41)*('Product half-life and C flows'!N139/100)</f>
        <v>0.99385240804580444</v>
      </c>
      <c r="J238" s="125">
        <f>(($C$39*$C$118*0.28)*H$41)*(+'Product half-life and C flows'!P139/100)</f>
        <v>0.49642977424865331</v>
      </c>
      <c r="K238" s="54">
        <f t="shared" si="49"/>
        <v>1.3434381331919276</v>
      </c>
      <c r="L238" s="26"/>
      <c r="M238" s="83">
        <f>C$158*(0.4*D$14)*('Product half-life and C flows'!B99/100)</f>
        <v>2.135523981272049</v>
      </c>
      <c r="N238" s="83">
        <f t="shared" si="67"/>
        <v>97.919008937551624</v>
      </c>
      <c r="O238" s="83">
        <f t="shared" si="71"/>
        <v>-2.5626287775264589</v>
      </c>
      <c r="P238" s="83">
        <f t="shared" si="71"/>
        <v>12.300618132127003</v>
      </c>
      <c r="Q238" s="83">
        <f>C$158*(0.6*C$15)*('Product half-life and C flows'!L99/100)</f>
        <v>11.210178324892714</v>
      </c>
      <c r="R238" s="83">
        <f>C$158*0.6*('Product half-life and C flows'!N99/100)</f>
        <v>18.170988394228115</v>
      </c>
      <c r="S238" s="83">
        <f>C$158*0.6*('Product half-life and C flows'!P99/100)</f>
        <v>9.076417779334724</v>
      </c>
      <c r="T238" s="83">
        <f t="shared" si="72"/>
        <v>21.910476047851219</v>
      </c>
      <c r="U238" s="3"/>
      <c r="V238" s="89"/>
      <c r="W238" s="89"/>
      <c r="X238" s="89"/>
      <c r="Y238" s="89"/>
      <c r="Z238" s="89"/>
      <c r="AA238" s="89"/>
      <c r="AB238" s="88"/>
      <c r="AC238" s="89"/>
      <c r="AE238">
        <f t="shared" si="53"/>
        <v>80</v>
      </c>
      <c r="AF238" s="3">
        <f t="shared" si="69"/>
        <v>34.987466326704045</v>
      </c>
      <c r="AG238" s="113">
        <f t="shared" si="54"/>
        <v>148.30837454278708</v>
      </c>
      <c r="AH238" s="124">
        <f t="shared" si="58"/>
        <v>2.2617869637148993</v>
      </c>
      <c r="AI238" s="124">
        <f t="shared" si="59"/>
        <v>97.919008937551624</v>
      </c>
      <c r="AJ238" s="124">
        <f t="shared" si="60"/>
        <v>-2.5626287775264589</v>
      </c>
      <c r="AK238" s="124">
        <f t="shared" si="61"/>
        <v>13.054829013918962</v>
      </c>
      <c r="AL238" s="124">
        <f t="shared" si="62"/>
        <v>11.581368233497974</v>
      </c>
      <c r="AM238" s="124">
        <f t="shared" si="63"/>
        <v>19.164840802273918</v>
      </c>
      <c r="AN238" s="124">
        <f t="shared" si="64"/>
        <v>9.5728475535833777</v>
      </c>
      <c r="AO238" s="124">
        <f t="shared" si="65"/>
        <v>23.253914181043147</v>
      </c>
      <c r="AP238" s="3">
        <f t="shared" si="68"/>
        <v>148.7302657632994</v>
      </c>
    </row>
    <row r="239" spans="1:42" ht="14">
      <c r="A239">
        <f>A238+1</f>
        <v>81</v>
      </c>
      <c r="B239" s="19">
        <f>B238+1</f>
        <v>161</v>
      </c>
      <c r="C239" s="26">
        <f t="shared" si="66"/>
        <v>148.68306961179661</v>
      </c>
      <c r="D239" s="26"/>
      <c r="E239" s="26"/>
      <c r="F239" s="26"/>
      <c r="G239" s="26"/>
      <c r="H239" s="26"/>
      <c r="I239" s="126"/>
      <c r="J239" s="26"/>
      <c r="K239" s="26"/>
      <c r="L239" s="26"/>
      <c r="M239" s="83">
        <f>C$158*(0.4*D$14)*('Product half-life and C flows'!B100/100)</f>
        <v>2.0627801948008937</v>
      </c>
      <c r="N239" s="85"/>
      <c r="O239" s="85">
        <f>O238</f>
        <v>-2.5626287775264589</v>
      </c>
      <c r="P239" s="85">
        <f>P238</f>
        <v>12.300618132127003</v>
      </c>
      <c r="Q239" s="83">
        <f>C$158*(0.6*C$15)*('Product half-life and C flows'!L100/100)</f>
        <v>11.038827979547648</v>
      </c>
      <c r="R239" s="85">
        <f>C$158*0.6*('Product half-life and C flows'!N100/100)</f>
        <v>18.285336191355054</v>
      </c>
      <c r="S239" s="85">
        <f>C$158*0.6*('Product half-life and C flows'!P100/100)</f>
        <v>9.1335345611164129</v>
      </c>
      <c r="T239" s="85">
        <f>Q239</f>
        <v>11.038827979547648</v>
      </c>
      <c r="U239" s="3"/>
      <c r="V239" s="90">
        <f>N$238*(0.4*V$40)*('Product half-life and C flows'!B19/100)</f>
        <v>39.167603575020649</v>
      </c>
      <c r="W239" s="90">
        <f t="shared" ref="W239:W302" si="74">C$8*(1-EXP(-C$9*$B78))^3</f>
        <v>0</v>
      </c>
      <c r="X239" s="91">
        <f>(N$238*((0.4*X$40))-(N$238*0.03))</f>
        <v>-2.9375702681265485</v>
      </c>
      <c r="Y239" s="91">
        <f>(N$238*((0.6*Y$41)))</f>
        <v>14.100337287007433</v>
      </c>
      <c r="Z239" s="91">
        <f>N$238*(0.6*Z$41)*('Product half-life and C flows'!L19/100)</f>
        <v>44.063554021898227</v>
      </c>
      <c r="AA239" s="91">
        <f>N$238*0.6*('Product half-life and C flows'!N19/100)</f>
        <v>0</v>
      </c>
      <c r="AB239" s="91">
        <f>N$238*0.6*('Product half-life and C flows'!P19/100)</f>
        <v>0</v>
      </c>
      <c r="AC239" s="91">
        <f>(Z239*AC$42)</f>
        <v>25.116225792481988</v>
      </c>
      <c r="AD239" s="17"/>
      <c r="AE239">
        <f t="shared" si="53"/>
        <v>81</v>
      </c>
      <c r="AF239" s="3">
        <f t="shared" si="69"/>
        <v>35.162649185992045</v>
      </c>
      <c r="AG239" s="113">
        <f t="shared" si="54"/>
        <v>148.68306961179661</v>
      </c>
      <c r="AH239" s="124">
        <f t="shared" si="58"/>
        <v>41.230383769821543</v>
      </c>
      <c r="AI239" s="124">
        <f t="shared" si="59"/>
        <v>0</v>
      </c>
      <c r="AJ239" s="124">
        <f t="shared" si="60"/>
        <v>-5.500199045653007</v>
      </c>
      <c r="AK239" s="124">
        <f t="shared" si="61"/>
        <v>26.400955419134434</v>
      </c>
      <c r="AL239" s="124">
        <f t="shared" si="62"/>
        <v>55.102382001445875</v>
      </c>
      <c r="AM239" s="124">
        <f t="shared" si="63"/>
        <v>18.285336191355054</v>
      </c>
      <c r="AN239" s="124">
        <f t="shared" si="64"/>
        <v>9.1335345611164129</v>
      </c>
      <c r="AO239" s="124">
        <f t="shared" si="65"/>
        <v>36.155053772029632</v>
      </c>
      <c r="AP239" s="3">
        <f t="shared" si="68"/>
        <v>103.42200912739878</v>
      </c>
    </row>
    <row r="240" spans="1:42" ht="14">
      <c r="A240">
        <f t="shared" ref="A240:B255" si="75">A239+1</f>
        <v>82</v>
      </c>
      <c r="B240" s="19">
        <f t="shared" si="75"/>
        <v>162</v>
      </c>
      <c r="C240" s="26">
        <f t="shared" si="66"/>
        <v>149.05095718270039</v>
      </c>
      <c r="D240" s="26"/>
      <c r="E240" s="26"/>
      <c r="F240" s="26"/>
      <c r="G240" s="26"/>
      <c r="H240" s="26"/>
      <c r="I240" s="126"/>
      <c r="J240" s="26"/>
      <c r="K240" s="26"/>
      <c r="L240" s="26"/>
      <c r="M240" s="83">
        <f>C$158*(0.4*D$14)*('Product half-life and C flows'!B101/100)</f>
        <v>1.9925143287448539</v>
      </c>
      <c r="N240" s="85"/>
      <c r="O240" s="85">
        <f t="shared" ref="O240:P255" si="76">O239</f>
        <v>-2.5626287775264589</v>
      </c>
      <c r="P240" s="85">
        <f>P239</f>
        <v>12.300618132127003</v>
      </c>
      <c r="Q240" s="83">
        <f>C$158*(0.6*C$15)*('Product half-life and C flows'!L101/100)</f>
        <v>10.870096766565949</v>
      </c>
      <c r="R240" s="85">
        <f>C$158*0.6*('Product half-life and C flows'!N101/100)</f>
        <v>18.397936154151509</v>
      </c>
      <c r="S240" s="85">
        <f>C$158*0.6*('Product half-life and C flows'!P101/100)</f>
        <v>9.1897782987769805</v>
      </c>
      <c r="T240" s="85">
        <f>T239</f>
        <v>11.038827979547648</v>
      </c>
      <c r="U240" s="3"/>
      <c r="V240" s="90">
        <f>N$238*(0.4*V$40)*('Product half-life and C flows'!B20/100)</f>
        <v>37.833411210039102</v>
      </c>
      <c r="W240" s="90">
        <f t="shared" si="74"/>
        <v>6.6880163224559471E-3</v>
      </c>
      <c r="X240" s="89">
        <f>X239</f>
        <v>-2.9375702681265485</v>
      </c>
      <c r="Y240" s="89">
        <f>Y239</f>
        <v>14.100337287007433</v>
      </c>
      <c r="Z240" s="91">
        <f>N$238*(0.6*Z$41)*('Product half-life and C flows'!L20/100)</f>
        <v>43.390031712086476</v>
      </c>
      <c r="AA240" s="91">
        <f>N$238*0.6*('Product half-life and C flows'!N20/100)</f>
        <v>0.44946388808104254</v>
      </c>
      <c r="AB240" s="91">
        <f>N$238*0.6*('Product half-life and C flows'!P20/100)</f>
        <v>0.22450743660391737</v>
      </c>
      <c r="AC240" s="89">
        <f>AC239</f>
        <v>25.116225792481988</v>
      </c>
      <c r="AD240" s="17"/>
      <c r="AE240">
        <f t="shared" si="53"/>
        <v>82</v>
      </c>
      <c r="AF240" s="3">
        <f t="shared" si="69"/>
        <v>35.331512916552313</v>
      </c>
      <c r="AG240" s="113">
        <f t="shared" si="54"/>
        <v>149.05095718270039</v>
      </c>
      <c r="AH240" s="124">
        <f t="shared" si="58"/>
        <v>39.825925538783956</v>
      </c>
      <c r="AI240" s="124">
        <f t="shared" si="59"/>
        <v>6.6880163224559471E-3</v>
      </c>
      <c r="AJ240" s="124">
        <f t="shared" si="60"/>
        <v>-5.500199045653007</v>
      </c>
      <c r="AK240" s="124">
        <f t="shared" si="61"/>
        <v>26.400955419134434</v>
      </c>
      <c r="AL240" s="124">
        <f t="shared" si="62"/>
        <v>54.260128478652426</v>
      </c>
      <c r="AM240" s="124">
        <f t="shared" si="63"/>
        <v>18.84740004223255</v>
      </c>
      <c r="AN240" s="124">
        <f t="shared" si="64"/>
        <v>9.4142857353808971</v>
      </c>
      <c r="AO240" s="124">
        <f t="shared" si="65"/>
        <v>36.155053772029632</v>
      </c>
      <c r="AP240" s="3">
        <f t="shared" si="68"/>
        <v>103.42925864606975</v>
      </c>
    </row>
    <row r="241" spans="1:42" ht="14">
      <c r="A241">
        <f t="shared" si="75"/>
        <v>83</v>
      </c>
      <c r="B241" s="19">
        <f t="shared" si="75"/>
        <v>163</v>
      </c>
      <c r="C241" s="26">
        <f t="shared" si="66"/>
        <v>149.41214854224799</v>
      </c>
      <c r="D241" s="26"/>
      <c r="E241" s="26"/>
      <c r="F241" s="26"/>
      <c r="G241" s="26"/>
      <c r="H241" s="26"/>
      <c r="I241" s="126"/>
      <c r="J241" s="26"/>
      <c r="K241" s="26"/>
      <c r="L241" s="26"/>
      <c r="M241" s="83">
        <f>C$158*(0.4*D$14)*('Product half-life and C flows'!B102/100)</f>
        <v>1.9246419760379554</v>
      </c>
      <c r="N241" s="85"/>
      <c r="O241" s="85">
        <f t="shared" si="76"/>
        <v>-2.5626287775264589</v>
      </c>
      <c r="P241" s="85">
        <f t="shared" si="76"/>
        <v>12.300618132127003</v>
      </c>
      <c r="Q241" s="83">
        <f>C$158*(0.6*C$15)*('Product half-life and C flows'!L102/100)</f>
        <v>10.703944651862347</v>
      </c>
      <c r="R241" s="85">
        <f>C$158*0.6*('Product half-life and C flows'!N102/100)</f>
        <v>18.508814998697048</v>
      </c>
      <c r="S241" s="85">
        <f>C$158*0.6*('Product half-life and C flows'!P102/100)</f>
        <v>9.2451623370115108</v>
      </c>
      <c r="T241" s="85">
        <f t="shared" ref="T241:T304" si="77">T240</f>
        <v>11.038827979547648</v>
      </c>
      <c r="U241" s="3"/>
      <c r="V241" s="90">
        <f>N$238*(0.4*V$40)*('Product half-life and C flows'!B21/100)</f>
        <v>36.544666334929268</v>
      </c>
      <c r="W241" s="90">
        <f t="shared" si="74"/>
        <v>5.0418532610901234E-2</v>
      </c>
      <c r="X241" s="89">
        <f t="shared" ref="X241:Y256" si="78">X240</f>
        <v>-2.9375702681265485</v>
      </c>
      <c r="Y241" s="89">
        <f t="shared" si="78"/>
        <v>14.100337287007433</v>
      </c>
      <c r="Z241" s="91">
        <f>N$238*(0.6*Z$41)*('Product half-life and C flows'!L21/100)</f>
        <v>42.726804357184371</v>
      </c>
      <c r="AA241" s="91">
        <f>N$238*0.6*('Product half-life and C flows'!N21/100)</f>
        <v>0.89205760958571279</v>
      </c>
      <c r="AB241" s="91">
        <f>N$238*0.6*('Product half-life and C flows'!P21/100)</f>
        <v>0.4455832215712851</v>
      </c>
      <c r="AC241" s="89">
        <f t="shared" ref="AC241:AC304" si="79">AC240</f>
        <v>25.116225792481988</v>
      </c>
      <c r="AD241" s="17"/>
      <c r="AE241">
        <f t="shared" si="53"/>
        <v>83</v>
      </c>
      <c r="AF241" s="3">
        <f t="shared" si="69"/>
        <v>35.49426382918903</v>
      </c>
      <c r="AG241" s="113">
        <f t="shared" si="54"/>
        <v>149.41214854224799</v>
      </c>
      <c r="AH241" s="124">
        <f t="shared" si="58"/>
        <v>38.469308310967222</v>
      </c>
      <c r="AI241" s="124">
        <f t="shared" si="59"/>
        <v>5.0418532610901234E-2</v>
      </c>
      <c r="AJ241" s="124">
        <f t="shared" si="60"/>
        <v>-5.500199045653007</v>
      </c>
      <c r="AK241" s="124">
        <f t="shared" si="61"/>
        <v>26.400955419134434</v>
      </c>
      <c r="AL241" s="124">
        <f t="shared" si="62"/>
        <v>53.430749009046721</v>
      </c>
      <c r="AM241" s="124">
        <f t="shared" si="63"/>
        <v>19.400872608282761</v>
      </c>
      <c r="AN241" s="124">
        <f t="shared" si="64"/>
        <v>9.6907455585827957</v>
      </c>
      <c r="AO241" s="124">
        <f t="shared" si="65"/>
        <v>36.155053772029632</v>
      </c>
      <c r="AP241" s="3">
        <f t="shared" si="68"/>
        <v>103.4735420820046</v>
      </c>
    </row>
    <row r="242" spans="1:42" ht="14">
      <c r="A242">
        <f t="shared" si="75"/>
        <v>84</v>
      </c>
      <c r="B242" s="19">
        <f t="shared" si="75"/>
        <v>164</v>
      </c>
      <c r="C242" s="26">
        <f t="shared" si="66"/>
        <v>149.76675366721204</v>
      </c>
      <c r="D242" s="26"/>
      <c r="E242" s="26"/>
      <c r="F242" s="26"/>
      <c r="G242" s="26"/>
      <c r="H242" s="26"/>
      <c r="I242" s="126"/>
      <c r="J242" s="26"/>
      <c r="K242" s="26"/>
      <c r="L242" s="26"/>
      <c r="M242" s="83">
        <f>C$158*(0.4*D$14)*('Product half-life and C flows'!B103/100)</f>
        <v>1.8590816048287642</v>
      </c>
      <c r="N242" s="85"/>
      <c r="O242" s="85">
        <f t="shared" si="76"/>
        <v>-2.5626287775264589</v>
      </c>
      <c r="P242" s="85">
        <f t="shared" si="76"/>
        <v>12.300618132127003</v>
      </c>
      <c r="Q242" s="83">
        <f>C$158*(0.6*C$15)*('Product half-life and C flows'!L103/100)</f>
        <v>10.540332213282458</v>
      </c>
      <c r="R242" s="85">
        <f>C$158*0.6*('Product half-life and C flows'!N103/100)</f>
        <v>18.617999032709363</v>
      </c>
      <c r="S242" s="85">
        <f>C$158*0.6*('Product half-life and C flows'!P103/100)</f>
        <v>9.2996998165381424</v>
      </c>
      <c r="T242" s="85">
        <f t="shared" si="77"/>
        <v>11.038827979547648</v>
      </c>
      <c r="U242" s="3"/>
      <c r="V242" s="90">
        <f>N$238*(0.4*V$40)*('Product half-life and C flows'!B22/100)</f>
        <v>35.299820841344967</v>
      </c>
      <c r="W242" s="90">
        <f t="shared" si="74"/>
        <v>0.16041335764575598</v>
      </c>
      <c r="X242" s="89">
        <f t="shared" si="78"/>
        <v>-2.9375702681265485</v>
      </c>
      <c r="Y242" s="89">
        <f t="shared" si="78"/>
        <v>14.100337287007433</v>
      </c>
      <c r="Z242" s="91">
        <f>N$238*(0.6*Z$41)*('Product half-life and C flows'!L22/100)</f>
        <v>42.07371459626259</v>
      </c>
      <c r="AA242" s="91">
        <f>N$238*0.6*('Product half-life and C flows'!N22/100)</f>
        <v>1.3278861767075159</v>
      </c>
      <c r="AB242" s="91">
        <f>N$238*0.6*('Product half-life and C flows'!P22/100)</f>
        <v>0.66327980854521273</v>
      </c>
      <c r="AC242" s="89">
        <f t="shared" si="79"/>
        <v>25.116225792481988</v>
      </c>
      <c r="AD242" s="17"/>
      <c r="AE242">
        <f t="shared" si="53"/>
        <v>84</v>
      </c>
      <c r="AF242" s="3">
        <f t="shared" si="69"/>
        <v>35.651103241394253</v>
      </c>
      <c r="AG242" s="113">
        <f t="shared" si="54"/>
        <v>149.76675366721204</v>
      </c>
      <c r="AH242" s="124">
        <f t="shared" si="58"/>
        <v>37.158902446173734</v>
      </c>
      <c r="AI242" s="124">
        <f t="shared" si="59"/>
        <v>0.16041335764575598</v>
      </c>
      <c r="AJ242" s="124">
        <f t="shared" si="60"/>
        <v>-5.500199045653007</v>
      </c>
      <c r="AK242" s="124">
        <f t="shared" si="61"/>
        <v>26.400955419134434</v>
      </c>
      <c r="AL242" s="124">
        <f t="shared" si="62"/>
        <v>52.614046809545044</v>
      </c>
      <c r="AM242" s="124">
        <f t="shared" si="63"/>
        <v>19.945885209416879</v>
      </c>
      <c r="AN242" s="124">
        <f t="shared" si="64"/>
        <v>9.9629796250833547</v>
      </c>
      <c r="AO242" s="124">
        <f t="shared" si="65"/>
        <v>36.155053772029632</v>
      </c>
      <c r="AP242" s="3">
        <f t="shared" si="68"/>
        <v>103.58408137517246</v>
      </c>
    </row>
    <row r="243" spans="1:42" ht="14">
      <c r="A243">
        <f t="shared" si="75"/>
        <v>85</v>
      </c>
      <c r="B243" s="19">
        <f t="shared" si="75"/>
        <v>165</v>
      </c>
      <c r="C243" s="26">
        <f t="shared" si="66"/>
        <v>150.11488121693054</v>
      </c>
      <c r="D243" s="26"/>
      <c r="E243" s="26"/>
      <c r="F243" s="26"/>
      <c r="G243" s="26"/>
      <c r="H243" s="26"/>
      <c r="I243" s="126"/>
      <c r="J243" s="26"/>
      <c r="K243" s="26"/>
      <c r="L243" s="26"/>
      <c r="M243" s="83">
        <f>C$158*(0.4*D$14)*('Product half-life and C flows'!B104/100)</f>
        <v>1.7957544605400069</v>
      </c>
      <c r="N243" s="85"/>
      <c r="O243" s="85">
        <f t="shared" si="76"/>
        <v>-2.5626287775264589</v>
      </c>
      <c r="P243" s="85">
        <f t="shared" si="76"/>
        <v>12.300618132127003</v>
      </c>
      <c r="Q243" s="83">
        <f>C$158*(0.6*C$15)*('Product half-life and C flows'!L104/100)</f>
        <v>10.379220631249263</v>
      </c>
      <c r="R243" s="85">
        <f>C$158*0.6*('Product half-life and C flows'!N104/100)</f>
        <v>18.725514161786183</v>
      </c>
      <c r="S243" s="85">
        <f>C$158*0.6*('Product half-life and C flows'!P104/100)</f>
        <v>9.3534036772158728</v>
      </c>
      <c r="T243" s="85">
        <f t="shared" si="77"/>
        <v>11.038827979547648</v>
      </c>
      <c r="U243" s="3"/>
      <c r="V243" s="90">
        <f>N$238*(0.4*V$40)*('Product half-life and C flows'!B23/100)</f>
        <v>34.09737935519351</v>
      </c>
      <c r="W243" s="90">
        <f t="shared" si="74"/>
        <v>0.35859718815808966</v>
      </c>
      <c r="X243" s="89">
        <f t="shared" si="78"/>
        <v>-2.9375702681265485</v>
      </c>
      <c r="Y243" s="89">
        <f t="shared" si="78"/>
        <v>14.100337287007433</v>
      </c>
      <c r="Z243" s="91">
        <f>N$238*(0.6*Z$41)*('Product half-life and C flows'!L23/100)</f>
        <v>41.43060747369249</v>
      </c>
      <c r="AA243" s="91">
        <f>N$238*0.6*('Product half-life and C flows'!N23/100)</f>
        <v>1.7570529965026274</v>
      </c>
      <c r="AB243" s="91">
        <f>N$238*0.6*('Product half-life and C flows'!P23/100)</f>
        <v>0.87764884940191168</v>
      </c>
      <c r="AC243" s="89">
        <f t="shared" si="79"/>
        <v>25.116225792481988</v>
      </c>
      <c r="AD243" s="17"/>
      <c r="AE243">
        <f t="shared" si="53"/>
        <v>85</v>
      </c>
      <c r="AF243" s="3">
        <f t="shared" si="69"/>
        <v>35.802227445467089</v>
      </c>
      <c r="AG243" s="113">
        <f t="shared" si="54"/>
        <v>150.11488121693054</v>
      </c>
      <c r="AH243" s="124">
        <f t="shared" si="58"/>
        <v>35.89313381573352</v>
      </c>
      <c r="AI243" s="124">
        <f t="shared" si="59"/>
        <v>0.35859718815808966</v>
      </c>
      <c r="AJ243" s="124">
        <f t="shared" si="60"/>
        <v>-5.500199045653007</v>
      </c>
      <c r="AK243" s="124">
        <f t="shared" si="61"/>
        <v>26.400955419134434</v>
      </c>
      <c r="AL243" s="124">
        <f t="shared" si="62"/>
        <v>51.809828104941751</v>
      </c>
      <c r="AM243" s="124">
        <f t="shared" si="63"/>
        <v>20.482567158288809</v>
      </c>
      <c r="AN243" s="124">
        <f t="shared" si="64"/>
        <v>10.231052526617784</v>
      </c>
      <c r="AO243" s="124">
        <f t="shared" si="65"/>
        <v>36.155053772029632</v>
      </c>
      <c r="AP243" s="3">
        <f t="shared" si="68"/>
        <v>103.78280135148788</v>
      </c>
    </row>
    <row r="244" spans="1:42" ht="14">
      <c r="A244">
        <f t="shared" si="75"/>
        <v>86</v>
      </c>
      <c r="B244" s="19">
        <f t="shared" si="75"/>
        <v>166</v>
      </c>
      <c r="C244" s="26">
        <f t="shared" si="66"/>
        <v>150.45663852721071</v>
      </c>
      <c r="D244" s="26"/>
      <c r="E244" s="26"/>
      <c r="F244" s="26"/>
      <c r="G244" s="26"/>
      <c r="H244" s="26"/>
      <c r="I244" s="126"/>
      <c r="J244" s="26"/>
      <c r="K244" s="26"/>
      <c r="L244" s="26"/>
      <c r="M244" s="83">
        <f>C$158*(0.4*D$14)*('Product half-life and C flows'!B105/100)</f>
        <v>1.7345844712644303</v>
      </c>
      <c r="N244" s="85"/>
      <c r="O244" s="85">
        <f t="shared" si="76"/>
        <v>-2.5626287775264589</v>
      </c>
      <c r="P244" s="85">
        <f t="shared" si="76"/>
        <v>12.300618132127003</v>
      </c>
      <c r="Q244" s="83">
        <f>C$158*(0.6*C$15)*('Product half-life and C flows'!L105/100)</f>
        <v>10.22057167955257</v>
      </c>
      <c r="R244" s="85">
        <f>C$158*0.6*('Product half-life and C flows'!N105/100)</f>
        <v>18.831385895551776</v>
      </c>
      <c r="S244" s="85">
        <f>C$158*0.6*('Product half-life and C flows'!P105/100)</f>
        <v>9.4062866611147697</v>
      </c>
      <c r="T244" s="85">
        <f t="shared" si="77"/>
        <v>11.038827979547648</v>
      </c>
      <c r="U244" s="3"/>
      <c r="V244" s="90">
        <f>N$238*(0.4*V$40)*('Product half-life and C flows'!B24/100)</f>
        <v>32.93589744031344</v>
      </c>
      <c r="W244" s="90">
        <f t="shared" si="74"/>
        <v>0.66078557389625781</v>
      </c>
      <c r="X244" s="89">
        <f t="shared" si="78"/>
        <v>-2.9375702681265485</v>
      </c>
      <c r="Y244" s="89">
        <f t="shared" si="78"/>
        <v>14.100337287007433</v>
      </c>
      <c r="Z244" s="91">
        <f>N$238*(0.6*Z$41)*('Product half-life and C flows'!L24/100)</f>
        <v>40.797330402380503</v>
      </c>
      <c r="AA244" s="91">
        <f>N$238*0.6*('Product half-life and C flows'!N24/100)</f>
        <v>2.1796598954248299</v>
      </c>
      <c r="AB244" s="91">
        <f>N$238*0.6*('Product half-life and C flows'!P24/100)</f>
        <v>1.088741206505909</v>
      </c>
      <c r="AC244" s="89">
        <f t="shared" si="79"/>
        <v>25.116225792481988</v>
      </c>
      <c r="AD244" s="17"/>
      <c r="AE244">
        <f t="shared" si="53"/>
        <v>86</v>
      </c>
      <c r="AF244" s="3">
        <f t="shared" si="69"/>
        <v>35.947827694213267</v>
      </c>
      <c r="AG244" s="113">
        <f t="shared" si="54"/>
        <v>150.45663852721071</v>
      </c>
      <c r="AH244" s="124">
        <f t="shared" si="58"/>
        <v>34.670481911577873</v>
      </c>
      <c r="AI244" s="124">
        <f t="shared" si="59"/>
        <v>0.66078557389625781</v>
      </c>
      <c r="AJ244" s="124">
        <f t="shared" si="60"/>
        <v>-5.500199045653007</v>
      </c>
      <c r="AK244" s="124">
        <f t="shared" si="61"/>
        <v>26.400955419134434</v>
      </c>
      <c r="AL244" s="124">
        <f t="shared" si="62"/>
        <v>51.017902081933073</v>
      </c>
      <c r="AM244" s="124">
        <f t="shared" si="63"/>
        <v>21.011045790976606</v>
      </c>
      <c r="AN244" s="124">
        <f t="shared" si="64"/>
        <v>10.495027867620678</v>
      </c>
      <c r="AO244" s="124">
        <f t="shared" si="65"/>
        <v>36.155053772029632</v>
      </c>
      <c r="AP244" s="3">
        <f t="shared" si="68"/>
        <v>104.08551768790805</v>
      </c>
    </row>
    <row r="245" spans="1:42" ht="14">
      <c r="A245">
        <f t="shared" si="75"/>
        <v>87</v>
      </c>
      <c r="B245" s="19">
        <f t="shared" si="75"/>
        <v>167</v>
      </c>
      <c r="C245" s="26">
        <f t="shared" si="66"/>
        <v>150.79213160552499</v>
      </c>
      <c r="D245" s="26"/>
      <c r="E245" s="26"/>
      <c r="F245" s="26"/>
      <c r="G245" s="26"/>
      <c r="H245" s="26"/>
      <c r="I245" s="126"/>
      <c r="J245" s="26"/>
      <c r="K245" s="26"/>
      <c r="L245" s="26"/>
      <c r="M245" s="83">
        <f>C$158*(0.4*D$14)*('Product half-life and C flows'!B106/100)</f>
        <v>1.6754981563832092</v>
      </c>
      <c r="N245" s="85"/>
      <c r="O245" s="85">
        <f t="shared" si="76"/>
        <v>-2.5626287775264589</v>
      </c>
      <c r="P245" s="85">
        <f t="shared" si="76"/>
        <v>12.300618132127003</v>
      </c>
      <c r="Q245" s="83">
        <f>C$158*(0.6*C$15)*('Product half-life and C flows'!L106/100)</f>
        <v>10.064347716279256</v>
      </c>
      <c r="R245" s="85">
        <f>C$158*0.6*('Product half-life and C flows'!N106/100)</f>
        <v>18.935639353709501</v>
      </c>
      <c r="S245" s="85">
        <f>C$158*0.6*('Product half-life and C flows'!P106/100)</f>
        <v>9.4583613155392072</v>
      </c>
      <c r="T245" s="85">
        <f t="shared" si="77"/>
        <v>11.038827979547648</v>
      </c>
      <c r="U245" s="3"/>
      <c r="V245" s="90">
        <f>N$238*(0.4*V$40)*('Product half-life and C flows'!B25/100)</f>
        <v>31.813979863341579</v>
      </c>
      <c r="W245" s="90">
        <f t="shared" si="74"/>
        <v>1.0777084645502373</v>
      </c>
      <c r="X245" s="89">
        <f t="shared" si="78"/>
        <v>-2.9375702681265485</v>
      </c>
      <c r="Y245" s="89">
        <f t="shared" si="78"/>
        <v>14.100337287007433</v>
      </c>
      <c r="Z245" s="91">
        <f>N$238*(0.6*Z$41)*('Product half-life and C flows'!L25/100)</f>
        <v>40.173733127564475</v>
      </c>
      <c r="AA245" s="91">
        <f>N$238*0.6*('Product half-life and C flows'!N25/100)</f>
        <v>2.5958071434853918</v>
      </c>
      <c r="AB245" s="91">
        <f>N$238*0.6*('Product half-life and C flows'!P25/100)</f>
        <v>1.2966069647779181</v>
      </c>
      <c r="AC245" s="89">
        <f t="shared" si="79"/>
        <v>25.116225792481988</v>
      </c>
      <c r="AD245" s="17"/>
      <c r="AE245">
        <f t="shared" si="53"/>
        <v>87</v>
      </c>
      <c r="AF245" s="3">
        <f t="shared" si="69"/>
        <v>36.088090202413362</v>
      </c>
      <c r="AG245" s="113">
        <f t="shared" si="54"/>
        <v>150.79213160552499</v>
      </c>
      <c r="AH245" s="124">
        <f t="shared" si="58"/>
        <v>33.489478019724785</v>
      </c>
      <c r="AI245" s="124">
        <f t="shared" si="59"/>
        <v>1.0777084645502373</v>
      </c>
      <c r="AJ245" s="124">
        <f t="shared" si="60"/>
        <v>-5.500199045653007</v>
      </c>
      <c r="AK245" s="124">
        <f t="shared" si="61"/>
        <v>26.400955419134434</v>
      </c>
      <c r="AL245" s="124">
        <f t="shared" si="62"/>
        <v>50.238080843843733</v>
      </c>
      <c r="AM245" s="124">
        <f t="shared" si="63"/>
        <v>21.531446497194892</v>
      </c>
      <c r="AN245" s="124">
        <f t="shared" si="64"/>
        <v>10.754968280317126</v>
      </c>
      <c r="AO245" s="124">
        <f t="shared" si="65"/>
        <v>36.155053772029632</v>
      </c>
      <c r="AP245" s="3">
        <f t="shared" si="68"/>
        <v>104.50296045938742</v>
      </c>
    </row>
    <row r="246" spans="1:42" ht="14">
      <c r="A246">
        <f t="shared" si="75"/>
        <v>88</v>
      </c>
      <c r="B246" s="19">
        <f t="shared" si="75"/>
        <v>168</v>
      </c>
      <c r="C246" s="26">
        <f t="shared" si="66"/>
        <v>151.12146512743382</v>
      </c>
      <c r="D246" s="26"/>
      <c r="E246" s="26"/>
      <c r="F246" s="26"/>
      <c r="G246" s="26"/>
      <c r="H246" s="26"/>
      <c r="I246" s="126"/>
      <c r="J246" s="26"/>
      <c r="K246" s="26"/>
      <c r="L246" s="26"/>
      <c r="M246" s="83">
        <f>C$158*(0.4*D$14)*('Product half-life and C flows'!B107/100)</f>
        <v>1.6184245382971429</v>
      </c>
      <c r="N246" s="85"/>
      <c r="O246" s="85">
        <f t="shared" si="76"/>
        <v>-2.5626287775264589</v>
      </c>
      <c r="P246" s="85">
        <f t="shared" si="76"/>
        <v>12.300618132127003</v>
      </c>
      <c r="Q246" s="83">
        <f>C$158*(0.6*C$15)*('Product half-life and C flows'!L107/100)</f>
        <v>9.9105116748821338</v>
      </c>
      <c r="R246" s="85">
        <f>C$158*0.6*('Product half-life and C flows'!N107/100)</f>
        <v>19.038299272001847</v>
      </c>
      <c r="S246" s="85">
        <f>C$158*0.6*('Product half-life and C flows'!P107/100)</f>
        <v>9.5096399960049158</v>
      </c>
      <c r="T246" s="85">
        <f t="shared" si="77"/>
        <v>11.038827979547648</v>
      </c>
      <c r="U246" s="3"/>
      <c r="V246" s="90">
        <f>N$238*(0.4*V$40)*('Product half-life and C flows'!B26/100)</f>
        <v>30.730278917685126</v>
      </c>
      <c r="W246" s="90">
        <f t="shared" si="74"/>
        <v>1.6158903296459175</v>
      </c>
      <c r="X246" s="89">
        <f t="shared" si="78"/>
        <v>-2.9375702681265485</v>
      </c>
      <c r="Y246" s="89">
        <f t="shared" si="78"/>
        <v>14.100337287007433</v>
      </c>
      <c r="Z246" s="91">
        <f>N$238*(0.6*Z$41)*('Product half-life and C flows'!L26/100)</f>
        <v>39.559667691163426</v>
      </c>
      <c r="AA246" s="91">
        <f>N$238*0.6*('Product half-life and C flows'!N26/100)</f>
        <v>3.0055934780436897</v>
      </c>
      <c r="AB246" s="91">
        <f>N$238*0.6*('Product half-life and C flows'!P26/100)</f>
        <v>1.5012954435782668</v>
      </c>
      <c r="AC246" s="89">
        <f t="shared" si="79"/>
        <v>25.116225792481988</v>
      </c>
      <c r="AD246" s="17"/>
      <c r="AE246">
        <f t="shared" si="53"/>
        <v>88</v>
      </c>
      <c r="AF246" s="3">
        <f t="shared" si="69"/>
        <v>36.223196162389392</v>
      </c>
      <c r="AG246" s="113">
        <f t="shared" si="54"/>
        <v>151.12146512743382</v>
      </c>
      <c r="AH246" s="124">
        <f t="shared" si="58"/>
        <v>32.348703455982267</v>
      </c>
      <c r="AI246" s="124">
        <f t="shared" si="59"/>
        <v>1.6158903296459175</v>
      </c>
      <c r="AJ246" s="124">
        <f t="shared" si="60"/>
        <v>-5.500199045653007</v>
      </c>
      <c r="AK246" s="124">
        <f t="shared" si="61"/>
        <v>26.400955419134434</v>
      </c>
      <c r="AL246" s="124">
        <f t="shared" si="62"/>
        <v>49.470179366045556</v>
      </c>
      <c r="AM246" s="124">
        <f t="shared" si="63"/>
        <v>22.043892750045536</v>
      </c>
      <c r="AN246" s="124">
        <f t="shared" si="64"/>
        <v>11.010935439583182</v>
      </c>
      <c r="AO246" s="124">
        <f t="shared" si="65"/>
        <v>36.155053772029632</v>
      </c>
      <c r="AP246" s="3">
        <f t="shared" si="68"/>
        <v>105.04165425880161</v>
      </c>
    </row>
    <row r="247" spans="1:42" ht="14">
      <c r="A247">
        <f t="shared" si="75"/>
        <v>89</v>
      </c>
      <c r="B247" s="19">
        <f t="shared" si="75"/>
        <v>169</v>
      </c>
      <c r="C247" s="26">
        <f t="shared" si="66"/>
        <v>151.44474243417059</v>
      </c>
      <c r="D247" s="26"/>
      <c r="E247" s="26"/>
      <c r="F247" s="26"/>
      <c r="G247" s="26"/>
      <c r="H247" s="26"/>
      <c r="I247" s="126"/>
      <c r="J247" s="26"/>
      <c r="K247" s="26"/>
      <c r="L247" s="26"/>
      <c r="M247" s="83">
        <f>C$158*(0.4*D$14)*('Product half-life and C flows'!B108/100)</f>
        <v>1.5632950571646302</v>
      </c>
      <c r="N247" s="85"/>
      <c r="O247" s="85">
        <f t="shared" si="76"/>
        <v>-2.5626287775264589</v>
      </c>
      <c r="P247" s="85">
        <f t="shared" si="76"/>
        <v>12.300618132127003</v>
      </c>
      <c r="Q247" s="83">
        <f>C$158*(0.6*C$15)*('Product half-life and C flows'!L108/100)</f>
        <v>9.7590270553853564</v>
      </c>
      <c r="R247" s="85">
        <f>C$158*0.6*('Product half-life and C flows'!N108/100)</f>
        <v>19.139390008079364</v>
      </c>
      <c r="S247" s="85">
        <f>C$158*0.6*('Product half-life and C flows'!P108/100)</f>
        <v>9.5601348691705077</v>
      </c>
      <c r="T247" s="85">
        <f t="shared" si="77"/>
        <v>11.038827979547648</v>
      </c>
      <c r="U247" s="3"/>
      <c r="V247" s="90">
        <f>N$238*(0.4*V$40)*('Product half-life and C flows'!B27/100)</f>
        <v>29.683492804585349</v>
      </c>
      <c r="W247" s="90">
        <f t="shared" si="74"/>
        <v>2.2784052810626787</v>
      </c>
      <c r="X247" s="89">
        <f t="shared" si="78"/>
        <v>-2.9375702681265485</v>
      </c>
      <c r="Y247" s="89">
        <f t="shared" si="78"/>
        <v>14.100337287007433</v>
      </c>
      <c r="Z247" s="91">
        <f>N$238*(0.6*Z$41)*('Product half-life and C flows'!L27/100)</f>
        <v>38.954988396672199</v>
      </c>
      <c r="AA247" s="91">
        <f>N$238*0.6*('Product half-life and C flows'!N27/100)</f>
        <v>3.4091161272341695</v>
      </c>
      <c r="AB247" s="91">
        <f>N$238*0.6*('Product half-life and C flows'!P27/100)</f>
        <v>1.7028552084086761</v>
      </c>
      <c r="AC247" s="89">
        <f t="shared" si="79"/>
        <v>25.116225792481988</v>
      </c>
      <c r="AD247" s="17"/>
      <c r="AE247">
        <f t="shared" si="53"/>
        <v>89</v>
      </c>
      <c r="AF247" s="3">
        <f t="shared" si="69"/>
        <v>36.353321772133377</v>
      </c>
      <c r="AG247" s="113">
        <f t="shared" si="54"/>
        <v>151.44474243417059</v>
      </c>
      <c r="AH247" s="124">
        <f t="shared" si="58"/>
        <v>31.246787861749979</v>
      </c>
      <c r="AI247" s="124">
        <f t="shared" si="59"/>
        <v>2.2784052810626787</v>
      </c>
      <c r="AJ247" s="124">
        <f t="shared" si="60"/>
        <v>-5.500199045653007</v>
      </c>
      <c r="AK247" s="124">
        <f t="shared" si="61"/>
        <v>26.400955419134434</v>
      </c>
      <c r="AL247" s="124">
        <f t="shared" si="62"/>
        <v>48.714015452057552</v>
      </c>
      <c r="AM247" s="124">
        <f t="shared" si="63"/>
        <v>22.548506135313534</v>
      </c>
      <c r="AN247" s="124">
        <f t="shared" si="64"/>
        <v>11.262990077579184</v>
      </c>
      <c r="AO247" s="124">
        <f t="shared" si="65"/>
        <v>36.155053772029632</v>
      </c>
      <c r="AP247" s="3">
        <f t="shared" si="68"/>
        <v>105.70467331949438</v>
      </c>
    </row>
    <row r="248" spans="1:42" ht="14">
      <c r="A248">
        <f t="shared" si="75"/>
        <v>90</v>
      </c>
      <c r="B248" s="19">
        <f t="shared" si="75"/>
        <v>170</v>
      </c>
      <c r="C248" s="26">
        <f t="shared" si="66"/>
        <v>151.76206553132781</v>
      </c>
      <c r="D248" s="26"/>
      <c r="E248" s="26"/>
      <c r="F248" s="26"/>
      <c r="G248" s="26"/>
      <c r="H248" s="26"/>
      <c r="I248" s="126"/>
      <c r="J248" s="26"/>
      <c r="K248" s="26"/>
      <c r="L248" s="26"/>
      <c r="M248" s="83">
        <f>C$158*(0.4*D$14)*('Product half-life and C flows'!B109/100)</f>
        <v>1.5100434885439598</v>
      </c>
      <c r="N248" s="85"/>
      <c r="O248" s="85">
        <f t="shared" si="76"/>
        <v>-2.5626287775264589</v>
      </c>
      <c r="P248" s="85">
        <f t="shared" si="76"/>
        <v>12.300618132127003</v>
      </c>
      <c r="Q248" s="83">
        <f>C$158*(0.6*C$15)*('Product half-life and C flows'!L109/100)</f>
        <v>9.6098579157242199</v>
      </c>
      <c r="R248" s="85">
        <f>C$158*0.6*('Product half-life and C flows'!N109/100)</f>
        <v>19.23893554727989</v>
      </c>
      <c r="S248" s="85">
        <f>C$158*0.6*('Product half-life and C flows'!P109/100)</f>
        <v>9.6098579157242199</v>
      </c>
      <c r="T248" s="85">
        <f t="shared" si="77"/>
        <v>11.038827979547648</v>
      </c>
      <c r="U248" s="3"/>
      <c r="V248" s="90">
        <f>N$238*(0.4*V$40)*('Product half-life and C flows'!B28/100)</f>
        <v>28.672364069328236</v>
      </c>
      <c r="W248" s="90">
        <f t="shared" si="74"/>
        <v>3.0655233705876594</v>
      </c>
      <c r="X248" s="89">
        <f t="shared" si="78"/>
        <v>-2.9375702681265485</v>
      </c>
      <c r="Y248" s="89">
        <f t="shared" si="78"/>
        <v>14.100337287007433</v>
      </c>
      <c r="Z248" s="91">
        <f>N$238*(0.6*Z$41)*('Product half-life and C flows'!L28/100)</f>
        <v>38.359551774592695</v>
      </c>
      <c r="AA248" s="91">
        <f>N$238*0.6*('Product half-life and C flows'!N28/100)</f>
        <v>3.8064708330352239</v>
      </c>
      <c r="AB248" s="91">
        <f>N$238*0.6*('Product half-life and C flows'!P28/100)</f>
        <v>1.9013340824351768</v>
      </c>
      <c r="AC248" s="89">
        <f t="shared" si="79"/>
        <v>25.116225792481988</v>
      </c>
      <c r="AD248" s="17"/>
      <c r="AE248">
        <f t="shared" si="53"/>
        <v>90</v>
      </c>
      <c r="AF248" s="3">
        <f t="shared" si="69"/>
        <v>36.47863827458491</v>
      </c>
      <c r="AG248" s="113">
        <f t="shared" si="54"/>
        <v>151.76206553132781</v>
      </c>
      <c r="AH248" s="124">
        <f t="shared" si="58"/>
        <v>30.182407557872196</v>
      </c>
      <c r="AI248" s="124">
        <f t="shared" si="59"/>
        <v>3.0655233705876594</v>
      </c>
      <c r="AJ248" s="124">
        <f t="shared" si="60"/>
        <v>-5.500199045653007</v>
      </c>
      <c r="AK248" s="124">
        <f t="shared" si="61"/>
        <v>26.400955419134434</v>
      </c>
      <c r="AL248" s="124">
        <f t="shared" si="62"/>
        <v>47.969409690316915</v>
      </c>
      <c r="AM248" s="124">
        <f t="shared" si="63"/>
        <v>23.045406380315114</v>
      </c>
      <c r="AN248" s="124">
        <f t="shared" si="64"/>
        <v>11.511191998159397</v>
      </c>
      <c r="AO248" s="124">
        <f t="shared" si="65"/>
        <v>36.155053772029632</v>
      </c>
      <c r="AP248" s="3">
        <f t="shared" si="68"/>
        <v>106.49228781286052</v>
      </c>
    </row>
    <row r="249" spans="1:42" ht="14">
      <c r="A249">
        <f t="shared" si="75"/>
        <v>91</v>
      </c>
      <c r="B249" s="19">
        <f t="shared" si="75"/>
        <v>171</v>
      </c>
      <c r="C249" s="26">
        <f t="shared" si="66"/>
        <v>152.07353508858631</v>
      </c>
      <c r="D249" s="26"/>
      <c r="E249" s="26"/>
      <c r="F249" s="26"/>
      <c r="G249" s="26"/>
      <c r="H249" s="26"/>
      <c r="I249" s="126"/>
      <c r="J249" s="26"/>
      <c r="K249" s="26"/>
      <c r="L249" s="26"/>
      <c r="M249" s="83">
        <f>C$158*(0.4*D$14)*('Product half-life and C flows'!B110/100)</f>
        <v>1.4586058638410195</v>
      </c>
      <c r="N249" s="85"/>
      <c r="O249" s="85">
        <f t="shared" si="76"/>
        <v>-2.5626287775264589</v>
      </c>
      <c r="P249" s="85">
        <f t="shared" si="76"/>
        <v>12.300618132127003</v>
      </c>
      <c r="Q249" s="83">
        <f>C$158*(0.6*C$15)*('Product half-life and C flows'!L110/100)</f>
        <v>9.4629688632173643</v>
      </c>
      <c r="R249" s="85">
        <f>C$158*0.6*('Product half-life and C flows'!N110/100)</f>
        <v>19.336959508319467</v>
      </c>
      <c r="S249" s="85">
        <f>C$158*0.6*('Product half-life and C flows'!P110/100)</f>
        <v>9.6588209332265063</v>
      </c>
      <c r="T249" s="85">
        <f t="shared" si="77"/>
        <v>11.038827979547648</v>
      </c>
      <c r="U249" s="3"/>
      <c r="V249" s="90">
        <f>N$238*(0.4*V$40)*('Product half-life and C flows'!B29/100)</f>
        <v>27.695678090723565</v>
      </c>
      <c r="W249" s="90">
        <f t="shared" si="74"/>
        <v>3.9752622463725169</v>
      </c>
      <c r="X249" s="89">
        <f t="shared" si="78"/>
        <v>-2.9375702681265485</v>
      </c>
      <c r="Y249" s="89">
        <f t="shared" si="78"/>
        <v>14.100337287007433</v>
      </c>
      <c r="Z249" s="91">
        <f>N$238*(0.6*Z$41)*('Product half-life and C flows'!L29/100)</f>
        <v>37.773216548393563</v>
      </c>
      <c r="AA249" s="91">
        <f>N$238*0.6*('Product half-life and C flows'!N29/100)</f>
        <v>4.1977518739854425</v>
      </c>
      <c r="AB249" s="91">
        <f>N$238*0.6*('Product half-life and C flows'!P29/100)</f>
        <v>2.0967791578348867</v>
      </c>
      <c r="AC249" s="89">
        <f t="shared" si="79"/>
        <v>25.116225792481988</v>
      </c>
      <c r="AD249" s="17"/>
      <c r="AE249">
        <f t="shared" si="53"/>
        <v>91</v>
      </c>
      <c r="AF249" s="3">
        <f t="shared" si="69"/>
        <v>36.599312006760897</v>
      </c>
      <c r="AG249" s="113">
        <f t="shared" si="54"/>
        <v>152.07353508858631</v>
      </c>
      <c r="AH249" s="124">
        <f t="shared" ref="AH249:AH280" si="80">D249+M249+V249</f>
        <v>29.154283954564583</v>
      </c>
      <c r="AI249" s="124">
        <f t="shared" ref="AI249:AI280" si="81">E249+N249+W249</f>
        <v>3.9752622463725169</v>
      </c>
      <c r="AJ249" s="124">
        <f t="shared" ref="AJ249:AJ280" si="82">F249+O249+X249</f>
        <v>-5.500199045653007</v>
      </c>
      <c r="AK249" s="124">
        <f t="shared" ref="AK249:AK280" si="83">G249+P249+Y249</f>
        <v>26.400955419134434</v>
      </c>
      <c r="AL249" s="124">
        <f t="shared" ref="AL249:AL280" si="84">H249+Q249+Z249</f>
        <v>47.236185411610926</v>
      </c>
      <c r="AM249" s="124">
        <f t="shared" ref="AM249:AM280" si="85">I249+R249+AA249</f>
        <v>23.534711382304909</v>
      </c>
      <c r="AN249" s="124">
        <f t="shared" ref="AN249:AN280" si="86">J249+S249+AB249</f>
        <v>11.755600091061392</v>
      </c>
      <c r="AO249" s="124">
        <f t="shared" si="65"/>
        <v>36.155053772029632</v>
      </c>
      <c r="AP249" s="3">
        <f t="shared" si="68"/>
        <v>107.40251550483117</v>
      </c>
    </row>
    <row r="250" spans="1:42" ht="14">
      <c r="A250">
        <f t="shared" si="75"/>
        <v>92</v>
      </c>
      <c r="B250" s="19">
        <f t="shared" si="75"/>
        <v>172</v>
      </c>
      <c r="C250" s="26">
        <f t="shared" si="66"/>
        <v>152.37925044043024</v>
      </c>
      <c r="D250" s="26"/>
      <c r="E250" s="26"/>
      <c r="F250" s="26"/>
      <c r="G250" s="26"/>
      <c r="H250" s="26"/>
      <c r="I250" s="126"/>
      <c r="J250" s="26"/>
      <c r="K250" s="26"/>
      <c r="L250" s="26"/>
      <c r="M250" s="83">
        <f>C$158*(0.4*D$14)*('Product half-life and C flows'!B111/100)</f>
        <v>1.4089203934668479</v>
      </c>
      <c r="N250" s="85"/>
      <c r="O250" s="85">
        <f t="shared" si="76"/>
        <v>-2.5626287775264589</v>
      </c>
      <c r="P250" s="85">
        <f t="shared" si="76"/>
        <v>12.300618132127003</v>
      </c>
      <c r="Q250" s="83">
        <f>C$158*(0.6*C$15)*('Product half-life and C flows'!L111/100)</f>
        <v>9.3183250461693028</v>
      </c>
      <c r="R250" s="85">
        <f>C$158*0.6*('Product half-life and C flows'!N111/100)</f>
        <v>19.433485148896207</v>
      </c>
      <c r="S250" s="85">
        <f>C$158*0.6*('Product half-life and C flows'!P111/100)</f>
        <v>9.7070355389091905</v>
      </c>
      <c r="T250" s="85">
        <f t="shared" si="77"/>
        <v>11.038827979547648</v>
      </c>
      <c r="U250" s="3"/>
      <c r="V250" s="90">
        <f>N$238*(0.4*V$40)*('Product half-life and C flows'!B30/100)</f>
        <v>26.752261622037793</v>
      </c>
      <c r="W250" s="90">
        <f t="shared" si="74"/>
        <v>5.0038566008813614</v>
      </c>
      <c r="X250" s="89">
        <f t="shared" si="78"/>
        <v>-2.9375702681265485</v>
      </c>
      <c r="Y250" s="89">
        <f t="shared" si="78"/>
        <v>14.100337287007433</v>
      </c>
      <c r="Z250" s="91">
        <f>N$238*(0.6*Z$41)*('Product half-life and C flows'!L30/100)</f>
        <v>37.195843600990145</v>
      </c>
      <c r="AA250" s="91">
        <f>N$238*0.6*('Product half-life and C flows'!N30/100)</f>
        <v>4.5830520875526597</v>
      </c>
      <c r="AB250" s="91">
        <f>N$238*0.6*('Product half-life and C flows'!P30/100)</f>
        <v>2.2892368069693605</v>
      </c>
      <c r="AC250" s="89">
        <f t="shared" si="79"/>
        <v>25.116225792481988</v>
      </c>
      <c r="AD250" s="17"/>
      <c r="AE250">
        <f t="shared" si="53"/>
        <v>92</v>
      </c>
      <c r="AF250" s="3">
        <f t="shared" si="69"/>
        <v>36.715504457548086</v>
      </c>
      <c r="AG250" s="113">
        <f t="shared" si="54"/>
        <v>152.37925044043024</v>
      </c>
      <c r="AH250" s="124">
        <f t="shared" si="80"/>
        <v>28.16118201550464</v>
      </c>
      <c r="AI250" s="124">
        <f t="shared" si="81"/>
        <v>5.0038566008813614</v>
      </c>
      <c r="AJ250" s="124">
        <f t="shared" si="82"/>
        <v>-5.500199045653007</v>
      </c>
      <c r="AK250" s="124">
        <f t="shared" si="83"/>
        <v>26.400955419134434</v>
      </c>
      <c r="AL250" s="124">
        <f t="shared" si="84"/>
        <v>46.514168647159451</v>
      </c>
      <c r="AM250" s="124">
        <f t="shared" si="85"/>
        <v>24.016537236448865</v>
      </c>
      <c r="AN250" s="124">
        <f t="shared" si="86"/>
        <v>11.996272345878552</v>
      </c>
      <c r="AO250" s="124">
        <f t="shared" si="65"/>
        <v>36.155053772029632</v>
      </c>
      <c r="AP250" s="3">
        <f t="shared" si="68"/>
        <v>108.43159120384966</v>
      </c>
    </row>
    <row r="251" spans="1:42" ht="14">
      <c r="A251">
        <f t="shared" si="75"/>
        <v>93</v>
      </c>
      <c r="B251" s="19">
        <f t="shared" si="75"/>
        <v>173</v>
      </c>
      <c r="C251" s="26">
        <f t="shared" si="66"/>
        <v>152.67930958779479</v>
      </c>
      <c r="D251" s="26"/>
      <c r="E251" s="26"/>
      <c r="F251" s="26"/>
      <c r="G251" s="26"/>
      <c r="H251" s="26"/>
      <c r="I251" s="126"/>
      <c r="J251" s="26"/>
      <c r="K251" s="26"/>
      <c r="L251" s="26"/>
      <c r="M251" s="83">
        <f>C$158*(0.4*D$14)*('Product half-life and C flows'!B112/100)</f>
        <v>1.3609273926127157</v>
      </c>
      <c r="N251" s="85"/>
      <c r="O251" s="85">
        <f t="shared" si="76"/>
        <v>-2.5626287775264589</v>
      </c>
      <c r="P251" s="85">
        <f t="shared" si="76"/>
        <v>12.300618132127003</v>
      </c>
      <c r="Q251" s="83">
        <f>C$158*(0.6*C$15)*('Product half-life and C flows'!L112/100)</f>
        <v>9.1758921456013258</v>
      </c>
      <c r="R251" s="85">
        <f>C$158*0.6*('Product half-life and C flows'!N112/100)</f>
        <v>19.528535371208569</v>
      </c>
      <c r="S251" s="85">
        <f>C$158*0.6*('Product half-life and C flows'!P112/100)</f>
        <v>9.7545131724318495</v>
      </c>
      <c r="T251" s="85">
        <f t="shared" si="77"/>
        <v>11.038827979547648</v>
      </c>
      <c r="U251" s="3"/>
      <c r="V251" s="90">
        <f>N$238*(0.4*V$40)*('Product half-life and C flows'!B31/100)</f>
        <v>25.840981381628218</v>
      </c>
      <c r="W251" s="90">
        <f t="shared" si="74"/>
        <v>6.1461563011223976</v>
      </c>
      <c r="X251" s="89">
        <f t="shared" si="78"/>
        <v>-2.9375702681265485</v>
      </c>
      <c r="Y251" s="89">
        <f t="shared" si="78"/>
        <v>14.100337287007433</v>
      </c>
      <c r="Z251" s="91">
        <f>N$238*(0.6*Z$41)*('Product half-life and C flows'!L31/100)</f>
        <v>36.627295941736755</v>
      </c>
      <c r="AA251" s="91">
        <f>N$238*0.6*('Product half-life and C flows'!N31/100)</f>
        <v>4.9624628921610876</v>
      </c>
      <c r="AB251" s="91">
        <f>N$238*0.6*('Product half-life and C flows'!P31/100)</f>
        <v>2.4787526933871566</v>
      </c>
      <c r="AC251" s="89">
        <f t="shared" si="79"/>
        <v>25.116225792481988</v>
      </c>
      <c r="AD251" s="17"/>
      <c r="AE251">
        <f t="shared" si="53"/>
        <v>93</v>
      </c>
      <c r="AF251" s="3">
        <f t="shared" si="69"/>
        <v>36.827372333069057</v>
      </c>
      <c r="AG251" s="113">
        <f t="shared" si="54"/>
        <v>152.67930958779479</v>
      </c>
      <c r="AH251" s="124">
        <f t="shared" si="80"/>
        <v>27.201908774240934</v>
      </c>
      <c r="AI251" s="124">
        <f t="shared" si="81"/>
        <v>6.1461563011223976</v>
      </c>
      <c r="AJ251" s="124">
        <f t="shared" si="82"/>
        <v>-5.500199045653007</v>
      </c>
      <c r="AK251" s="124">
        <f t="shared" si="83"/>
        <v>26.400955419134434</v>
      </c>
      <c r="AL251" s="124">
        <f t="shared" si="84"/>
        <v>45.803188087338079</v>
      </c>
      <c r="AM251" s="124">
        <f t="shared" si="85"/>
        <v>24.490998263369658</v>
      </c>
      <c r="AN251" s="124">
        <f t="shared" si="86"/>
        <v>12.233265865819007</v>
      </c>
      <c r="AO251" s="124">
        <f t="shared" si="65"/>
        <v>36.155053772029632</v>
      </c>
      <c r="AP251" s="3">
        <f t="shared" si="68"/>
        <v>109.57436489113057</v>
      </c>
    </row>
    <row r="252" spans="1:42" ht="14">
      <c r="A252">
        <f t="shared" si="75"/>
        <v>94</v>
      </c>
      <c r="B252" s="19">
        <f t="shared" si="75"/>
        <v>174</v>
      </c>
      <c r="C252" s="26">
        <f t="shared" si="66"/>
        <v>152.97380920059325</v>
      </c>
      <c r="D252" s="26"/>
      <c r="E252" s="26"/>
      <c r="F252" s="26"/>
      <c r="G252" s="26"/>
      <c r="H252" s="26"/>
      <c r="I252" s="126"/>
      <c r="J252" s="26"/>
      <c r="K252" s="26"/>
      <c r="L252" s="26"/>
      <c r="M252" s="83">
        <f>C$158*(0.4*D$14)*('Product half-life and C flows'!B113/100)</f>
        <v>1.3145692095535884</v>
      </c>
      <c r="N252" s="85"/>
      <c r="O252" s="85">
        <f t="shared" si="76"/>
        <v>-2.5626287775264589</v>
      </c>
      <c r="P252" s="85">
        <f t="shared" si="76"/>
        <v>12.300618132127003</v>
      </c>
      <c r="Q252" s="83">
        <f>C$158*(0.6*C$15)*('Product half-life and C flows'!L113/100)</f>
        <v>9.0356363671087987</v>
      </c>
      <c r="R252" s="85">
        <f>C$158*0.6*('Product half-life and C flows'!N113/100)</f>
        <v>19.622132727389253</v>
      </c>
      <c r="S252" s="85">
        <f>C$158*0.6*('Product half-life and C flows'!P113/100)</f>
        <v>9.8012650985960281</v>
      </c>
      <c r="T252" s="85">
        <f t="shared" si="77"/>
        <v>11.038827979547648</v>
      </c>
      <c r="U252" s="3"/>
      <c r="V252" s="90">
        <f>N$238*(0.4*V$40)*('Product half-life and C flows'!B32/100)</f>
        <v>24.960742691585249</v>
      </c>
      <c r="W252" s="90">
        <f t="shared" si="74"/>
        <v>7.3959627350682862</v>
      </c>
      <c r="X252" s="89">
        <f t="shared" si="78"/>
        <v>-2.9375702681265485</v>
      </c>
      <c r="Y252" s="89">
        <f t="shared" si="78"/>
        <v>14.100337287007433</v>
      </c>
      <c r="Z252" s="91">
        <f>N$238*(0.6*Z$41)*('Product half-life and C flows'!L32/100)</f>
        <v>36.067438673923604</v>
      </c>
      <c r="AA252" s="91">
        <f>N$238*0.6*('Product half-life and C flows'!N32/100)</f>
        <v>5.33607430888173</v>
      </c>
      <c r="AB252" s="91">
        <f>N$238*0.6*('Product half-life and C flows'!P32/100)</f>
        <v>2.6653717826582071</v>
      </c>
      <c r="AC252" s="89">
        <f t="shared" si="79"/>
        <v>25.116225792481988</v>
      </c>
      <c r="AD252" s="17"/>
      <c r="AE252">
        <f t="shared" si="53"/>
        <v>94</v>
      </c>
      <c r="AF252" s="3">
        <f t="shared" si="69"/>
        <v>36.935067628625738</v>
      </c>
      <c r="AG252" s="113">
        <f t="shared" si="54"/>
        <v>152.97380920059325</v>
      </c>
      <c r="AH252" s="124">
        <f t="shared" si="80"/>
        <v>26.275311901138839</v>
      </c>
      <c r="AI252" s="124">
        <f t="shared" si="81"/>
        <v>7.3959627350682862</v>
      </c>
      <c r="AJ252" s="124">
        <f t="shared" si="82"/>
        <v>-5.500199045653007</v>
      </c>
      <c r="AK252" s="124">
        <f t="shared" si="83"/>
        <v>26.400955419134434</v>
      </c>
      <c r="AL252" s="124">
        <f t="shared" si="84"/>
        <v>45.103075041032405</v>
      </c>
      <c r="AM252" s="124">
        <f t="shared" si="85"/>
        <v>24.958207036270984</v>
      </c>
      <c r="AN252" s="124">
        <f t="shared" si="86"/>
        <v>12.466636881254235</v>
      </c>
      <c r="AO252" s="124">
        <f t="shared" si="65"/>
        <v>36.155053772029632</v>
      </c>
      <c r="AP252" s="3">
        <f t="shared" si="68"/>
        <v>110.82463806710734</v>
      </c>
    </row>
    <row r="253" spans="1:42" ht="14">
      <c r="A253">
        <f t="shared" si="75"/>
        <v>95</v>
      </c>
      <c r="B253" s="19">
        <f t="shared" si="75"/>
        <v>175</v>
      </c>
      <c r="C253" s="26">
        <f t="shared" si="66"/>
        <v>153.26284462107563</v>
      </c>
      <c r="D253" s="26"/>
      <c r="E253" s="26"/>
      <c r="F253" s="26"/>
      <c r="G253" s="26"/>
      <c r="H253" s="26"/>
      <c r="I253" s="126"/>
      <c r="J253" s="26"/>
      <c r="K253" s="26"/>
      <c r="L253" s="26"/>
      <c r="M253" s="83">
        <f>C$158*(0.4*D$14)*('Product half-life and C flows'!B114/100)</f>
        <v>1.2697901563938292</v>
      </c>
      <c r="N253" s="85"/>
      <c r="O253" s="85">
        <f t="shared" si="76"/>
        <v>-2.5626287775264589</v>
      </c>
      <c r="P253" s="85">
        <f t="shared" si="76"/>
        <v>12.300618132127003</v>
      </c>
      <c r="Q253" s="83">
        <f>C$158*(0.6*C$15)*('Product half-life and C flows'!L114/100)</f>
        <v>8.8975244328429035</v>
      </c>
      <c r="R253" s="85">
        <f>C$158*0.6*('Product half-life and C flows'!N114/100)</f>
        <v>19.714299424856026</v>
      </c>
      <c r="S253" s="85">
        <f>C$158*0.6*('Product half-life and C flows'!P114/100)</f>
        <v>9.847302410017992</v>
      </c>
      <c r="T253" s="85">
        <f t="shared" si="77"/>
        <v>11.038827979547648</v>
      </c>
      <c r="U253" s="3"/>
      <c r="V253" s="90">
        <f>N$238*(0.4*V$40)*('Product half-life and C flows'!B33/100)</f>
        <v>24.110488162747522</v>
      </c>
      <c r="W253" s="90">
        <f t="shared" si="74"/>
        <v>8.7463117144652891</v>
      </c>
      <c r="X253" s="89">
        <f t="shared" si="78"/>
        <v>-2.9375702681265485</v>
      </c>
      <c r="Y253" s="89">
        <f t="shared" si="78"/>
        <v>14.100337287007433</v>
      </c>
      <c r="Z253" s="91">
        <f>N$238*(0.6*Z$41)*('Product half-life and C flows'!L33/100)</f>
        <v>35.516138962770434</v>
      </c>
      <c r="AA253" s="91">
        <f>N$238*0.6*('Product half-life and C flows'!N33/100)</f>
        <v>5.7039749827912782</v>
      </c>
      <c r="AB253" s="91">
        <f>N$238*0.6*('Product half-life and C flows'!P33/100)</f>
        <v>2.8491383530425964</v>
      </c>
      <c r="AC253" s="89">
        <f t="shared" si="79"/>
        <v>25.116225792481988</v>
      </c>
      <c r="AD253" s="17"/>
      <c r="AE253">
        <f t="shared" si="53"/>
        <v>95</v>
      </c>
      <c r="AF253" s="3">
        <f t="shared" si="69"/>
        <v>37.038737706310393</v>
      </c>
      <c r="AG253" s="113">
        <f t="shared" si="54"/>
        <v>153.26284462107563</v>
      </c>
      <c r="AH253" s="124">
        <f t="shared" si="80"/>
        <v>25.38027831914135</v>
      </c>
      <c r="AI253" s="124">
        <f t="shared" si="81"/>
        <v>8.7463117144652891</v>
      </c>
      <c r="AJ253" s="124">
        <f t="shared" si="82"/>
        <v>-5.500199045653007</v>
      </c>
      <c r="AK253" s="124">
        <f t="shared" si="83"/>
        <v>26.400955419134434</v>
      </c>
      <c r="AL253" s="124">
        <f t="shared" si="84"/>
        <v>44.413663395613341</v>
      </c>
      <c r="AM253" s="124">
        <f t="shared" si="85"/>
        <v>25.418274407647303</v>
      </c>
      <c r="AN253" s="124">
        <f t="shared" si="86"/>
        <v>12.696440763060588</v>
      </c>
      <c r="AO253" s="124">
        <f t="shared" si="65"/>
        <v>36.155053772029632</v>
      </c>
      <c r="AP253" s="3">
        <f t="shared" si="68"/>
        <v>112.17544665426796</v>
      </c>
    </row>
    <row r="254" spans="1:42" ht="14">
      <c r="A254">
        <f t="shared" si="75"/>
        <v>96</v>
      </c>
      <c r="B254" s="19">
        <f t="shared" si="75"/>
        <v>176</v>
      </c>
      <c r="C254" s="26">
        <f t="shared" si="66"/>
        <v>153.54650986796895</v>
      </c>
      <c r="D254" s="26"/>
      <c r="E254" s="26"/>
      <c r="F254" s="26"/>
      <c r="G254" s="26"/>
      <c r="H254" s="26"/>
      <c r="I254" s="126"/>
      <c r="J254" s="26"/>
      <c r="K254" s="26"/>
      <c r="L254" s="26"/>
      <c r="M254" s="83">
        <f>C$158*(0.4*D$14)*('Product half-life and C flows'!B115/100)</f>
        <v>1.2265364421719609</v>
      </c>
      <c r="N254" s="85"/>
      <c r="O254" s="85">
        <f t="shared" si="76"/>
        <v>-2.5626287775264589</v>
      </c>
      <c r="P254" s="85">
        <f t="shared" si="76"/>
        <v>12.300618132127003</v>
      </c>
      <c r="Q254" s="83">
        <f>C$158*(0.6*C$15)*('Product half-life and C flows'!L115/100)</f>
        <v>8.7615235736149657</v>
      </c>
      <c r="R254" s="85">
        <f>C$158*0.6*('Product half-life and C flows'!N115/100)</f>
        <v>19.805057331580798</v>
      </c>
      <c r="S254" s="85">
        <f>C$158*0.6*('Product half-life and C flows'!P115/100)</f>
        <v>9.8926360297606379</v>
      </c>
      <c r="T254" s="85">
        <f t="shared" si="77"/>
        <v>11.038827979547648</v>
      </c>
      <c r="U254" s="3"/>
      <c r="V254" s="90">
        <f>N$238*(0.4*V$40)*('Product half-life and C flows'!B34/100)</f>
        <v>23.289196424510283</v>
      </c>
      <c r="W254" s="90">
        <f t="shared" si="74"/>
        <v>10.189710224502418</v>
      </c>
      <c r="X254" s="89">
        <f t="shared" si="78"/>
        <v>-2.9375702681265485</v>
      </c>
      <c r="Y254" s="89">
        <f t="shared" si="78"/>
        <v>14.100337287007433</v>
      </c>
      <c r="Z254" s="91">
        <f>N$238*(0.6*Z$41)*('Product half-life and C flows'!L34/100)</f>
        <v>34.973266003909416</v>
      </c>
      <c r="AA254" s="91">
        <f>N$238*0.6*('Product half-life and C flows'!N34/100)</f>
        <v>6.066252204004531</v>
      </c>
      <c r="AB254" s="91">
        <f>N$238*0.6*('Product half-life and C flows'!P34/100)</f>
        <v>3.0300960059962687</v>
      </c>
      <c r="AC254" s="89">
        <f t="shared" si="79"/>
        <v>25.116225792481988</v>
      </c>
      <c r="AD254" s="17"/>
      <c r="AE254">
        <f t="shared" si="53"/>
        <v>96</v>
      </c>
      <c r="AF254" s="3">
        <f t="shared" si="69"/>
        <v>37.138525377454336</v>
      </c>
      <c r="AG254" s="113">
        <f t="shared" si="54"/>
        <v>153.54650986796895</v>
      </c>
      <c r="AH254" s="124">
        <f t="shared" si="80"/>
        <v>24.515732866682246</v>
      </c>
      <c r="AI254" s="124">
        <f t="shared" si="81"/>
        <v>10.189710224502418</v>
      </c>
      <c r="AJ254" s="124">
        <f t="shared" si="82"/>
        <v>-5.500199045653007</v>
      </c>
      <c r="AK254" s="124">
        <f t="shared" si="83"/>
        <v>26.400955419134434</v>
      </c>
      <c r="AL254" s="124">
        <f t="shared" si="84"/>
        <v>43.734789577524381</v>
      </c>
      <c r="AM254" s="124">
        <f t="shared" si="85"/>
        <v>25.871309535585329</v>
      </c>
      <c r="AN254" s="124">
        <f t="shared" si="86"/>
        <v>12.922732035756907</v>
      </c>
      <c r="AO254" s="124">
        <f t="shared" si="65"/>
        <v>36.155053772029632</v>
      </c>
      <c r="AP254" s="3">
        <f t="shared" si="68"/>
        <v>113.61929774685046</v>
      </c>
    </row>
    <row r="255" spans="1:42" ht="14">
      <c r="A255">
        <f t="shared" si="75"/>
        <v>97</v>
      </c>
      <c r="B255" s="19">
        <f t="shared" si="75"/>
        <v>177</v>
      </c>
      <c r="C255" s="26">
        <f t="shared" si="66"/>
        <v>153.82489764135551</v>
      </c>
      <c r="D255" s="26"/>
      <c r="E255" s="26"/>
      <c r="F255" s="26"/>
      <c r="G255" s="26"/>
      <c r="H255" s="26"/>
      <c r="I255" s="126"/>
      <c r="J255" s="26"/>
      <c r="K255" s="26"/>
      <c r="L255" s="26"/>
      <c r="M255" s="83">
        <f>C$158*(0.4*D$14)*('Product half-life and C flows'!B116/100)</f>
        <v>1.1847561082441256</v>
      </c>
      <c r="N255" s="85"/>
      <c r="O255" s="85">
        <f t="shared" si="76"/>
        <v>-2.5626287775264589</v>
      </c>
      <c r="P255" s="85">
        <f t="shared" si="76"/>
        <v>12.300618132127003</v>
      </c>
      <c r="Q255" s="83">
        <f>C$158*(0.6*C$15)*('Product half-life and C flows'!L116/100)</f>
        <v>8.6276015211214556</v>
      </c>
      <c r="R255" s="85">
        <f>C$158*0.6*('Product half-life and C flows'!N116/100)</f>
        <v>19.894427981278135</v>
      </c>
      <c r="S255" s="85">
        <f>C$158*0.6*('Product half-life and C flows'!P116/100)</f>
        <v>9.9372767139251419</v>
      </c>
      <c r="T255" s="85">
        <f t="shared" si="77"/>
        <v>11.038827979547648</v>
      </c>
      <c r="U255" s="3"/>
      <c r="V255" s="90">
        <f>N$238*(0.4*V$40)*('Product half-life and C flows'!B35/100)</f>
        <v>22.495880897901106</v>
      </c>
      <c r="W255" s="90">
        <f t="shared" si="74"/>
        <v>11.718333388083606</v>
      </c>
      <c r="X255" s="89">
        <f t="shared" si="78"/>
        <v>-2.9375702681265485</v>
      </c>
      <c r="Y255" s="89">
        <f t="shared" si="78"/>
        <v>14.100337287007433</v>
      </c>
      <c r="Z255" s="91">
        <f>N$238*(0.6*Z$41)*('Product half-life and C flows'!L35/100)</f>
        <v>34.438690992349812</v>
      </c>
      <c r="AA255" s="91">
        <f>N$238*0.6*('Product half-life and C flows'!N35/100)</f>
        <v>6.4229919283853123</v>
      </c>
      <c r="AB255" s="91">
        <f>N$238*0.6*('Product half-life and C flows'!P35/100)</f>
        <v>3.2082876765161399</v>
      </c>
      <c r="AC255" s="89">
        <f t="shared" si="79"/>
        <v>25.116225792481988</v>
      </c>
      <c r="AD255" s="17"/>
      <c r="AE255">
        <f t="shared" si="53"/>
        <v>97</v>
      </c>
      <c r="AF255" s="3">
        <f t="shared" si="69"/>
        <v>37.234568989158973</v>
      </c>
      <c r="AG255" s="113">
        <f t="shared" si="54"/>
        <v>153.82489764135551</v>
      </c>
      <c r="AH255" s="124">
        <f t="shared" si="80"/>
        <v>23.680637006145233</v>
      </c>
      <c r="AI255" s="124">
        <f t="shared" si="81"/>
        <v>11.718333388083606</v>
      </c>
      <c r="AJ255" s="124">
        <f t="shared" si="82"/>
        <v>-5.500199045653007</v>
      </c>
      <c r="AK255" s="124">
        <f t="shared" si="83"/>
        <v>26.400955419134434</v>
      </c>
      <c r="AL255" s="124">
        <f t="shared" si="84"/>
        <v>43.066292513471268</v>
      </c>
      <c r="AM255" s="124">
        <f t="shared" si="85"/>
        <v>26.317419909663446</v>
      </c>
      <c r="AN255" s="124">
        <f t="shared" si="86"/>
        <v>13.145564390441281</v>
      </c>
      <c r="AO255" s="124">
        <f t="shared" si="65"/>
        <v>36.155053772029632</v>
      </c>
      <c r="AP255" s="3">
        <f t="shared" si="68"/>
        <v>115.14836657514103</v>
      </c>
    </row>
    <row r="256" spans="1:42" ht="14">
      <c r="A256">
        <f t="shared" ref="A256:B271" si="87">A255+1</f>
        <v>98</v>
      </c>
      <c r="B256" s="19">
        <f t="shared" si="87"/>
        <v>178</v>
      </c>
      <c r="C256" s="26">
        <f t="shared" si="66"/>
        <v>154.09809932824348</v>
      </c>
      <c r="D256" s="26"/>
      <c r="E256" s="26"/>
      <c r="F256" s="26"/>
      <c r="G256" s="26"/>
      <c r="H256" s="26"/>
      <c r="I256" s="126"/>
      <c r="J256" s="26"/>
      <c r="K256" s="26"/>
      <c r="L256" s="26"/>
      <c r="M256" s="83">
        <f>C$158*(0.4*D$14)*('Product half-life and C flows'!B117/100)</f>
        <v>1.1443989658686169</v>
      </c>
      <c r="N256" s="85"/>
      <c r="O256" s="85">
        <f t="shared" ref="O256:P271" si="88">O255</f>
        <v>-2.5626287775264589</v>
      </c>
      <c r="P256" s="85">
        <f t="shared" si="88"/>
        <v>12.300618132127003</v>
      </c>
      <c r="Q256" s="83">
        <f>C$158*(0.6*C$15)*('Product half-life and C flows'!L117/100)</f>
        <v>8.4957265002878373</v>
      </c>
      <c r="R256" s="85">
        <f>C$158*0.6*('Product half-life and C flows'!N117/100)</f>
        <v>19.982432578514437</v>
      </c>
      <c r="S256" s="85">
        <f>C$158*0.6*('Product half-life and C flows'!P117/100)</f>
        <v>9.9812350542030153</v>
      </c>
      <c r="T256" s="85">
        <f t="shared" si="77"/>
        <v>11.038827979547648</v>
      </c>
      <c r="U256" s="3"/>
      <c r="V256" s="90">
        <f>N$238*(0.4*V$40)*('Product half-life and C flows'!B36/100)</f>
        <v>21.729588610449152</v>
      </c>
      <c r="W256" s="90">
        <f t="shared" si="74"/>
        <v>13.324187201714368</v>
      </c>
      <c r="X256" s="89">
        <f t="shared" si="78"/>
        <v>-2.9375702681265485</v>
      </c>
      <c r="Y256" s="89">
        <f t="shared" si="78"/>
        <v>14.100337287007433</v>
      </c>
      <c r="Z256" s="91">
        <f>N$238*(0.6*Z$41)*('Product half-life and C flows'!L36/100)</f>
        <v>33.912287091916959</v>
      </c>
      <c r="AA256" s="91">
        <f>N$238*0.6*('Product half-life and C flows'!N36/100)</f>
        <v>6.7742787979408305</v>
      </c>
      <c r="AB256" s="91">
        <f>N$238*0.6*('Product half-life and C flows'!P36/100)</f>
        <v>3.3837556433270879</v>
      </c>
      <c r="AC256" s="89">
        <f t="shared" si="79"/>
        <v>25.116225792481988</v>
      </c>
      <c r="AD256" s="17"/>
      <c r="AE256">
        <f t="shared" si="53"/>
        <v>98</v>
      </c>
      <c r="AF256" s="3">
        <f t="shared" si="69"/>
        <v>37.327002514221753</v>
      </c>
      <c r="AG256" s="113">
        <f t="shared" si="54"/>
        <v>154.09809932824348</v>
      </c>
      <c r="AH256" s="124">
        <f t="shared" si="80"/>
        <v>22.87398757631777</v>
      </c>
      <c r="AI256" s="124">
        <f t="shared" si="81"/>
        <v>13.324187201714368</v>
      </c>
      <c r="AJ256" s="124">
        <f t="shared" si="82"/>
        <v>-5.500199045653007</v>
      </c>
      <c r="AK256" s="124">
        <f t="shared" si="83"/>
        <v>26.400955419134434</v>
      </c>
      <c r="AL256" s="124">
        <f t="shared" si="84"/>
        <v>42.408013592204796</v>
      </c>
      <c r="AM256" s="124">
        <f t="shared" si="85"/>
        <v>26.756711376455268</v>
      </c>
      <c r="AN256" s="124">
        <f t="shared" si="86"/>
        <v>13.364990697530104</v>
      </c>
      <c r="AO256" s="124">
        <f t="shared" si="65"/>
        <v>36.155053772029632</v>
      </c>
      <c r="AP256" s="3">
        <f t="shared" si="68"/>
        <v>116.75465924138597</v>
      </c>
    </row>
    <row r="257" spans="1:42" ht="14">
      <c r="A257">
        <f t="shared" si="87"/>
        <v>99</v>
      </c>
      <c r="B257" s="19">
        <f t="shared" si="87"/>
        <v>179</v>
      </c>
      <c r="C257" s="26">
        <f t="shared" si="66"/>
        <v>154.36620500878925</v>
      </c>
      <c r="D257" s="26"/>
      <c r="E257" s="26"/>
      <c r="F257" s="26"/>
      <c r="G257" s="26"/>
      <c r="H257" s="26"/>
      <c r="I257" s="126"/>
      <c r="J257" s="26"/>
      <c r="K257" s="26"/>
      <c r="L257" s="26"/>
      <c r="M257" s="83">
        <f>C$158*(0.4*D$14)*('Product half-life and C flows'!B118/100)</f>
        <v>1.1054165359165216</v>
      </c>
      <c r="N257" s="85"/>
      <c r="O257" s="85">
        <f t="shared" si="88"/>
        <v>-2.5626287775264589</v>
      </c>
      <c r="P257" s="85">
        <f t="shared" si="88"/>
        <v>12.300618132127003</v>
      </c>
      <c r="Q257" s="83">
        <f>C$158*(0.6*C$15)*('Product half-life and C flows'!L118/100)</f>
        <v>8.3658672217294363</v>
      </c>
      <c r="R257" s="85">
        <f>C$158*0.6*('Product half-life and C flows'!N118/100)</f>
        <v>20.06909200373908</v>
      </c>
      <c r="S257" s="85">
        <f>C$158*0.6*('Product half-life and C flows'!P118/100)</f>
        <v>10.024521480389147</v>
      </c>
      <c r="T257" s="85">
        <f t="shared" si="77"/>
        <v>11.038827979547648</v>
      </c>
      <c r="U257" s="3"/>
      <c r="V257" s="90">
        <f>N$238*(0.4*V$40)*('Product half-life and C flows'!B37/100)</f>
        <v>20.989399051424389</v>
      </c>
      <c r="W257" s="90">
        <f t="shared" si="74"/>
        <v>14.999241888023334</v>
      </c>
      <c r="X257" s="89">
        <f t="shared" ref="X257:Y272" si="89">X256</f>
        <v>-2.9375702681265485</v>
      </c>
      <c r="Y257" s="89">
        <f t="shared" si="89"/>
        <v>14.100337287007433</v>
      </c>
      <c r="Z257" s="91">
        <f>N$238*(0.6*Z$41)*('Product half-life and C flows'!L37/100)</f>
        <v>33.393929405158516</v>
      </c>
      <c r="AA257" s="91">
        <f>N$238*0.6*('Product half-life and C flows'!N37/100)</f>
        <v>7.1201961609043005</v>
      </c>
      <c r="AB257" s="91">
        <f>N$238*0.6*('Product half-life and C flows'!P37/100)</f>
        <v>3.5565415389132369</v>
      </c>
      <c r="AC257" s="89">
        <f t="shared" si="79"/>
        <v>25.116225792481988</v>
      </c>
      <c r="AD257" s="17"/>
      <c r="AE257">
        <f t="shared" si="53"/>
        <v>99</v>
      </c>
      <c r="AF257" s="3">
        <f t="shared" si="69"/>
        <v>37.415955643833811</v>
      </c>
      <c r="AG257" s="113">
        <f t="shared" si="54"/>
        <v>154.36620500878925</v>
      </c>
      <c r="AH257" s="124">
        <f t="shared" si="80"/>
        <v>22.094815587340911</v>
      </c>
      <c r="AI257" s="124">
        <f t="shared" si="81"/>
        <v>14.999241888023334</v>
      </c>
      <c r="AJ257" s="124">
        <f t="shared" si="82"/>
        <v>-5.500199045653007</v>
      </c>
      <c r="AK257" s="124">
        <f t="shared" si="83"/>
        <v>26.400955419134434</v>
      </c>
      <c r="AL257" s="124">
        <f t="shared" si="84"/>
        <v>41.759796626887955</v>
      </c>
      <c r="AM257" s="124">
        <f t="shared" si="85"/>
        <v>27.189288164643379</v>
      </c>
      <c r="AN257" s="124">
        <f t="shared" si="86"/>
        <v>13.581063019302384</v>
      </c>
      <c r="AO257" s="124">
        <f t="shared" si="65"/>
        <v>36.155053772029632</v>
      </c>
      <c r="AP257" s="3">
        <f t="shared" si="68"/>
        <v>118.43014607233849</v>
      </c>
    </row>
    <row r="258" spans="1:42" ht="14">
      <c r="A258">
        <f t="shared" si="87"/>
        <v>100</v>
      </c>
      <c r="B258" s="19">
        <f t="shared" si="87"/>
        <v>180</v>
      </c>
      <c r="C258" s="26">
        <f t="shared" si="66"/>
        <v>154.62930346313073</v>
      </c>
      <c r="D258" s="26"/>
      <c r="E258" s="26"/>
      <c r="F258" s="26"/>
      <c r="G258" s="26"/>
      <c r="H258" s="26"/>
      <c r="I258" s="126"/>
      <c r="J258" s="26"/>
      <c r="K258" s="26"/>
      <c r="L258" s="26"/>
      <c r="M258" s="83">
        <f>C$158*(0.4*D$14)*('Product half-life and C flows'!B119/100)</f>
        <v>1.0677619906360245</v>
      </c>
      <c r="N258" s="85"/>
      <c r="O258" s="85">
        <f t="shared" si="88"/>
        <v>-2.5626287775264589</v>
      </c>
      <c r="P258" s="85">
        <f t="shared" si="88"/>
        <v>12.300618132127003</v>
      </c>
      <c r="Q258" s="83">
        <f>C$158*(0.6*C$15)*('Product half-life and C flows'!L119/100)</f>
        <v>8.2379928743275599</v>
      </c>
      <c r="R258" s="85">
        <f>C$158*0.6*('Product half-life and C flows'!N119/100)</f>
        <v>20.154426818238594</v>
      </c>
      <c r="S258" s="85">
        <f>C$158*0.6*('Product half-life and C flows'!P119/100)</f>
        <v>10.06714626285644</v>
      </c>
      <c r="T258" s="85">
        <f t="shared" si="77"/>
        <v>11.038827979547648</v>
      </c>
      <c r="U258" s="3"/>
      <c r="V258" s="90">
        <f>N$238*(0.4*V$40)*('Product half-life and C flows'!B38/100)</f>
        <v>20.27442306607151</v>
      </c>
      <c r="W258" s="90">
        <f t="shared" si="74"/>
        <v>16.7355400849764</v>
      </c>
      <c r="X258" s="89">
        <f t="shared" si="89"/>
        <v>-2.9375702681265485</v>
      </c>
      <c r="Y258" s="89">
        <f t="shared" si="89"/>
        <v>14.100337287007433</v>
      </c>
      <c r="Z258" s="91">
        <f>N$238*(0.6*Z$41)*('Product half-life and C flows'!L38/100)</f>
        <v>32.883494943710502</v>
      </c>
      <c r="AA258" s="91">
        <f>N$238*0.6*('Product half-life and C flows'!N38/100)</f>
        <v>7.4608260915106088</v>
      </c>
      <c r="AB258" s="91">
        <f>N$238*0.6*('Product half-life and C flows'!P38/100)</f>
        <v>3.7266863593959085</v>
      </c>
      <c r="AC258" s="89">
        <f t="shared" si="79"/>
        <v>25.116225792481988</v>
      </c>
      <c r="AD258" s="17"/>
      <c r="AE258">
        <f t="shared" si="53"/>
        <v>100</v>
      </c>
      <c r="AF258" s="3">
        <f t="shared" si="69"/>
        <v>37.50155388248421</v>
      </c>
      <c r="AG258" s="113">
        <f t="shared" si="54"/>
        <v>154.62930346313073</v>
      </c>
      <c r="AH258" s="124">
        <f t="shared" si="80"/>
        <v>21.342185056707535</v>
      </c>
      <c r="AI258" s="124">
        <f t="shared" si="81"/>
        <v>16.7355400849764</v>
      </c>
      <c r="AJ258" s="124">
        <f t="shared" si="82"/>
        <v>-5.500199045653007</v>
      </c>
      <c r="AK258" s="124">
        <f t="shared" si="83"/>
        <v>26.400955419134434</v>
      </c>
      <c r="AL258" s="124">
        <f t="shared" si="84"/>
        <v>41.121487818038062</v>
      </c>
      <c r="AM258" s="124">
        <f t="shared" si="85"/>
        <v>27.615252909749202</v>
      </c>
      <c r="AN258" s="124">
        <f t="shared" si="86"/>
        <v>13.793832622252349</v>
      </c>
      <c r="AO258" s="124">
        <f t="shared" si="65"/>
        <v>36.155053772029632</v>
      </c>
      <c r="AP258" s="3">
        <f t="shared" si="68"/>
        <v>120.16686980849745</v>
      </c>
    </row>
    <row r="259" spans="1:42" ht="14">
      <c r="A259">
        <f t="shared" si="87"/>
        <v>101</v>
      </c>
      <c r="B259" s="19">
        <f t="shared" si="87"/>
        <v>181</v>
      </c>
      <c r="C259" s="26">
        <f t="shared" si="66"/>
        <v>154.88748217879268</v>
      </c>
      <c r="D259" s="26"/>
      <c r="E259" s="26"/>
      <c r="F259" s="26"/>
      <c r="G259" s="26"/>
      <c r="H259" s="26"/>
      <c r="I259" s="126"/>
      <c r="J259" s="26"/>
      <c r="K259" s="26"/>
      <c r="L259" s="26"/>
      <c r="M259" s="83">
        <f>C$158*(0.4*D$14)*('Product half-life and C flows'!B120/100)</f>
        <v>1.0313900974004473</v>
      </c>
      <c r="N259" s="85"/>
      <c r="O259" s="85">
        <f t="shared" si="88"/>
        <v>-2.5626287775264589</v>
      </c>
      <c r="P259" s="85">
        <f t="shared" si="88"/>
        <v>12.300618132127003</v>
      </c>
      <c r="Q259" s="83">
        <f>C$158*(0.6*C$15)*('Product half-life and C flows'!L120/100)</f>
        <v>8.1120731179190688</v>
      </c>
      <c r="R259" s="85">
        <f>C$158*0.6*('Product half-life and C flows'!N120/100)</f>
        <v>20.238457269015196</v>
      </c>
      <c r="S259" s="85">
        <f>C$158*0.6*('Product half-life and C flows'!P120/100)</f>
        <v>10.109119514992603</v>
      </c>
      <c r="T259" s="85">
        <f t="shared" si="77"/>
        <v>11.038827979547648</v>
      </c>
      <c r="U259" s="3"/>
      <c r="V259" s="90">
        <f>N$238*(0.4*V$40)*('Product half-life and C flows'!B39/100)</f>
        <v>19.583801787510325</v>
      </c>
      <c r="W259" s="90">
        <f t="shared" si="74"/>
        <v>18.5252835435601</v>
      </c>
      <c r="X259" s="89">
        <f t="shared" si="89"/>
        <v>-2.9375702681265485</v>
      </c>
      <c r="Y259" s="89">
        <f t="shared" si="89"/>
        <v>14.100337287007433</v>
      </c>
      <c r="Z259" s="91">
        <f>N$238*(0.6*Z$41)*('Product half-life and C flows'!L39/100)</f>
        <v>32.380862599116504</v>
      </c>
      <c r="AA259" s="91">
        <f>N$238*0.6*('Product half-life and C flows'!N39/100)</f>
        <v>7.7962494094696693</v>
      </c>
      <c r="AB259" s="91">
        <f>N$238*0.6*('Product half-life and C flows'!P39/100)</f>
        <v>3.8942304742605742</v>
      </c>
      <c r="AC259" s="89">
        <f t="shared" si="79"/>
        <v>25.116225792481988</v>
      </c>
      <c r="AD259" s="17"/>
      <c r="AE259">
        <f t="shared" si="53"/>
        <v>101</v>
      </c>
      <c r="AF259" s="3">
        <f t="shared" si="69"/>
        <v>37.583918644559809</v>
      </c>
      <c r="AG259" s="113">
        <f t="shared" si="54"/>
        <v>154.88748217879268</v>
      </c>
      <c r="AH259" s="124">
        <f t="shared" si="80"/>
        <v>20.615191884910772</v>
      </c>
      <c r="AI259" s="124">
        <f t="shared" si="81"/>
        <v>18.5252835435601</v>
      </c>
      <c r="AJ259" s="124">
        <f t="shared" si="82"/>
        <v>-5.500199045653007</v>
      </c>
      <c r="AK259" s="124">
        <f t="shared" si="83"/>
        <v>26.400955419134434</v>
      </c>
      <c r="AL259" s="124">
        <f t="shared" si="84"/>
        <v>40.492935717035571</v>
      </c>
      <c r="AM259" s="124">
        <f t="shared" si="85"/>
        <v>28.034706678484866</v>
      </c>
      <c r="AN259" s="124">
        <f t="shared" si="86"/>
        <v>14.003349989253177</v>
      </c>
      <c r="AO259" s="124">
        <f t="shared" si="65"/>
        <v>36.155053772029632</v>
      </c>
      <c r="AP259" s="3">
        <f t="shared" si="68"/>
        <v>121.95703230181515</v>
      </c>
    </row>
    <row r="260" spans="1:42" ht="14">
      <c r="A260">
        <f t="shared" si="87"/>
        <v>102</v>
      </c>
      <c r="B260" s="19">
        <f t="shared" si="87"/>
        <v>182</v>
      </c>
      <c r="C260" s="26">
        <f t="shared" si="66"/>
        <v>155.14082735862848</v>
      </c>
      <c r="D260" s="26"/>
      <c r="E260" s="26"/>
      <c r="F260" s="26"/>
      <c r="G260" s="26"/>
      <c r="H260" s="26"/>
      <c r="I260" s="126"/>
      <c r="J260" s="26"/>
      <c r="K260" s="26"/>
      <c r="L260" s="26"/>
      <c r="M260" s="83">
        <f>C$158*(0.4*D$14)*('Product half-life and C flows'!B121/100)</f>
        <v>0.99625716437242695</v>
      </c>
      <c r="N260" s="85"/>
      <c r="O260" s="85">
        <f t="shared" si="88"/>
        <v>-2.5626287775264589</v>
      </c>
      <c r="P260" s="85">
        <f t="shared" si="88"/>
        <v>12.300618132127003</v>
      </c>
      <c r="Q260" s="83">
        <f>C$158*(0.6*C$15)*('Product half-life and C flows'!L121/100)</f>
        <v>7.9880780760977173</v>
      </c>
      <c r="R260" s="85">
        <f>C$158*0.6*('Product half-life and C flows'!N121/100)</f>
        <v>20.321203293590642</v>
      </c>
      <c r="S260" s="85">
        <f>C$158*0.6*('Product half-life and C flows'!P121/100)</f>
        <v>10.15045119559972</v>
      </c>
      <c r="T260" s="85">
        <f t="shared" si="77"/>
        <v>11.038827979547648</v>
      </c>
      <c r="U260" s="3"/>
      <c r="V260" s="90">
        <f>N$238*(0.4*V$40)*('Product half-life and C flows'!B40/100)</f>
        <v>18.916705605019551</v>
      </c>
      <c r="W260" s="90">
        <f t="shared" si="74"/>
        <v>20.360901524976995</v>
      </c>
      <c r="X260" s="89">
        <f t="shared" si="89"/>
        <v>-2.9375702681265485</v>
      </c>
      <c r="Y260" s="89">
        <f t="shared" si="89"/>
        <v>14.100337287007433</v>
      </c>
      <c r="Z260" s="91">
        <f>N$238*(0.6*Z$41)*('Product half-life and C flows'!L40/100)</f>
        <v>31.885913114092773</v>
      </c>
      <c r="AA260" s="91">
        <f>N$238*0.6*('Product half-life and C flows'!N40/100)</f>
        <v>8.1265456991421736</v>
      </c>
      <c r="AB260" s="91">
        <f>N$238*0.6*('Product half-life and C flows'!P40/100)</f>
        <v>4.0592136359351505</v>
      </c>
      <c r="AC260" s="89">
        <f t="shared" si="79"/>
        <v>25.116225792481988</v>
      </c>
      <c r="AD260" s="17"/>
      <c r="AE260">
        <f t="shared" si="53"/>
        <v>102</v>
      </c>
      <c r="AF260" s="3">
        <f t="shared" si="69"/>
        <v>37.66316735217984</v>
      </c>
      <c r="AG260" s="113">
        <f t="shared" si="54"/>
        <v>155.14082735862848</v>
      </c>
      <c r="AH260" s="124">
        <f t="shared" si="80"/>
        <v>19.912962769391978</v>
      </c>
      <c r="AI260" s="124">
        <f t="shared" si="81"/>
        <v>20.360901524976995</v>
      </c>
      <c r="AJ260" s="124">
        <f t="shared" si="82"/>
        <v>-5.500199045653007</v>
      </c>
      <c r="AK260" s="124">
        <f t="shared" si="83"/>
        <v>26.400955419134434</v>
      </c>
      <c r="AL260" s="124">
        <f t="shared" si="84"/>
        <v>39.873991190190488</v>
      </c>
      <c r="AM260" s="124">
        <f t="shared" si="85"/>
        <v>28.447748992732816</v>
      </c>
      <c r="AN260" s="124">
        <f t="shared" si="86"/>
        <v>14.209664831534869</v>
      </c>
      <c r="AO260" s="124">
        <f t="shared" si="65"/>
        <v>36.155053772029632</v>
      </c>
      <c r="AP260" s="3">
        <f t="shared" si="68"/>
        <v>123.79306291291658</v>
      </c>
    </row>
    <row r="261" spans="1:42" ht="14">
      <c r="A261">
        <f t="shared" si="87"/>
        <v>103</v>
      </c>
      <c r="B261" s="19">
        <f t="shared" si="87"/>
        <v>183</v>
      </c>
      <c r="C261" s="26">
        <f t="shared" si="66"/>
        <v>155.3894239292618</v>
      </c>
      <c r="D261" s="26"/>
      <c r="E261" s="26"/>
      <c r="F261" s="26"/>
      <c r="G261" s="26"/>
      <c r="H261" s="26"/>
      <c r="I261" s="126"/>
      <c r="J261" s="26"/>
      <c r="K261" s="26"/>
      <c r="L261" s="26"/>
      <c r="M261" s="83">
        <f>C$158*(0.4*D$14)*('Product half-life and C flows'!B122/100)</f>
        <v>0.96232098801897803</v>
      </c>
      <c r="N261" s="85"/>
      <c r="O261" s="85">
        <f t="shared" si="88"/>
        <v>-2.5626287775264589</v>
      </c>
      <c r="P261" s="85">
        <f t="shared" si="88"/>
        <v>12.300618132127003</v>
      </c>
      <c r="Q261" s="83">
        <f>C$158*(0.6*C$15)*('Product half-life and C flows'!L122/100)</f>
        <v>7.8659783291255101</v>
      </c>
      <c r="R261" s="85">
        <f>C$158*0.6*('Product half-life and C flows'!N122/100)</f>
        <v>20.402684524736763</v>
      </c>
      <c r="S261" s="85">
        <f>C$158*0.6*('Product half-life and C flows'!P122/100)</f>
        <v>10.191151111257122</v>
      </c>
      <c r="T261" s="85">
        <f t="shared" si="77"/>
        <v>11.038827979547648</v>
      </c>
      <c r="U261" s="3"/>
      <c r="V261" s="90">
        <f>N$238*(0.4*V$40)*('Product half-life and C flows'!B41/100)</f>
        <v>18.272333167464634</v>
      </c>
      <c r="W261" s="90">
        <f t="shared" si="74"/>
        <v>22.235103667138301</v>
      </c>
      <c r="X261" s="89">
        <f t="shared" si="89"/>
        <v>-2.9375702681265485</v>
      </c>
      <c r="Y261" s="89">
        <f t="shared" si="89"/>
        <v>14.100337287007433</v>
      </c>
      <c r="Z261" s="91">
        <f>N$238*(0.6*Z$41)*('Product half-life and C flows'!L41/100)</f>
        <v>31.398529054232615</v>
      </c>
      <c r="AA261" s="91">
        <f>N$238*0.6*('Product half-life and C flows'!N41/100)</f>
        <v>8.4517933284221876</v>
      </c>
      <c r="AB261" s="91">
        <f>N$238*0.6*('Product half-life and C flows'!P41/100)</f>
        <v>4.2216749892218717</v>
      </c>
      <c r="AC261" s="89">
        <f t="shared" si="79"/>
        <v>25.116225792481988</v>
      </c>
      <c r="AD261" s="17"/>
      <c r="AE261">
        <f t="shared" si="53"/>
        <v>103</v>
      </c>
      <c r="AF261" s="3">
        <f t="shared" si="69"/>
        <v>37.739413533850168</v>
      </c>
      <c r="AG261" s="113">
        <f t="shared" si="54"/>
        <v>155.3894239292618</v>
      </c>
      <c r="AH261" s="124">
        <f t="shared" si="80"/>
        <v>19.234654155483611</v>
      </c>
      <c r="AI261" s="124">
        <f t="shared" si="81"/>
        <v>22.235103667138301</v>
      </c>
      <c r="AJ261" s="124">
        <f t="shared" si="82"/>
        <v>-5.500199045653007</v>
      </c>
      <c r="AK261" s="124">
        <f t="shared" si="83"/>
        <v>26.400955419134434</v>
      </c>
      <c r="AL261" s="124">
        <f t="shared" si="84"/>
        <v>39.264507383358122</v>
      </c>
      <c r="AM261" s="124">
        <f t="shared" si="85"/>
        <v>28.854477853158951</v>
      </c>
      <c r="AN261" s="124">
        <f t="shared" si="86"/>
        <v>14.412826100478995</v>
      </c>
      <c r="AO261" s="124">
        <f t="shared" si="65"/>
        <v>36.155053772029632</v>
      </c>
      <c r="AP261" s="3">
        <f t="shared" si="68"/>
        <v>125.6676713776158</v>
      </c>
    </row>
    <row r="262" spans="1:42" ht="14">
      <c r="A262">
        <f t="shared" si="87"/>
        <v>104</v>
      </c>
      <c r="B262" s="19">
        <f t="shared" si="87"/>
        <v>184</v>
      </c>
      <c r="C262" s="26">
        <f t="shared" si="66"/>
        <v>155.63335554999506</v>
      </c>
      <c r="D262" s="26"/>
      <c r="E262" s="26"/>
      <c r="F262" s="26"/>
      <c r="G262" s="26"/>
      <c r="H262" s="26"/>
      <c r="I262" s="126"/>
      <c r="J262" s="26"/>
      <c r="K262" s="26"/>
      <c r="L262" s="26"/>
      <c r="M262" s="83">
        <f>C$158*(0.4*D$14)*('Product half-life and C flows'!B123/100)</f>
        <v>0.92954080241438197</v>
      </c>
      <c r="N262" s="85"/>
      <c r="O262" s="85">
        <f t="shared" si="88"/>
        <v>-2.5626287775264589</v>
      </c>
      <c r="P262" s="85">
        <f t="shared" si="88"/>
        <v>12.300618132127003</v>
      </c>
      <c r="Q262" s="83">
        <f>C$158*(0.6*C$15)*('Product half-life and C flows'!L123/100)</f>
        <v>7.7457449069524174</v>
      </c>
      <c r="R262" s="85">
        <f>C$158*0.6*('Product half-life and C flows'!N123/100)</f>
        <v>20.482920295133606</v>
      </c>
      <c r="S262" s="85">
        <f>C$158*0.6*('Product half-life and C flows'!P123/100)</f>
        <v>10.231228918648153</v>
      </c>
      <c r="T262" s="85">
        <f t="shared" si="77"/>
        <v>11.038827979547648</v>
      </c>
      <c r="U262" s="3"/>
      <c r="V262" s="90">
        <f>N$238*(0.4*V$40)*('Product half-life and C flows'!B42/100)</f>
        <v>17.649910420672487</v>
      </c>
      <c r="W262" s="90">
        <f t="shared" si="74"/>
        <v>24.140919721338808</v>
      </c>
      <c r="X262" s="89">
        <f t="shared" si="89"/>
        <v>-2.9375702681265485</v>
      </c>
      <c r="Y262" s="89">
        <f t="shared" si="89"/>
        <v>14.100337287007433</v>
      </c>
      <c r="Z262" s="91">
        <f>N$238*(0.6*Z$41)*('Product half-life and C flows'!L42/100)</f>
        <v>30.918594780143223</v>
      </c>
      <c r="AA262" s="91">
        <f>N$238*0.6*('Product half-life and C flows'!N42/100)</f>
        <v>8.772069467331173</v>
      </c>
      <c r="AB262" s="91">
        <f>N$238*0.6*('Product half-life and C flows'!P42/100)</f>
        <v>4.3816530805850009</v>
      </c>
      <c r="AC262" s="89">
        <f t="shared" si="79"/>
        <v>25.116225792481988</v>
      </c>
      <c r="AD262" s="17"/>
      <c r="AE262">
        <f t="shared" si="53"/>
        <v>104</v>
      </c>
      <c r="AF262" s="3">
        <f t="shared" si="69"/>
        <v>37.812766923564119</v>
      </c>
      <c r="AG262" s="113">
        <f t="shared" si="54"/>
        <v>155.63335554999506</v>
      </c>
      <c r="AH262" s="124">
        <f t="shared" si="80"/>
        <v>18.57945122308687</v>
      </c>
      <c r="AI262" s="124">
        <f t="shared" si="81"/>
        <v>24.140919721338808</v>
      </c>
      <c r="AJ262" s="124">
        <f t="shared" si="82"/>
        <v>-5.500199045653007</v>
      </c>
      <c r="AK262" s="124">
        <f t="shared" si="83"/>
        <v>26.400955419134434</v>
      </c>
      <c r="AL262" s="124">
        <f t="shared" si="84"/>
        <v>38.664339687095641</v>
      </c>
      <c r="AM262" s="124">
        <f t="shared" si="85"/>
        <v>29.254989762464781</v>
      </c>
      <c r="AN262" s="124">
        <f t="shared" si="86"/>
        <v>14.612881999233153</v>
      </c>
      <c r="AO262" s="124">
        <f t="shared" si="65"/>
        <v>36.155053772029632</v>
      </c>
      <c r="AP262" s="3">
        <f t="shared" si="68"/>
        <v>127.57388754361382</v>
      </c>
    </row>
    <row r="263" spans="1:42" ht="14">
      <c r="A263">
        <f t="shared" si="87"/>
        <v>105</v>
      </c>
      <c r="B263" s="19">
        <f t="shared" si="87"/>
        <v>185</v>
      </c>
      <c r="C263" s="26">
        <f t="shared" si="66"/>
        <v>155.87270462215298</v>
      </c>
      <c r="D263" s="26"/>
      <c r="E263" s="26"/>
      <c r="F263" s="26"/>
      <c r="G263" s="26"/>
      <c r="H263" s="26"/>
      <c r="I263" s="126"/>
      <c r="J263" s="26"/>
      <c r="K263" s="26"/>
      <c r="L263" s="26"/>
      <c r="M263" s="83">
        <f>C$158*(0.4*D$14)*('Product half-life and C flows'!B124/100)</f>
        <v>0.89787723027000332</v>
      </c>
      <c r="N263" s="85"/>
      <c r="O263" s="85">
        <f t="shared" si="88"/>
        <v>-2.5626287775264589</v>
      </c>
      <c r="P263" s="85">
        <f t="shared" si="88"/>
        <v>12.300618132127003</v>
      </c>
      <c r="Q263" s="83">
        <f>C$158*(0.6*C$15)*('Product half-life and C flows'!L124/100)</f>
        <v>7.6273492823427773</v>
      </c>
      <c r="R263" s="85">
        <f>C$158*0.6*('Product half-life and C flows'!N124/100)</f>
        <v>20.561929641956439</v>
      </c>
      <c r="S263" s="85">
        <f>C$158*0.6*('Product half-life and C flows'!P124/100)</f>
        <v>10.270694126851366</v>
      </c>
      <c r="T263" s="85">
        <f t="shared" si="77"/>
        <v>11.038827979547648</v>
      </c>
      <c r="U263" s="3"/>
      <c r="V263" s="90">
        <f>N$238*(0.4*V$40)*('Product half-life and C flows'!B43/100)</f>
        <v>17.048689677596755</v>
      </c>
      <c r="W263" s="90">
        <f t="shared" si="74"/>
        <v>26.071728237167552</v>
      </c>
      <c r="X263" s="89">
        <f t="shared" si="89"/>
        <v>-2.9375702681265485</v>
      </c>
      <c r="Y263" s="89">
        <f t="shared" si="89"/>
        <v>14.100337287007433</v>
      </c>
      <c r="Z263" s="91">
        <f>N$238*(0.6*Z$41)*('Product half-life and C flows'!L43/100)</f>
        <v>30.445996420008523</v>
      </c>
      <c r="AA263" s="91">
        <f>N$238*0.6*('Product half-life and C flows'!N43/100)</f>
        <v>9.0874501063277293</v>
      </c>
      <c r="AB263" s="91">
        <f>N$238*0.6*('Product half-life and C flows'!P43/100)</f>
        <v>4.5391858672965668</v>
      </c>
      <c r="AC263" s="89">
        <f t="shared" si="79"/>
        <v>25.116225792481988</v>
      </c>
      <c r="AD263" s="17"/>
      <c r="AE263">
        <f t="shared" si="53"/>
        <v>105</v>
      </c>
      <c r="AF263" s="3">
        <f t="shared" si="69"/>
        <v>37.883333560016261</v>
      </c>
      <c r="AG263" s="113">
        <f t="shared" si="54"/>
        <v>155.87270462215298</v>
      </c>
      <c r="AH263" s="124">
        <f t="shared" si="80"/>
        <v>17.94656690786676</v>
      </c>
      <c r="AI263" s="124">
        <f t="shared" si="81"/>
        <v>26.071728237167552</v>
      </c>
      <c r="AJ263" s="124">
        <f t="shared" si="82"/>
        <v>-5.500199045653007</v>
      </c>
      <c r="AK263" s="124">
        <f t="shared" si="83"/>
        <v>26.400955419134434</v>
      </c>
      <c r="AL263" s="124">
        <f t="shared" si="84"/>
        <v>38.073345702351304</v>
      </c>
      <c r="AM263" s="124">
        <f t="shared" si="85"/>
        <v>29.649379748284169</v>
      </c>
      <c r="AN263" s="124">
        <f t="shared" si="86"/>
        <v>14.809879994147932</v>
      </c>
      <c r="AO263" s="124">
        <f t="shared" si="65"/>
        <v>36.155053772029632</v>
      </c>
      <c r="AP263" s="3">
        <f t="shared" si="68"/>
        <v>129.50509005543239</v>
      </c>
    </row>
    <row r="264" spans="1:42" ht="14">
      <c r="A264">
        <f t="shared" si="87"/>
        <v>106</v>
      </c>
      <c r="B264" s="19">
        <f t="shared" si="87"/>
        <v>186</v>
      </c>
      <c r="C264" s="26">
        <f t="shared" si="66"/>
        <v>156.10755229882932</v>
      </c>
      <c r="D264" s="26"/>
      <c r="E264" s="26"/>
      <c r="F264" s="26"/>
      <c r="G264" s="26"/>
      <c r="H264" s="26"/>
      <c r="I264" s="126"/>
      <c r="J264" s="26"/>
      <c r="K264" s="26"/>
      <c r="L264" s="26"/>
      <c r="M264" s="83">
        <f>C$158*(0.4*D$14)*('Product half-life and C flows'!B125/100)</f>
        <v>0.86729223563221569</v>
      </c>
      <c r="N264" s="85"/>
      <c r="O264" s="85">
        <f t="shared" si="88"/>
        <v>-2.5626287775264589</v>
      </c>
      <c r="P264" s="85">
        <f t="shared" si="88"/>
        <v>12.300618132127003</v>
      </c>
      <c r="Q264" s="83">
        <f>C$158*(0.6*C$15)*('Product half-life and C flows'!L125/100)</f>
        <v>7.5107633641067792</v>
      </c>
      <c r="R264" s="85">
        <f>C$158*0.6*('Product half-life and C flows'!N125/100)</f>
        <v>20.639731311392598</v>
      </c>
      <c r="S264" s="85">
        <f>C$158*0.6*('Product half-life and C flows'!P125/100)</f>
        <v>10.309556099596698</v>
      </c>
      <c r="T264" s="85">
        <f t="shared" si="77"/>
        <v>11.038827979547648</v>
      </c>
      <c r="U264" s="3"/>
      <c r="V264" s="90">
        <f>N$238*(0.4*V$40)*('Product half-life and C flows'!B44/100)</f>
        <v>16.46794872015672</v>
      </c>
      <c r="W264" s="90">
        <f t="shared" si="74"/>
        <v>28.021275991399175</v>
      </c>
      <c r="X264" s="89">
        <f t="shared" si="89"/>
        <v>-2.9375702681265485</v>
      </c>
      <c r="Y264" s="89">
        <f t="shared" si="89"/>
        <v>14.100337287007433</v>
      </c>
      <c r="Z264" s="91">
        <f>N$238*(0.6*Z$41)*('Product half-life and C flows'!L44/100)</f>
        <v>29.980621842571278</v>
      </c>
      <c r="AA264" s="91">
        <f>N$238*0.6*('Product half-life and C flows'!N44/100)</f>
        <v>9.3980100743375203</v>
      </c>
      <c r="AB264" s="91">
        <f>N$238*0.6*('Product half-life and C flows'!P44/100)</f>
        <v>4.6943107264423167</v>
      </c>
      <c r="AC264" s="89">
        <f t="shared" si="79"/>
        <v>25.116225792481988</v>
      </c>
      <c r="AD264" s="17"/>
      <c r="AE264">
        <f t="shared" si="53"/>
        <v>106</v>
      </c>
      <c r="AF264" s="3">
        <f t="shared" si="69"/>
        <v>37.951215885630624</v>
      </c>
      <c r="AG264" s="113">
        <f t="shared" si="54"/>
        <v>156.10755229882932</v>
      </c>
      <c r="AH264" s="124">
        <f t="shared" si="80"/>
        <v>17.335240955788937</v>
      </c>
      <c r="AI264" s="124">
        <f t="shared" si="81"/>
        <v>28.021275991399175</v>
      </c>
      <c r="AJ264" s="124">
        <f t="shared" si="82"/>
        <v>-5.500199045653007</v>
      </c>
      <c r="AK264" s="124">
        <f t="shared" si="83"/>
        <v>26.400955419134434</v>
      </c>
      <c r="AL264" s="124">
        <f t="shared" si="84"/>
        <v>37.491385206678061</v>
      </c>
      <c r="AM264" s="124">
        <f t="shared" si="85"/>
        <v>30.037741385730119</v>
      </c>
      <c r="AN264" s="124">
        <f t="shared" si="86"/>
        <v>15.003866826039015</v>
      </c>
      <c r="AO264" s="124">
        <f t="shared" si="65"/>
        <v>36.155053772029632</v>
      </c>
      <c r="AP264" s="3">
        <f t="shared" si="68"/>
        <v>131.45502578332778</v>
      </c>
    </row>
    <row r="265" spans="1:42" ht="14">
      <c r="A265">
        <f t="shared" si="87"/>
        <v>107</v>
      </c>
      <c r="B265" s="19">
        <f t="shared" si="87"/>
        <v>187</v>
      </c>
      <c r="C265" s="26">
        <f t="shared" si="66"/>
        <v>156.33797849500814</v>
      </c>
      <c r="D265" s="26"/>
      <c r="E265" s="26"/>
      <c r="F265" s="26"/>
      <c r="G265" s="26"/>
      <c r="H265" s="26"/>
      <c r="I265" s="126"/>
      <c r="J265" s="26"/>
      <c r="K265" s="26"/>
      <c r="L265" s="26"/>
      <c r="M265" s="83">
        <f>C$158*(0.4*D$14)*('Product half-life and C flows'!B126/100)</f>
        <v>0.8377490781916046</v>
      </c>
      <c r="N265" s="85"/>
      <c r="O265" s="85">
        <f t="shared" si="88"/>
        <v>-2.5626287775264589</v>
      </c>
      <c r="P265" s="85">
        <f t="shared" si="88"/>
        <v>12.300618132127003</v>
      </c>
      <c r="Q265" s="83">
        <f>C$158*(0.6*C$15)*('Product half-life and C flows'!L126/100)</f>
        <v>7.3959594904353851</v>
      </c>
      <c r="R265" s="85">
        <f>C$158*0.6*('Product half-life and C flows'!N126/100)</f>
        <v>20.716343763089302</v>
      </c>
      <c r="S265" s="85">
        <f>C$158*0.6*('Product half-life and C flows'!P126/100)</f>
        <v>10.347824057487163</v>
      </c>
      <c r="T265" s="85">
        <f t="shared" si="77"/>
        <v>11.038827979547648</v>
      </c>
      <c r="U265" s="3"/>
      <c r="V265" s="90">
        <f>N$238*(0.4*V$40)*('Product half-life and C flows'!B45/100)</f>
        <v>15.90698993167079</v>
      </c>
      <c r="W265" s="90">
        <f t="shared" si="74"/>
        <v>29.983689709930267</v>
      </c>
      <c r="X265" s="89">
        <f t="shared" si="89"/>
        <v>-2.9375702681265485</v>
      </c>
      <c r="Y265" s="89">
        <f t="shared" si="89"/>
        <v>14.100337287007433</v>
      </c>
      <c r="Z265" s="91">
        <f>N$238*(0.6*Z$41)*('Product half-life and C flows'!L45/100)</f>
        <v>29.522360630528194</v>
      </c>
      <c r="AA265" s="91">
        <f>N$238*0.6*('Product half-life and C flows'!N45/100)</f>
        <v>9.7038230565076038</v>
      </c>
      <c r="AB265" s="91">
        <f>N$238*0.6*('Product half-life and C flows'!P45/100)</f>
        <v>4.8470644637900113</v>
      </c>
      <c r="AC265" s="89">
        <f t="shared" si="79"/>
        <v>25.116225792481988</v>
      </c>
      <c r="AD265" s="17"/>
      <c r="AE265">
        <f t="shared" si="53"/>
        <v>107</v>
      </c>
      <c r="AF265" s="3">
        <f t="shared" si="69"/>
        <v>38.016512845137939</v>
      </c>
      <c r="AG265" s="113">
        <f t="shared" si="54"/>
        <v>156.33797849500814</v>
      </c>
      <c r="AH265" s="124">
        <f t="shared" si="80"/>
        <v>16.744739009862393</v>
      </c>
      <c r="AI265" s="124">
        <f t="shared" si="81"/>
        <v>29.983689709930267</v>
      </c>
      <c r="AJ265" s="124">
        <f t="shared" si="82"/>
        <v>-5.500199045653007</v>
      </c>
      <c r="AK265" s="124">
        <f t="shared" si="83"/>
        <v>26.400955419134434</v>
      </c>
      <c r="AL265" s="124">
        <f t="shared" si="84"/>
        <v>36.918320120963578</v>
      </c>
      <c r="AM265" s="124">
        <f t="shared" si="85"/>
        <v>30.420166819596908</v>
      </c>
      <c r="AN265" s="124">
        <f t="shared" si="86"/>
        <v>15.194888521277175</v>
      </c>
      <c r="AO265" s="124">
        <f t="shared" si="65"/>
        <v>36.155053772029632</v>
      </c>
      <c r="AP265" s="3">
        <f t="shared" si="68"/>
        <v>133.41782154524935</v>
      </c>
    </row>
    <row r="266" spans="1:42" ht="14">
      <c r="A266">
        <f t="shared" si="87"/>
        <v>108</v>
      </c>
      <c r="B266" s="19">
        <f t="shared" si="87"/>
        <v>188</v>
      </c>
      <c r="C266" s="26">
        <f t="shared" si="66"/>
        <v>156.56406189803187</v>
      </c>
      <c r="D266" s="26"/>
      <c r="E266" s="26"/>
      <c r="F266" s="26"/>
      <c r="G266" s="26"/>
      <c r="H266" s="26"/>
      <c r="I266" s="126"/>
      <c r="J266" s="26"/>
      <c r="K266" s="26"/>
      <c r="L266" s="26"/>
      <c r="M266" s="83">
        <f>C$158*(0.4*D$14)*('Product half-life and C flows'!B127/100)</f>
        <v>0.80921226914857136</v>
      </c>
      <c r="N266" s="85"/>
      <c r="O266" s="85">
        <f t="shared" si="88"/>
        <v>-2.5626287775264589</v>
      </c>
      <c r="P266" s="85">
        <f t="shared" si="88"/>
        <v>12.300618132127003</v>
      </c>
      <c r="Q266" s="83">
        <f>C$158*(0.6*C$15)*('Product half-life and C flows'!L127/100)</f>
        <v>7.2829104223371424</v>
      </c>
      <c r="R266" s="85">
        <f>C$158*0.6*('Product half-life and C flows'!N127/100)</f>
        <v>20.79178517453353</v>
      </c>
      <c r="S266" s="85">
        <f>C$158*0.6*('Product half-life and C flows'!P127/100)</f>
        <v>10.385507080186576</v>
      </c>
      <c r="T266" s="85">
        <f t="shared" si="77"/>
        <v>11.038827979547648</v>
      </c>
      <c r="U266" s="3"/>
      <c r="V266" s="90">
        <f>N$238*(0.4*V$40)*('Product half-life and C flows'!B46/100)</f>
        <v>15.365139458842563</v>
      </c>
      <c r="W266" s="90">
        <f t="shared" si="74"/>
        <v>31.953481416457699</v>
      </c>
      <c r="X266" s="89">
        <f t="shared" si="89"/>
        <v>-2.9375702681265485</v>
      </c>
      <c r="Y266" s="89">
        <f t="shared" si="89"/>
        <v>14.100337287007433</v>
      </c>
      <c r="Z266" s="91">
        <f>N$238*(0.6*Z$41)*('Product half-life and C flows'!L46/100)</f>
        <v>29.071104054331744</v>
      </c>
      <c r="AA266" s="91">
        <f>N$238*0.6*('Product half-life and C flows'!N46/100)</f>
        <v>10.004961611689369</v>
      </c>
      <c r="AB266" s="91">
        <f>N$238*0.6*('Product half-life and C flows'!P46/100)</f>
        <v>4.9974833225221618</v>
      </c>
      <c r="AC266" s="89">
        <f t="shared" si="79"/>
        <v>25.116225792481988</v>
      </c>
      <c r="AD266" s="17"/>
      <c r="AE266">
        <f t="shared" si="53"/>
        <v>108</v>
      </c>
      <c r="AF266" s="3">
        <f t="shared" si="69"/>
        <v>38.079319983466355</v>
      </c>
      <c r="AG266" s="113">
        <f t="shared" si="54"/>
        <v>156.56406189803187</v>
      </c>
      <c r="AH266" s="124">
        <f t="shared" si="80"/>
        <v>16.174351727991134</v>
      </c>
      <c r="AI266" s="124">
        <f t="shared" si="81"/>
        <v>31.953481416457699</v>
      </c>
      <c r="AJ266" s="124">
        <f t="shared" si="82"/>
        <v>-5.500199045653007</v>
      </c>
      <c r="AK266" s="124">
        <f t="shared" si="83"/>
        <v>26.400955419134434</v>
      </c>
      <c r="AL266" s="124">
        <f t="shared" si="84"/>
        <v>36.354014476668887</v>
      </c>
      <c r="AM266" s="124">
        <f t="shared" si="85"/>
        <v>30.796746786222897</v>
      </c>
      <c r="AN266" s="124">
        <f t="shared" si="86"/>
        <v>15.382990402708739</v>
      </c>
      <c r="AO266" s="124">
        <f t="shared" si="65"/>
        <v>36.155053772029632</v>
      </c>
      <c r="AP266" s="3">
        <f t="shared" si="68"/>
        <v>135.38798945553964</v>
      </c>
    </row>
    <row r="267" spans="1:42" ht="14">
      <c r="A267">
        <f t="shared" si="87"/>
        <v>109</v>
      </c>
      <c r="B267" s="19">
        <f t="shared" si="87"/>
        <v>189</v>
      </c>
      <c r="C267" s="26">
        <f t="shared" si="66"/>
        <v>156.78587997838801</v>
      </c>
      <c r="D267" s="26"/>
      <c r="E267" s="26"/>
      <c r="F267" s="26"/>
      <c r="G267" s="26"/>
      <c r="H267" s="26"/>
      <c r="I267" s="126"/>
      <c r="J267" s="26"/>
      <c r="K267" s="26"/>
      <c r="L267" s="26"/>
      <c r="M267" s="83">
        <f>C$158*(0.4*D$14)*('Product half-life and C flows'!B128/100)</f>
        <v>0.78164752858231512</v>
      </c>
      <c r="N267" s="85"/>
      <c r="O267" s="85">
        <f t="shared" si="88"/>
        <v>-2.5626287775264589</v>
      </c>
      <c r="P267" s="85">
        <f t="shared" si="88"/>
        <v>12.300618132127003</v>
      </c>
      <c r="Q267" s="83">
        <f>C$158*(0.6*C$15)*('Product half-life and C flows'!L128/100)</f>
        <v>7.1715893371753152</v>
      </c>
      <c r="R267" s="85">
        <f>C$158*0.6*('Product half-life and C flows'!N128/100)</f>
        <v>20.866073445364858</v>
      </c>
      <c r="S267" s="85">
        <f>C$158*0.6*('Product half-life and C flows'!P128/100)</f>
        <v>10.422614108573852</v>
      </c>
      <c r="T267" s="85">
        <f t="shared" si="77"/>
        <v>11.038827979547648</v>
      </c>
      <c r="U267" s="3"/>
      <c r="V267" s="90">
        <f>N$238*(0.4*V$40)*('Product half-life and C flows'!B47/100)</f>
        <v>14.841746402292674</v>
      </c>
      <c r="W267" s="90">
        <f t="shared" si="74"/>
        <v>33.925548553733627</v>
      </c>
      <c r="X267" s="89">
        <f t="shared" si="89"/>
        <v>-2.9375702681265485</v>
      </c>
      <c r="Y267" s="89">
        <f t="shared" si="89"/>
        <v>14.100337287007433</v>
      </c>
      <c r="Z267" s="91">
        <f>N$238*(0.6*Z$41)*('Product half-life and C flows'!L47/100)</f>
        <v>28.626745046392429</v>
      </c>
      <c r="AA267" s="91">
        <f>N$238*0.6*('Product half-life and C flows'!N47/100)</f>
        <v>10.301497189654203</v>
      </c>
      <c r="AB267" s="91">
        <f>N$238*0.6*('Product half-life and C flows'!P47/100)</f>
        <v>5.1456029918352657</v>
      </c>
      <c r="AC267" s="89">
        <f t="shared" si="79"/>
        <v>25.116225792481988</v>
      </c>
      <c r="AD267" s="17"/>
      <c r="AE267">
        <f t="shared" si="53"/>
        <v>109</v>
      </c>
      <c r="AF267" s="3">
        <f t="shared" si="69"/>
        <v>38.139729542737612</v>
      </c>
      <c r="AG267" s="113">
        <f t="shared" si="54"/>
        <v>156.78587997838801</v>
      </c>
      <c r="AH267" s="124">
        <f t="shared" si="80"/>
        <v>15.62339393087499</v>
      </c>
      <c r="AI267" s="124">
        <f t="shared" si="81"/>
        <v>33.925548553733627</v>
      </c>
      <c r="AJ267" s="124">
        <f t="shared" si="82"/>
        <v>-5.500199045653007</v>
      </c>
      <c r="AK267" s="124">
        <f t="shared" si="83"/>
        <v>26.400955419134434</v>
      </c>
      <c r="AL267" s="124">
        <f t="shared" si="84"/>
        <v>35.798334383567742</v>
      </c>
      <c r="AM267" s="124">
        <f t="shared" si="85"/>
        <v>31.167570635019061</v>
      </c>
      <c r="AN267" s="124">
        <f t="shared" si="86"/>
        <v>15.568217100409118</v>
      </c>
      <c r="AO267" s="124">
        <f t="shared" si="65"/>
        <v>36.155053772029632</v>
      </c>
      <c r="AP267" s="3">
        <f t="shared" si="68"/>
        <v>137.36042704621099</v>
      </c>
    </row>
    <row r="268" spans="1:42" ht="14">
      <c r="A268">
        <f t="shared" si="87"/>
        <v>110</v>
      </c>
      <c r="B268" s="19">
        <f t="shared" si="87"/>
        <v>190</v>
      </c>
      <c r="C268" s="26">
        <f t="shared" si="66"/>
        <v>157.00350900079047</v>
      </c>
      <c r="D268" s="26"/>
      <c r="E268" s="26"/>
      <c r="F268" s="26"/>
      <c r="G268" s="26"/>
      <c r="H268" s="26"/>
      <c r="I268" s="126"/>
      <c r="J268" s="26"/>
      <c r="K268" s="26"/>
      <c r="L268" s="26"/>
      <c r="M268" s="83">
        <f>C$158*(0.4*D$14)*('Product half-life and C flows'!B129/100)</f>
        <v>0.75502174427197977</v>
      </c>
      <c r="N268" s="85"/>
      <c r="O268" s="85">
        <f t="shared" si="88"/>
        <v>-2.5626287775264589</v>
      </c>
      <c r="P268" s="85">
        <f t="shared" si="88"/>
        <v>12.300618132127003</v>
      </c>
      <c r="Q268" s="83">
        <f>C$158*(0.6*C$15)*('Product half-life and C flows'!L129/100)</f>
        <v>7.061969822303789</v>
      </c>
      <c r="R268" s="85">
        <f>C$158*0.6*('Product half-life and C flows'!N129/100)</f>
        <v>20.939226201622461</v>
      </c>
      <c r="S268" s="85">
        <f>C$158*0.6*('Product half-life and C flows'!P129/100)</f>
        <v>10.459153946864362</v>
      </c>
      <c r="T268" s="85">
        <f t="shared" si="77"/>
        <v>11.038827979547648</v>
      </c>
      <c r="U268" s="3"/>
      <c r="V268" s="90">
        <f>N$238*(0.4*V$40)*('Product half-life and C flows'!B48/100)</f>
        <v>14.336182034664123</v>
      </c>
      <c r="W268" s="90">
        <f t="shared" si="74"/>
        <v>35.895169859521509</v>
      </c>
      <c r="X268" s="89">
        <f t="shared" si="89"/>
        <v>-2.9375702681265485</v>
      </c>
      <c r="Y268" s="89">
        <f t="shared" si="89"/>
        <v>14.100337287007433</v>
      </c>
      <c r="Z268" s="91">
        <f>N$238*(0.6*Z$41)*('Product half-life and C flows'!L48/100)</f>
        <v>28.18917817567527</v>
      </c>
      <c r="AA268" s="91">
        <f>N$238*0.6*('Product half-life and C flows'!N48/100)</f>
        <v>10.593500148046122</v>
      </c>
      <c r="AB268" s="91">
        <f>N$238*0.6*('Product half-life and C flows'!P48/100)</f>
        <v>5.2914586154076524</v>
      </c>
      <c r="AC268" s="89">
        <f t="shared" si="79"/>
        <v>25.116225792481988</v>
      </c>
      <c r="AD268" s="17"/>
      <c r="AE268">
        <f t="shared" si="53"/>
        <v>110</v>
      </c>
      <c r="AF268" s="3">
        <f t="shared" si="69"/>
        <v>38.197830558185984</v>
      </c>
      <c r="AG268" s="113">
        <f t="shared" si="54"/>
        <v>157.00350900079047</v>
      </c>
      <c r="AH268" s="124">
        <f t="shared" si="80"/>
        <v>15.091203778936103</v>
      </c>
      <c r="AI268" s="124">
        <f t="shared" si="81"/>
        <v>35.895169859521509</v>
      </c>
      <c r="AJ268" s="124">
        <f t="shared" si="82"/>
        <v>-5.500199045653007</v>
      </c>
      <c r="AK268" s="124">
        <f t="shared" si="83"/>
        <v>26.400955419134434</v>
      </c>
      <c r="AL268" s="124">
        <f t="shared" si="84"/>
        <v>35.251147997979061</v>
      </c>
      <c r="AM268" s="124">
        <f t="shared" si="85"/>
        <v>31.532726349668582</v>
      </c>
      <c r="AN268" s="124">
        <f t="shared" si="86"/>
        <v>15.750612562272014</v>
      </c>
      <c r="AO268" s="124">
        <f t="shared" si="65"/>
        <v>36.155053772029632</v>
      </c>
      <c r="AP268" s="3">
        <f t="shared" si="68"/>
        <v>139.33041314292259</v>
      </c>
    </row>
    <row r="269" spans="1:42" ht="14">
      <c r="A269">
        <f t="shared" si="87"/>
        <v>111</v>
      </c>
      <c r="B269" s="19">
        <f t="shared" si="87"/>
        <v>191</v>
      </c>
      <c r="C269" s="26">
        <f t="shared" si="66"/>
        <v>157.21702403553022</v>
      </c>
      <c r="D269" s="26"/>
      <c r="E269" s="26"/>
      <c r="F269" s="26"/>
      <c r="G269" s="26"/>
      <c r="H269" s="26"/>
      <c r="I269" s="126"/>
      <c r="J269" s="26"/>
      <c r="K269" s="26"/>
      <c r="L269" s="26"/>
      <c r="M269" s="83">
        <f>C$158*(0.4*D$14)*('Product half-life and C flows'!B130/100)</f>
        <v>0.72930293192050999</v>
      </c>
      <c r="N269" s="85"/>
      <c r="O269" s="85">
        <f t="shared" si="88"/>
        <v>-2.5626287775264589</v>
      </c>
      <c r="P269" s="85">
        <f t="shared" si="88"/>
        <v>12.300618132127003</v>
      </c>
      <c r="Q269" s="83">
        <f>C$158*(0.6*C$15)*('Product half-life and C flows'!L130/100)</f>
        <v>6.9540258688002856</v>
      </c>
      <c r="R269" s="85">
        <f>C$158*0.6*('Product half-life and C flows'!N130/100)</f>
        <v>21.011260799927129</v>
      </c>
      <c r="S269" s="85">
        <f>C$158*0.6*('Product half-life and C flows'!P130/100)</f>
        <v>10.495135264698863</v>
      </c>
      <c r="T269" s="85">
        <f t="shared" si="77"/>
        <v>11.038827979547648</v>
      </c>
      <c r="U269" s="3"/>
      <c r="V269" s="90">
        <f>N$238*(0.4*V$40)*('Product half-life and C flows'!B49/100)</f>
        <v>13.847839045361782</v>
      </c>
      <c r="W269" s="90">
        <f t="shared" si="74"/>
        <v>37.85799783686052</v>
      </c>
      <c r="X269" s="89">
        <f t="shared" si="89"/>
        <v>-2.9375702681265485</v>
      </c>
      <c r="Y269" s="89">
        <f t="shared" si="89"/>
        <v>14.100337287007433</v>
      </c>
      <c r="Z269" s="91">
        <f>N$238*(0.6*Z$41)*('Product half-life and C flows'!L49/100)</f>
        <v>27.758299622684738</v>
      </c>
      <c r="AA269" s="91">
        <f>N$238*0.6*('Product half-life and C flows'!N49/100)</f>
        <v>10.881039769075139</v>
      </c>
      <c r="AB269" s="91">
        <f>N$238*0.6*('Product half-life and C flows'!P49/100)</f>
        <v>5.4350847997378304</v>
      </c>
      <c r="AC269" s="89">
        <f t="shared" si="79"/>
        <v>25.116225792481988</v>
      </c>
      <c r="AD269" s="17"/>
      <c r="AE269">
        <f t="shared" si="53"/>
        <v>111</v>
      </c>
      <c r="AF269" s="3">
        <f t="shared" si="69"/>
        <v>38.253708952839823</v>
      </c>
      <c r="AG269" s="113">
        <f t="shared" si="54"/>
        <v>157.21702403553022</v>
      </c>
      <c r="AH269" s="124">
        <f t="shared" si="80"/>
        <v>14.577141977282292</v>
      </c>
      <c r="AI269" s="124">
        <f t="shared" si="81"/>
        <v>37.85799783686052</v>
      </c>
      <c r="AJ269" s="124">
        <f t="shared" si="82"/>
        <v>-5.500199045653007</v>
      </c>
      <c r="AK269" s="124">
        <f t="shared" si="83"/>
        <v>26.400955419134434</v>
      </c>
      <c r="AL269" s="124">
        <f t="shared" si="84"/>
        <v>34.712325491485025</v>
      </c>
      <c r="AM269" s="124">
        <f t="shared" si="85"/>
        <v>31.892300569002266</v>
      </c>
      <c r="AN269" s="124">
        <f t="shared" si="86"/>
        <v>15.930220064436693</v>
      </c>
      <c r="AO269" s="124">
        <f t="shared" si="65"/>
        <v>36.155053772029632</v>
      </c>
      <c r="AP269" s="3">
        <f t="shared" si="68"/>
        <v>141.29360033526592</v>
      </c>
    </row>
    <row r="270" spans="1:42" ht="14">
      <c r="A270">
        <f t="shared" si="87"/>
        <v>112</v>
      </c>
      <c r="B270" s="19">
        <f t="shared" si="87"/>
        <v>192</v>
      </c>
      <c r="C270" s="26">
        <f t="shared" si="66"/>
        <v>157.42649897007195</v>
      </c>
      <c r="D270" s="26"/>
      <c r="E270" s="26"/>
      <c r="F270" s="26"/>
      <c r="G270" s="26"/>
      <c r="H270" s="26"/>
      <c r="I270" s="126"/>
      <c r="J270" s="26"/>
      <c r="K270" s="26"/>
      <c r="L270" s="26"/>
      <c r="M270" s="83">
        <f>C$158*(0.4*D$14)*('Product half-life and C flows'!B131/100)</f>
        <v>0.70446019673342397</v>
      </c>
      <c r="N270" s="85"/>
      <c r="O270" s="85">
        <f t="shared" si="88"/>
        <v>-2.5626287775264589</v>
      </c>
      <c r="P270" s="85">
        <f t="shared" si="88"/>
        <v>12.300618132127003</v>
      </c>
      <c r="Q270" s="83">
        <f>C$158*(0.6*C$15)*('Product half-life and C flows'!L131/100)</f>
        <v>6.8477318652953185</v>
      </c>
      <c r="R270" s="85">
        <f>C$158*0.6*('Product half-life and C flows'!N131/100)</f>
        <v>21.082194331599446</v>
      </c>
      <c r="S270" s="85">
        <f>C$158*0.6*('Product half-life and C flows'!P131/100)</f>
        <v>10.530566599200519</v>
      </c>
      <c r="T270" s="85">
        <f t="shared" si="77"/>
        <v>11.038827979547648</v>
      </c>
      <c r="U270" s="3"/>
      <c r="V270" s="90">
        <f>N$238*(0.4*V$40)*('Product half-life and C flows'!B50/100)</f>
        <v>13.376130811018898</v>
      </c>
      <c r="W270" s="90">
        <f t="shared" si="74"/>
        <v>39.810048534318845</v>
      </c>
      <c r="X270" s="89">
        <f t="shared" si="89"/>
        <v>-2.9375702681265485</v>
      </c>
      <c r="Y270" s="89">
        <f t="shared" si="89"/>
        <v>14.100337287007433</v>
      </c>
      <c r="Z270" s="91">
        <f>N$238*(0.6*Z$41)*('Product half-life and C flows'!L50/100)</f>
        <v>27.334007154831919</v>
      </c>
      <c r="AA270" s="91">
        <f>N$238*0.6*('Product half-life and C flows'!N50/100)</f>
        <v>11.164184275955586</v>
      </c>
      <c r="AB270" s="91">
        <f>N$238*0.6*('Product half-life and C flows'!P50/100)</f>
        <v>5.5765156223554362</v>
      </c>
      <c r="AC270" s="89">
        <f t="shared" si="79"/>
        <v>25.116225792481988</v>
      </c>
      <c r="AD270" s="17"/>
      <c r="AE270">
        <f t="shared" ref="AE270:AE318" si="90">A270</f>
        <v>112</v>
      </c>
      <c r="AF270" s="3">
        <f t="shared" si="69"/>
        <v>38.307447630826985</v>
      </c>
      <c r="AG270" s="113">
        <f t="shared" ref="AG270:AG318" si="91">C270</f>
        <v>157.42649897007195</v>
      </c>
      <c r="AH270" s="124">
        <f t="shared" si="80"/>
        <v>14.080591007752322</v>
      </c>
      <c r="AI270" s="124">
        <f t="shared" si="81"/>
        <v>39.810048534318845</v>
      </c>
      <c r="AJ270" s="124">
        <f t="shared" si="82"/>
        <v>-5.500199045653007</v>
      </c>
      <c r="AK270" s="124">
        <f t="shared" si="83"/>
        <v>26.400955419134434</v>
      </c>
      <c r="AL270" s="124">
        <f t="shared" si="84"/>
        <v>34.181739020127239</v>
      </c>
      <c r="AM270" s="124">
        <f t="shared" si="85"/>
        <v>32.24637860755503</v>
      </c>
      <c r="AN270" s="124">
        <f t="shared" si="86"/>
        <v>16.107082221555956</v>
      </c>
      <c r="AO270" s="124">
        <f t="shared" si="65"/>
        <v>36.155053772029632</v>
      </c>
      <c r="AP270" s="3">
        <f t="shared" si="68"/>
        <v>143.24600475703849</v>
      </c>
    </row>
    <row r="271" spans="1:42" ht="14">
      <c r="A271">
        <f t="shared" si="87"/>
        <v>113</v>
      </c>
      <c r="B271" s="19">
        <f t="shared" si="87"/>
        <v>193</v>
      </c>
      <c r="C271" s="26">
        <f t="shared" si="66"/>
        <v>157.63200652087528</v>
      </c>
      <c r="D271" s="26"/>
      <c r="E271" s="26"/>
      <c r="F271" s="26"/>
      <c r="G271" s="26"/>
      <c r="H271" s="26"/>
      <c r="I271" s="126"/>
      <c r="J271" s="26"/>
      <c r="K271" s="26"/>
      <c r="L271" s="26"/>
      <c r="M271" s="83">
        <f>C$158*(0.4*D$14)*('Product half-life and C flows'!B132/100)</f>
        <v>0.68046369630635772</v>
      </c>
      <c r="N271" s="85"/>
      <c r="O271" s="85">
        <f t="shared" si="88"/>
        <v>-2.5626287775264589</v>
      </c>
      <c r="P271" s="85">
        <f t="shared" si="88"/>
        <v>12.300618132127003</v>
      </c>
      <c r="Q271" s="83">
        <f>C$158*(0.6*C$15)*('Product half-life and C flows'!L132/100)</f>
        <v>6.7430625918955105</v>
      </c>
      <c r="R271" s="85">
        <f>C$158*0.6*('Product half-life and C flows'!N132/100)</f>
        <v>21.152043626714917</v>
      </c>
      <c r="S271" s="85">
        <f>C$158*0.6*('Product half-life and C flows'!P132/100)</f>
        <v>10.565456357000453</v>
      </c>
      <c r="T271" s="85">
        <f t="shared" si="77"/>
        <v>11.038827979547648</v>
      </c>
      <c r="U271" s="3"/>
      <c r="V271" s="90">
        <f>N$238*(0.4*V$40)*('Product half-life and C flows'!B51/100)</f>
        <v>12.920490690814113</v>
      </c>
      <c r="W271" s="90">
        <f t="shared" si="74"/>
        <v>41.747689244282668</v>
      </c>
      <c r="X271" s="89">
        <f t="shared" si="89"/>
        <v>-2.9375702681265485</v>
      </c>
      <c r="Y271" s="89">
        <f t="shared" si="89"/>
        <v>14.100337287007433</v>
      </c>
      <c r="Z271" s="91">
        <f>N$238*(0.6*Z$41)*('Product half-life and C flows'!L51/100)</f>
        <v>26.916200102178291</v>
      </c>
      <c r="AA271" s="91">
        <f>N$238*0.6*('Product half-life and C flows'!N51/100)</f>
        <v>11.443000849093108</v>
      </c>
      <c r="AB271" s="91">
        <f>N$238*0.6*('Product half-life and C flows'!P51/100)</f>
        <v>5.7157846399066461</v>
      </c>
      <c r="AC271" s="89">
        <f t="shared" si="79"/>
        <v>25.116225792481988</v>
      </c>
      <c r="AD271" s="17"/>
      <c r="AE271">
        <f t="shared" si="90"/>
        <v>113</v>
      </c>
      <c r="AF271" s="3">
        <f t="shared" si="69"/>
        <v>38.359126569184305</v>
      </c>
      <c r="AG271" s="113">
        <f t="shared" si="91"/>
        <v>157.63200652087528</v>
      </c>
      <c r="AH271" s="124">
        <f t="shared" si="80"/>
        <v>13.600954387120471</v>
      </c>
      <c r="AI271" s="124">
        <f t="shared" si="81"/>
        <v>41.747689244282668</v>
      </c>
      <c r="AJ271" s="124">
        <f t="shared" si="82"/>
        <v>-5.500199045653007</v>
      </c>
      <c r="AK271" s="124">
        <f t="shared" si="83"/>
        <v>26.400955419134434</v>
      </c>
      <c r="AL271" s="124">
        <f t="shared" si="84"/>
        <v>33.659262694073803</v>
      </c>
      <c r="AM271" s="124">
        <f t="shared" si="85"/>
        <v>32.595044475808024</v>
      </c>
      <c r="AN271" s="124">
        <f t="shared" si="86"/>
        <v>16.281240996907101</v>
      </c>
      <c r="AO271" s="124">
        <f t="shared" si="65"/>
        <v>36.155053772029632</v>
      </c>
      <c r="AP271" s="3">
        <f t="shared" si="68"/>
        <v>145.18399378455302</v>
      </c>
    </row>
    <row r="272" spans="1:42" ht="14">
      <c r="A272">
        <f t="shared" ref="A272:B287" si="92">A271+1</f>
        <v>114</v>
      </c>
      <c r="B272" s="19">
        <f t="shared" si="92"/>
        <v>194</v>
      </c>
      <c r="C272" s="26">
        <f t="shared" si="66"/>
        <v>157.83361824541831</v>
      </c>
      <c r="D272" s="26"/>
      <c r="E272" s="26"/>
      <c r="F272" s="26"/>
      <c r="G272" s="26"/>
      <c r="H272" s="26"/>
      <c r="I272" s="126"/>
      <c r="J272" s="26"/>
      <c r="K272" s="26"/>
      <c r="L272" s="26"/>
      <c r="M272" s="83">
        <f>C$158*(0.4*D$14)*('Product half-life and C flows'!B133/100)</f>
        <v>0.65728460477679418</v>
      </c>
      <c r="N272" s="85"/>
      <c r="O272" s="85">
        <f t="shared" ref="O272:P287" si="93">O271</f>
        <v>-2.5626287775264589</v>
      </c>
      <c r="P272" s="85">
        <f t="shared" si="93"/>
        <v>12.300618132127003</v>
      </c>
      <c r="Q272" s="83">
        <f>C$158*(0.6*C$15)*('Product half-life and C flows'!L133/100)</f>
        <v>6.6399932141997944</v>
      </c>
      <c r="R272" s="85">
        <f>C$158*0.6*('Product half-life and C flows'!N133/100)</f>
        <v>21.220825258097193</v>
      </c>
      <c r="S272" s="85">
        <f>C$158*0.6*('Product half-life and C flows'!P133/100)</f>
        <v>10.59981281623236</v>
      </c>
      <c r="T272" s="85">
        <f t="shared" si="77"/>
        <v>11.038827979547648</v>
      </c>
      <c r="U272" s="3"/>
      <c r="V272" s="90">
        <f>N$238*(0.4*V$40)*('Product half-life and C flows'!B52/100)</f>
        <v>12.480371345792625</v>
      </c>
      <c r="W272" s="90">
        <f t="shared" si="74"/>
        <v>43.667624633970696</v>
      </c>
      <c r="X272" s="89">
        <f t="shared" si="89"/>
        <v>-2.9375702681265485</v>
      </c>
      <c r="Y272" s="89">
        <f t="shared" si="89"/>
        <v>14.100337287007433</v>
      </c>
      <c r="Z272" s="91">
        <f>N$238*(0.6*Z$41)*('Product half-life and C flows'!L52/100)</f>
        <v>26.504779333550204</v>
      </c>
      <c r="AA272" s="91">
        <f>N$238*0.6*('Product half-life and C flows'!N52/100)</f>
        <v>11.717555642024248</v>
      </c>
      <c r="AB272" s="91">
        <f>N$238*0.6*('Product half-life and C flows'!P52/100)</f>
        <v>5.8529248961160079</v>
      </c>
      <c r="AC272" s="89">
        <f t="shared" si="79"/>
        <v>25.116225792481988</v>
      </c>
      <c r="AD272" s="17"/>
      <c r="AE272">
        <f t="shared" si="90"/>
        <v>114</v>
      </c>
      <c r="AF272" s="3">
        <f t="shared" si="69"/>
        <v>38.408822908068679</v>
      </c>
      <c r="AG272" s="113">
        <f t="shared" si="91"/>
        <v>157.83361824541831</v>
      </c>
      <c r="AH272" s="124">
        <f t="shared" si="80"/>
        <v>13.137655950569419</v>
      </c>
      <c r="AI272" s="124">
        <f t="shared" si="81"/>
        <v>43.667624633970696</v>
      </c>
      <c r="AJ272" s="124">
        <f t="shared" si="82"/>
        <v>-5.500199045653007</v>
      </c>
      <c r="AK272" s="124">
        <f t="shared" si="83"/>
        <v>26.400955419134434</v>
      </c>
      <c r="AL272" s="124">
        <f t="shared" si="84"/>
        <v>33.144772547749994</v>
      </c>
      <c r="AM272" s="124">
        <f t="shared" si="85"/>
        <v>32.938380900121444</v>
      </c>
      <c r="AN272" s="124">
        <f t="shared" si="86"/>
        <v>16.452737712348366</v>
      </c>
      <c r="AO272" s="124">
        <f t="shared" si="65"/>
        <v>36.155053772029632</v>
      </c>
      <c r="AP272" s="3">
        <f t="shared" si="68"/>
        <v>147.10427216767192</v>
      </c>
    </row>
    <row r="273" spans="1:42" ht="14">
      <c r="A273">
        <f t="shared" si="92"/>
        <v>115</v>
      </c>
      <c r="B273" s="19">
        <f t="shared" si="92"/>
        <v>195</v>
      </c>
      <c r="C273" s="26">
        <f t="shared" si="66"/>
        <v>158.03140455440482</v>
      </c>
      <c r="D273" s="26"/>
      <c r="E273" s="26"/>
      <c r="F273" s="26"/>
      <c r="G273" s="26"/>
      <c r="H273" s="26"/>
      <c r="I273" s="126"/>
      <c r="J273" s="26"/>
      <c r="K273" s="26"/>
      <c r="L273" s="26"/>
      <c r="M273" s="83">
        <f>C$158*(0.4*D$14)*('Product half-life and C flows'!B134/100)</f>
        <v>0.6348950781969146</v>
      </c>
      <c r="N273" s="85"/>
      <c r="O273" s="85">
        <f t="shared" si="93"/>
        <v>-2.5626287775264589</v>
      </c>
      <c r="P273" s="85">
        <f t="shared" si="93"/>
        <v>12.300618132127003</v>
      </c>
      <c r="Q273" s="83">
        <f>C$158*(0.6*C$15)*('Product half-life and C flows'!L134/100)</f>
        <v>6.5384992774070501</v>
      </c>
      <c r="R273" s="85">
        <f>C$158*0.6*('Product half-life and C flows'!N134/100)</f>
        <v>21.288555545250215</v>
      </c>
      <c r="S273" s="85">
        <f>C$158*0.6*('Product half-life and C flows'!P134/100)</f>
        <v>10.633644128496607</v>
      </c>
      <c r="T273" s="85">
        <f t="shared" si="77"/>
        <v>11.038827979547648</v>
      </c>
      <c r="U273" s="3"/>
      <c r="V273" s="90">
        <f>N$238*(0.4*V$40)*('Product half-life and C flows'!B53/100)</f>
        <v>12.055244081373761</v>
      </c>
      <c r="W273" s="90">
        <f t="shared" si="74"/>
        <v>45.566881743001851</v>
      </c>
      <c r="X273" s="89">
        <f t="shared" ref="X273:Y288" si="94">X272</f>
        <v>-2.9375702681265485</v>
      </c>
      <c r="Y273" s="89">
        <f t="shared" si="94"/>
        <v>14.100337287007433</v>
      </c>
      <c r="Z273" s="91">
        <f>N$238*(0.6*Z$41)*('Product half-life and C flows'!L53/100)</f>
        <v>26.099647233018512</v>
      </c>
      <c r="AA273" s="91">
        <f>N$238*0.6*('Product half-life and C flows'!N53/100)</f>
        <v>11.9879137971124</v>
      </c>
      <c r="AB273" s="91">
        <f>N$238*0.6*('Product half-life and C flows'!P53/100)</f>
        <v>5.9879689296265726</v>
      </c>
      <c r="AC273" s="89">
        <f t="shared" si="79"/>
        <v>25.116225792481988</v>
      </c>
      <c r="AD273" s="17"/>
      <c r="AE273">
        <f t="shared" si="90"/>
        <v>115</v>
      </c>
      <c r="AF273" s="3">
        <f t="shared" si="69"/>
        <v>38.456611039283139</v>
      </c>
      <c r="AG273" s="113">
        <f t="shared" si="91"/>
        <v>158.03140455440482</v>
      </c>
      <c r="AH273" s="124">
        <f t="shared" si="80"/>
        <v>12.690139159570675</v>
      </c>
      <c r="AI273" s="124">
        <f t="shared" si="81"/>
        <v>45.566881743001851</v>
      </c>
      <c r="AJ273" s="124">
        <f t="shared" si="82"/>
        <v>-5.500199045653007</v>
      </c>
      <c r="AK273" s="124">
        <f t="shared" si="83"/>
        <v>26.400955419134434</v>
      </c>
      <c r="AL273" s="124">
        <f t="shared" si="84"/>
        <v>32.638146510425564</v>
      </c>
      <c r="AM273" s="124">
        <f t="shared" si="85"/>
        <v>33.276469342362617</v>
      </c>
      <c r="AN273" s="124">
        <f t="shared" si="86"/>
        <v>16.621613058123181</v>
      </c>
      <c r="AO273" s="124">
        <f t="shared" si="65"/>
        <v>36.155053772029632</v>
      </c>
      <c r="AP273" s="3">
        <f t="shared" si="68"/>
        <v>149.00386702739465</v>
      </c>
    </row>
    <row r="274" spans="1:42" ht="14">
      <c r="A274">
        <f t="shared" si="92"/>
        <v>116</v>
      </c>
      <c r="B274" s="19">
        <f t="shared" si="92"/>
        <v>196</v>
      </c>
      <c r="C274" s="26">
        <f t="shared" si="66"/>
        <v>158.22543472413426</v>
      </c>
      <c r="D274" s="26"/>
      <c r="E274" s="26"/>
      <c r="F274" s="26"/>
      <c r="G274" s="26"/>
      <c r="H274" s="26"/>
      <c r="I274" s="126"/>
      <c r="J274" s="26"/>
      <c r="K274" s="26"/>
      <c r="L274" s="26"/>
      <c r="M274" s="83">
        <f>C$158*(0.4*D$14)*('Product half-life and C flows'!B135/100)</f>
        <v>0.61326822108598067</v>
      </c>
      <c r="N274" s="85"/>
      <c r="O274" s="85">
        <f t="shared" si="93"/>
        <v>-2.5626287775264589</v>
      </c>
      <c r="P274" s="85">
        <f t="shared" si="93"/>
        <v>12.300618132127003</v>
      </c>
      <c r="Q274" s="83">
        <f>C$158*(0.6*C$15)*('Product half-life and C flows'!L135/100)</f>
        <v>6.4385567005138391</v>
      </c>
      <c r="R274" s="85">
        <f>C$158*0.6*('Product half-life and C flows'!N135/100)</f>
        <v>21.355250558230285</v>
      </c>
      <c r="S274" s="85">
        <f>C$158*0.6*('Product half-life and C flows'!P135/100)</f>
        <v>10.666958320794345</v>
      </c>
      <c r="T274" s="85">
        <f t="shared" si="77"/>
        <v>11.038827979547648</v>
      </c>
      <c r="U274" s="3"/>
      <c r="V274" s="90">
        <f>N$238*(0.4*V$40)*('Product half-life and C flows'!B54/100)</f>
        <v>11.644598212255145</v>
      </c>
      <c r="W274" s="90">
        <f t="shared" si="74"/>
        <v>47.44279421141578</v>
      </c>
      <c r="X274" s="89">
        <f t="shared" si="94"/>
        <v>-2.9375702681265485</v>
      </c>
      <c r="Y274" s="89">
        <f t="shared" si="94"/>
        <v>14.100337287007433</v>
      </c>
      <c r="Z274" s="91">
        <f>N$238*(0.6*Z$41)*('Product half-life and C flows'!L54/100)</f>
        <v>25.700707676737633</v>
      </c>
      <c r="AA274" s="91">
        <f>N$238*0.6*('Product half-life and C flows'!N54/100)</f>
        <v>12.254139461003838</v>
      </c>
      <c r="AB274" s="91">
        <f>N$238*0.6*('Product half-life and C flows'!P54/100)</f>
        <v>6.1209487817201982</v>
      </c>
      <c r="AC274" s="89">
        <f t="shared" si="79"/>
        <v>25.116225792481988</v>
      </c>
      <c r="AD274" s="17"/>
      <c r="AE274">
        <f t="shared" si="90"/>
        <v>116</v>
      </c>
      <c r="AF274" s="3">
        <f t="shared" si="69"/>
        <v>38.502562693045697</v>
      </c>
      <c r="AG274" s="113">
        <f t="shared" si="91"/>
        <v>158.22543472413426</v>
      </c>
      <c r="AH274" s="124">
        <f t="shared" si="80"/>
        <v>12.257866433341126</v>
      </c>
      <c r="AI274" s="124">
        <f t="shared" si="81"/>
        <v>47.44279421141578</v>
      </c>
      <c r="AJ274" s="124">
        <f t="shared" si="82"/>
        <v>-5.500199045653007</v>
      </c>
      <c r="AK274" s="124">
        <f t="shared" si="83"/>
        <v>26.400955419134434</v>
      </c>
      <c r="AL274" s="124">
        <f t="shared" si="84"/>
        <v>32.139264377251472</v>
      </c>
      <c r="AM274" s="124">
        <f t="shared" si="85"/>
        <v>33.609390019234127</v>
      </c>
      <c r="AN274" s="124">
        <f t="shared" si="86"/>
        <v>16.787907102514545</v>
      </c>
      <c r="AO274" s="124">
        <f t="shared" si="65"/>
        <v>36.155053772029632</v>
      </c>
      <c r="AP274" s="3">
        <f t="shared" si="68"/>
        <v>150.88011208389733</v>
      </c>
    </row>
    <row r="275" spans="1:42" ht="14">
      <c r="A275">
        <f t="shared" si="92"/>
        <v>117</v>
      </c>
      <c r="B275" s="19">
        <f t="shared" si="92"/>
        <v>197</v>
      </c>
      <c r="C275" s="26">
        <f t="shared" si="66"/>
        <v>158.41577690901786</v>
      </c>
      <c r="D275" s="26"/>
      <c r="E275" s="26"/>
      <c r="F275" s="26"/>
      <c r="G275" s="26"/>
      <c r="H275" s="26"/>
      <c r="I275" s="126"/>
      <c r="J275" s="26"/>
      <c r="K275" s="26"/>
      <c r="L275" s="26"/>
      <c r="M275" s="83">
        <f>C$158*(0.4*D$14)*('Product half-life and C flows'!B136/100)</f>
        <v>0.59237805412206301</v>
      </c>
      <c r="N275" s="85"/>
      <c r="O275" s="85">
        <f t="shared" si="93"/>
        <v>-2.5626287775264589</v>
      </c>
      <c r="P275" s="85">
        <f t="shared" si="93"/>
        <v>12.300618132127003</v>
      </c>
      <c r="Q275" s="83">
        <f>C$158*(0.6*C$15)*('Product half-life and C flows'!L136/100)</f>
        <v>6.3401417706008125</v>
      </c>
      <c r="R275" s="85">
        <f>C$158*0.6*('Product half-life and C flows'!N136/100)</f>
        <v>21.420926121458912</v>
      </c>
      <c r="S275" s="85">
        <f>C$158*0.6*('Product half-life and C flows'!P136/100)</f>
        <v>10.699763297432021</v>
      </c>
      <c r="T275" s="85">
        <f t="shared" si="77"/>
        <v>11.038827979547648</v>
      </c>
      <c r="U275" s="3"/>
      <c r="V275" s="90">
        <f>N$238*(0.4*V$40)*('Product half-life and C flows'!B55/100)</f>
        <v>11.247940448950553</v>
      </c>
      <c r="W275" s="90">
        <f t="shared" si="74"/>
        <v>49.292986041673906</v>
      </c>
      <c r="X275" s="89">
        <f t="shared" si="94"/>
        <v>-2.9375702681265485</v>
      </c>
      <c r="Y275" s="89">
        <f t="shared" si="94"/>
        <v>14.100337287007433</v>
      </c>
      <c r="Z275" s="91">
        <f>N$238*(0.6*Z$41)*('Product half-life and C flows'!L55/100)</f>
        <v>25.307866010138742</v>
      </c>
      <c r="AA275" s="91">
        <f>N$238*0.6*('Product half-life and C flows'!N55/100)</f>
        <v>12.5162957998475</v>
      </c>
      <c r="AB275" s="91">
        <f>N$238*0.6*('Product half-life and C flows'!P55/100)</f>
        <v>6.2518960039198292</v>
      </c>
      <c r="AC275" s="89">
        <f t="shared" si="79"/>
        <v>25.116225792481988</v>
      </c>
      <c r="AD275" s="17"/>
      <c r="AE275">
        <f t="shared" si="90"/>
        <v>117</v>
      </c>
      <c r="AF275" s="3">
        <f t="shared" si="69"/>
        <v>38.54674702294178</v>
      </c>
      <c r="AG275" s="113">
        <f t="shared" si="91"/>
        <v>158.41577690901786</v>
      </c>
      <c r="AH275" s="124">
        <f t="shared" si="80"/>
        <v>11.840318503072616</v>
      </c>
      <c r="AI275" s="124">
        <f t="shared" si="81"/>
        <v>49.292986041673906</v>
      </c>
      <c r="AJ275" s="124">
        <f t="shared" si="82"/>
        <v>-5.500199045653007</v>
      </c>
      <c r="AK275" s="124">
        <f t="shared" si="83"/>
        <v>26.400955419134434</v>
      </c>
      <c r="AL275" s="124">
        <f t="shared" si="84"/>
        <v>31.648007780739555</v>
      </c>
      <c r="AM275" s="124">
        <f t="shared" si="85"/>
        <v>33.93722192130641</v>
      </c>
      <c r="AN275" s="124">
        <f t="shared" si="86"/>
        <v>16.95165930135185</v>
      </c>
      <c r="AO275" s="124">
        <f t="shared" si="65"/>
        <v>36.155053772029632</v>
      </c>
      <c r="AP275" s="3">
        <f t="shared" si="68"/>
        <v>152.73063141855314</v>
      </c>
    </row>
    <row r="276" spans="1:42" ht="14">
      <c r="A276">
        <f t="shared" si="92"/>
        <v>118</v>
      </c>
      <c r="B276" s="19">
        <f t="shared" si="92"/>
        <v>198</v>
      </c>
      <c r="C276" s="26">
        <f t="shared" si="66"/>
        <v>158.60249815422287</v>
      </c>
      <c r="D276" s="26"/>
      <c r="E276" s="26"/>
      <c r="F276" s="26"/>
      <c r="G276" s="26"/>
      <c r="H276" s="26"/>
      <c r="I276" s="126"/>
      <c r="J276" s="26"/>
      <c r="K276" s="26"/>
      <c r="L276" s="26"/>
      <c r="M276" s="83">
        <f>C$158*(0.4*D$14)*('Product half-life and C flows'!B137/100)</f>
        <v>0.57219948293430822</v>
      </c>
      <c r="N276" s="85"/>
      <c r="O276" s="85">
        <f t="shared" si="93"/>
        <v>-2.5626287775264589</v>
      </c>
      <c r="P276" s="85">
        <f t="shared" si="93"/>
        <v>12.300618132127003</v>
      </c>
      <c r="Q276" s="83">
        <f>C$158*(0.6*C$15)*('Product half-life and C flows'!L137/100)</f>
        <v>6.2432311372064468</v>
      </c>
      <c r="R276" s="85">
        <f>C$158*0.6*('Product half-life and C flows'!N137/100)</f>
        <v>21.485597817477419</v>
      </c>
      <c r="S276" s="85">
        <f>C$158*0.6*('Product half-life and C flows'!P137/100)</f>
        <v>10.732066841896808</v>
      </c>
      <c r="T276" s="85">
        <f t="shared" si="77"/>
        <v>11.038827979547648</v>
      </c>
      <c r="U276" s="3"/>
      <c r="V276" s="90">
        <f>N$238*(0.4*V$40)*('Product half-life and C flows'!B56/100)</f>
        <v>10.864794305224576</v>
      </c>
      <c r="W276" s="90">
        <f t="shared" si="74"/>
        <v>51.115355146144822</v>
      </c>
      <c r="X276" s="89">
        <f t="shared" si="94"/>
        <v>-2.9375702681265485</v>
      </c>
      <c r="Y276" s="89">
        <f t="shared" si="94"/>
        <v>14.100337287007433</v>
      </c>
      <c r="Z276" s="91">
        <f>N$238*(0.6*Z$41)*('Product half-life and C flows'!L56/100)</f>
        <v>24.921029025471462</v>
      </c>
      <c r="AA276" s="91">
        <f>N$238*0.6*('Product half-life and C flows'!N56/100)</f>
        <v>12.774445014282133</v>
      </c>
      <c r="AB276" s="91">
        <f>N$238*0.6*('Product half-life and C flows'!P56/100)</f>
        <v>6.3808416654755895</v>
      </c>
      <c r="AC276" s="89">
        <f t="shared" si="79"/>
        <v>25.116225792481988</v>
      </c>
      <c r="AD276" s="17"/>
      <c r="AE276">
        <f t="shared" si="90"/>
        <v>118</v>
      </c>
      <c r="AF276" s="3">
        <f t="shared" si="69"/>
        <v>38.589230689012595</v>
      </c>
      <c r="AG276" s="113">
        <f t="shared" si="91"/>
        <v>158.60249815422287</v>
      </c>
      <c r="AH276" s="124">
        <f t="shared" si="80"/>
        <v>11.436993788158885</v>
      </c>
      <c r="AI276" s="124">
        <f t="shared" si="81"/>
        <v>51.115355146144822</v>
      </c>
      <c r="AJ276" s="124">
        <f t="shared" si="82"/>
        <v>-5.500199045653007</v>
      </c>
      <c r="AK276" s="124">
        <f t="shared" si="83"/>
        <v>26.400955419134434</v>
      </c>
      <c r="AL276" s="124">
        <f t="shared" si="84"/>
        <v>31.164260162677909</v>
      </c>
      <c r="AM276" s="124">
        <f t="shared" si="85"/>
        <v>34.260042831759549</v>
      </c>
      <c r="AN276" s="124">
        <f t="shared" si="86"/>
        <v>17.112908507372396</v>
      </c>
      <c r="AO276" s="124">
        <f t="shared" si="65"/>
        <v>36.155053772029632</v>
      </c>
      <c r="AP276" s="3">
        <f t="shared" si="68"/>
        <v>154.55332302143611</v>
      </c>
    </row>
    <row r="277" spans="1:42" ht="14">
      <c r="A277">
        <f t="shared" si="92"/>
        <v>119</v>
      </c>
      <c r="B277" s="19">
        <f t="shared" si="92"/>
        <v>199</v>
      </c>
      <c r="C277" s="26">
        <f t="shared" si="66"/>
        <v>158.78566440842806</v>
      </c>
      <c r="D277" s="26"/>
      <c r="E277" s="26"/>
      <c r="F277" s="26"/>
      <c r="G277" s="26"/>
      <c r="H277" s="26"/>
      <c r="I277" s="126"/>
      <c r="J277" s="26"/>
      <c r="K277" s="26"/>
      <c r="L277" s="26"/>
      <c r="M277" s="83">
        <f>C$158*(0.4*D$14)*('Product half-life and C flows'!B138/100)</f>
        <v>0.55270826795826067</v>
      </c>
      <c r="N277" s="85"/>
      <c r="O277" s="85">
        <f t="shared" si="93"/>
        <v>-2.5626287775264589</v>
      </c>
      <c r="P277" s="85">
        <f t="shared" si="93"/>
        <v>12.300618132127003</v>
      </c>
      <c r="Q277" s="83">
        <f>C$158*(0.6*C$15)*('Product half-life and C flows'!L138/100)</f>
        <v>6.147801806786795</v>
      </c>
      <c r="R277" s="85">
        <f>C$158*0.6*('Product half-life and C flows'!N138/100)</f>
        <v>21.549280990644135</v>
      </c>
      <c r="S277" s="85">
        <f>C$158*0.6*('Product half-life and C flows'!P138/100)</f>
        <v>10.76387661870336</v>
      </c>
      <c r="T277" s="85">
        <f t="shared" si="77"/>
        <v>11.038827979547648</v>
      </c>
      <c r="U277" s="3"/>
      <c r="V277" s="90">
        <f>N$238*(0.4*V$40)*('Product half-life and C flows'!B57/100)</f>
        <v>10.494699525712194</v>
      </c>
      <c r="W277" s="90">
        <f t="shared" si="74"/>
        <v>52.908056886839212</v>
      </c>
      <c r="X277" s="89">
        <f t="shared" si="94"/>
        <v>-2.9375702681265485</v>
      </c>
      <c r="Y277" s="89">
        <f t="shared" si="94"/>
        <v>14.100337287007433</v>
      </c>
      <c r="Z277" s="91">
        <f>N$238*(0.6*Z$41)*('Product half-life and C flows'!L57/100)</f>
        <v>24.540104939688916</v>
      </c>
      <c r="AA277" s="91">
        <f>N$238*0.6*('Product half-life and C flows'!N57/100)</f>
        <v>13.028648354194349</v>
      </c>
      <c r="AB277" s="91">
        <f>N$238*0.6*('Product half-life and C flows'!P57/100)</f>
        <v>6.5078163607364372</v>
      </c>
      <c r="AC277" s="89">
        <f t="shared" si="79"/>
        <v>25.116225792481988</v>
      </c>
      <c r="AD277" s="17"/>
      <c r="AE277">
        <f t="shared" si="90"/>
        <v>119</v>
      </c>
      <c r="AF277" s="3">
        <f t="shared" si="69"/>
        <v>38.630077938942755</v>
      </c>
      <c r="AG277" s="113">
        <f t="shared" si="91"/>
        <v>158.78566440842806</v>
      </c>
      <c r="AH277" s="124">
        <f t="shared" si="80"/>
        <v>11.047407793670455</v>
      </c>
      <c r="AI277" s="124">
        <f t="shared" si="81"/>
        <v>52.908056886839212</v>
      </c>
      <c r="AJ277" s="124">
        <f t="shared" si="82"/>
        <v>-5.500199045653007</v>
      </c>
      <c r="AK277" s="124">
        <f t="shared" si="83"/>
        <v>26.400955419134434</v>
      </c>
      <c r="AL277" s="124">
        <f t="shared" si="84"/>
        <v>30.687906746475711</v>
      </c>
      <c r="AM277" s="124">
        <f t="shared" si="85"/>
        <v>34.577929344838481</v>
      </c>
      <c r="AN277" s="124">
        <f t="shared" si="86"/>
        <v>17.271692979439798</v>
      </c>
      <c r="AO277" s="124">
        <f t="shared" si="65"/>
        <v>36.155053772029632</v>
      </c>
      <c r="AP277" s="3">
        <f t="shared" si="68"/>
        <v>156.34634233107462</v>
      </c>
    </row>
    <row r="278" spans="1:42" ht="14">
      <c r="A278">
        <f t="shared" si="92"/>
        <v>120</v>
      </c>
      <c r="B278" s="19">
        <f t="shared" si="92"/>
        <v>200</v>
      </c>
      <c r="C278" s="26">
        <f t="shared" si="66"/>
        <v>158.96534053667563</v>
      </c>
      <c r="D278" s="26"/>
      <c r="E278" s="26"/>
      <c r="F278" s="26"/>
      <c r="G278" s="26"/>
      <c r="H278" s="26"/>
      <c r="I278" s="126"/>
      <c r="J278" s="26"/>
      <c r="K278" s="26"/>
      <c r="L278" s="26"/>
      <c r="M278" s="83">
        <f>C$158*(0.4*D$14)*('Product half-life and C flows'!B139/100)</f>
        <v>0.53388099531801225</v>
      </c>
      <c r="N278" s="85"/>
      <c r="O278" s="85">
        <f t="shared" si="93"/>
        <v>-2.5626287775264589</v>
      </c>
      <c r="P278" s="85">
        <f t="shared" si="93"/>
        <v>12.300618132127003</v>
      </c>
      <c r="Q278" s="83">
        <f>C$158*(0.6*C$15)*('Product half-life and C flows'!L139/100)</f>
        <v>6.0538311372599098</v>
      </c>
      <c r="R278" s="85">
        <f>C$158*0.6*('Product half-life and C flows'!N139/100)</f>
        <v>21.611990750775075</v>
      </c>
      <c r="S278" s="85">
        <f>C$158*0.6*('Product half-life and C flows'!P139/100)</f>
        <v>10.795200175212321</v>
      </c>
      <c r="T278" s="85">
        <f t="shared" si="77"/>
        <v>11.038827979547648</v>
      </c>
      <c r="U278" s="3"/>
      <c r="V278" s="90">
        <f>N$238*(0.4*V$40)*('Product half-life and C flows'!B58/100)</f>
        <v>10.137211533035755</v>
      </c>
      <c r="W278" s="90">
        <f t="shared" si="74"/>
        <v>54.669487775772701</v>
      </c>
      <c r="X278" s="89">
        <f t="shared" si="94"/>
        <v>-2.9375702681265485</v>
      </c>
      <c r="Y278" s="89">
        <f t="shared" si="94"/>
        <v>14.100337287007433</v>
      </c>
      <c r="Z278" s="91">
        <f>N$238*(0.6*Z$41)*('Product half-life and C flows'!L58/100)</f>
        <v>24.165003372670785</v>
      </c>
      <c r="AA278" s="91">
        <f>N$238*0.6*('Product half-life and C flows'!N58/100)</f>
        <v>13.278966133251116</v>
      </c>
      <c r="AB278" s="91">
        <f>N$238*0.6*('Product half-life and C flows'!P58/100)</f>
        <v>6.632850216409147</v>
      </c>
      <c r="AC278" s="89">
        <f t="shared" si="79"/>
        <v>25.116225792481988</v>
      </c>
      <c r="AD278" s="17"/>
      <c r="AE278">
        <f t="shared" si="90"/>
        <v>120</v>
      </c>
      <c r="AF278" s="3">
        <f t="shared" si="69"/>
        <v>38.669350687319792</v>
      </c>
      <c r="AG278" s="113">
        <f t="shared" si="91"/>
        <v>158.96534053667563</v>
      </c>
      <c r="AH278" s="124">
        <f t="shared" si="80"/>
        <v>10.671092528353768</v>
      </c>
      <c r="AI278" s="124">
        <f t="shared" si="81"/>
        <v>54.669487775772701</v>
      </c>
      <c r="AJ278" s="124">
        <f t="shared" si="82"/>
        <v>-5.500199045653007</v>
      </c>
      <c r="AK278" s="124">
        <f t="shared" si="83"/>
        <v>26.400955419134434</v>
      </c>
      <c r="AL278" s="124">
        <f t="shared" si="84"/>
        <v>30.218834509930694</v>
      </c>
      <c r="AM278" s="124">
        <f t="shared" si="85"/>
        <v>34.890956884026188</v>
      </c>
      <c r="AN278" s="124">
        <f t="shared" si="86"/>
        <v>17.428050391621468</v>
      </c>
      <c r="AO278" s="124">
        <f t="shared" si="65"/>
        <v>36.155053772029632</v>
      </c>
      <c r="AP278" s="3">
        <f t="shared" si="68"/>
        <v>158.1080859348325</v>
      </c>
    </row>
    <row r="279" spans="1:42" ht="14">
      <c r="A279">
        <f t="shared" si="92"/>
        <v>121</v>
      </c>
      <c r="B279" s="19">
        <f t="shared" si="92"/>
        <v>201</v>
      </c>
      <c r="C279" s="26">
        <f t="shared" si="66"/>
        <v>159.14159033330424</v>
      </c>
      <c r="D279" s="26"/>
      <c r="E279" s="26"/>
      <c r="F279" s="26"/>
      <c r="G279" s="26"/>
      <c r="H279" s="26"/>
      <c r="I279" s="126"/>
      <c r="J279" s="26"/>
      <c r="K279" s="26"/>
      <c r="L279" s="26"/>
      <c r="M279" s="83">
        <f>C$158*(0.4*D$14)*('Product half-life and C flows'!B140/100)</f>
        <v>0.51569504870022342</v>
      </c>
      <c r="N279" s="85"/>
      <c r="O279" s="85">
        <f t="shared" si="93"/>
        <v>-2.5626287775264589</v>
      </c>
      <c r="P279" s="85">
        <f t="shared" si="93"/>
        <v>12.300618132127003</v>
      </c>
      <c r="Q279" s="83">
        <f>C$158*(0.6*C$15)*('Product half-life and C flows'!L140/100)</f>
        <v>5.9612968326336579</v>
      </c>
      <c r="R279" s="85">
        <f>C$158*0.6*('Product half-life and C flows'!N140/100)</f>
        <v>21.673741976728994</v>
      </c>
      <c r="S279" s="85">
        <f>C$158*0.6*('Product half-life and C flows'!P140/100)</f>
        <v>10.826044943421071</v>
      </c>
      <c r="T279" s="85">
        <f t="shared" si="77"/>
        <v>11.038827979547648</v>
      </c>
      <c r="U279" s="3"/>
      <c r="V279" s="90">
        <f>N$238*(0.4*V$40)*('Product half-life and C flows'!B59/100)</f>
        <v>9.7919008937551624</v>
      </c>
      <c r="W279" s="90">
        <f t="shared" si="74"/>
        <v>56.398269471480361</v>
      </c>
      <c r="X279" s="89">
        <f t="shared" si="94"/>
        <v>-2.9375702681265485</v>
      </c>
      <c r="Y279" s="89">
        <f t="shared" si="94"/>
        <v>14.100337287007433</v>
      </c>
      <c r="Z279" s="91">
        <f>N$238*(0.6*Z$41)*('Product half-life and C flows'!L59/100)</f>
        <v>23.795635325779212</v>
      </c>
      <c r="AA279" s="91">
        <f>N$238*0.6*('Product half-life and C flows'!N59/100)</f>
        <v>13.525457743210094</v>
      </c>
      <c r="AB279" s="91">
        <f>N$238*0.6*('Product half-life and C flows'!P59/100)</f>
        <v>6.7559728987063385</v>
      </c>
      <c r="AC279" s="89">
        <f t="shared" si="79"/>
        <v>25.116225792481988</v>
      </c>
      <c r="AD279" s="17"/>
      <c r="AE279">
        <f t="shared" si="90"/>
        <v>121</v>
      </c>
      <c r="AF279" s="3">
        <f t="shared" si="69"/>
        <v>38.707108592946952</v>
      </c>
      <c r="AG279" s="113">
        <f t="shared" si="91"/>
        <v>159.14159033330424</v>
      </c>
      <c r="AH279" s="124">
        <f t="shared" si="80"/>
        <v>10.307595942455386</v>
      </c>
      <c r="AI279" s="124">
        <f t="shared" si="81"/>
        <v>56.398269471480361</v>
      </c>
      <c r="AJ279" s="124">
        <f t="shared" si="82"/>
        <v>-5.500199045653007</v>
      </c>
      <c r="AK279" s="124">
        <f t="shared" si="83"/>
        <v>26.400955419134434</v>
      </c>
      <c r="AL279" s="124">
        <f t="shared" si="84"/>
        <v>29.756932158412869</v>
      </c>
      <c r="AM279" s="124">
        <f t="shared" si="85"/>
        <v>35.199199719939088</v>
      </c>
      <c r="AN279" s="124">
        <f t="shared" si="86"/>
        <v>17.58201784212741</v>
      </c>
      <c r="AO279" s="124">
        <f t="shared" si="65"/>
        <v>36.155053772029632</v>
      </c>
      <c r="AP279" s="3">
        <f t="shared" si="68"/>
        <v>159.83717556544116</v>
      </c>
    </row>
    <row r="280" spans="1:42" ht="14">
      <c r="A280">
        <f t="shared" si="92"/>
        <v>122</v>
      </c>
      <c r="B280" s="19">
        <f t="shared" si="92"/>
        <v>202</v>
      </c>
      <c r="C280" s="26">
        <f t="shared" si="66"/>
        <v>159.31447653494916</v>
      </c>
      <c r="D280" s="26"/>
      <c r="E280" s="26"/>
      <c r="F280" s="26"/>
      <c r="G280" s="26"/>
      <c r="H280" s="26"/>
      <c r="I280" s="126"/>
      <c r="J280" s="26"/>
      <c r="K280" s="26"/>
      <c r="L280" s="26"/>
      <c r="M280" s="83">
        <f>C$158*(0.4*D$14)*('Product half-life and C flows'!B141/100)</f>
        <v>0.49812858218621336</v>
      </c>
      <c r="N280" s="85"/>
      <c r="O280" s="85">
        <f t="shared" si="93"/>
        <v>-2.5626287775264589</v>
      </c>
      <c r="P280" s="85">
        <f t="shared" si="93"/>
        <v>12.300618132127003</v>
      </c>
      <c r="Q280" s="83">
        <f>C$158*(0.6*C$15)*('Product half-life and C flows'!L141/100)</f>
        <v>5.8701769377156596</v>
      </c>
      <c r="R280" s="85">
        <f>C$158*0.6*('Product half-life and C flows'!N141/100)</f>
        <v>21.734549319937603</v>
      </c>
      <c r="S280" s="85">
        <f>C$158*0.6*('Product half-life and C flows'!P141/100)</f>
        <v>10.856418241727068</v>
      </c>
      <c r="T280" s="85">
        <f t="shared" si="77"/>
        <v>11.038827979547648</v>
      </c>
      <c r="U280" s="3"/>
      <c r="V280" s="90">
        <f>N$238*(0.4*V$40)*('Product half-life and C flows'!B60/100)</f>
        <v>9.4583528025097792</v>
      </c>
      <c r="W280" s="90">
        <f t="shared" si="74"/>
        <v>58.093233179167008</v>
      </c>
      <c r="X280" s="89">
        <f t="shared" si="94"/>
        <v>-2.9375702681265485</v>
      </c>
      <c r="Y280" s="89">
        <f t="shared" si="94"/>
        <v>14.100337287007433</v>
      </c>
      <c r="Z280" s="91">
        <f>N$238*(0.6*Z$41)*('Product half-life and C flows'!L60/100)</f>
        <v>23.431913160742507</v>
      </c>
      <c r="AA280" s="91">
        <f>N$238*0.6*('Product half-life and C flows'!N60/100)</f>
        <v>13.768181668011259</v>
      </c>
      <c r="AB280" s="91">
        <f>N$238*0.6*('Product half-life and C flows'!P60/100)</f>
        <v>6.8772136203852412</v>
      </c>
      <c r="AC280" s="89">
        <f t="shared" si="79"/>
        <v>25.116225792481988</v>
      </c>
      <c r="AD280" s="17"/>
      <c r="AE280">
        <f t="shared" si="90"/>
        <v>122</v>
      </c>
      <c r="AF280" s="3">
        <f t="shared" si="69"/>
        <v>38.743409134198195</v>
      </c>
      <c r="AG280" s="113">
        <f t="shared" si="91"/>
        <v>159.31447653494916</v>
      </c>
      <c r="AH280" s="124">
        <f t="shared" si="80"/>
        <v>9.9564813846959925</v>
      </c>
      <c r="AI280" s="124">
        <f t="shared" si="81"/>
        <v>58.093233179167008</v>
      </c>
      <c r="AJ280" s="124">
        <f t="shared" si="82"/>
        <v>-5.500199045653007</v>
      </c>
      <c r="AK280" s="124">
        <f t="shared" si="83"/>
        <v>26.400955419134434</v>
      </c>
      <c r="AL280" s="124">
        <f t="shared" si="84"/>
        <v>29.302090098458166</v>
      </c>
      <c r="AM280" s="124">
        <f t="shared" si="85"/>
        <v>35.502730987948866</v>
      </c>
      <c r="AN280" s="124">
        <f t="shared" si="86"/>
        <v>17.733631862112311</v>
      </c>
      <c r="AO280" s="124">
        <f t="shared" si="65"/>
        <v>36.155053772029632</v>
      </c>
      <c r="AP280" s="3">
        <f t="shared" si="68"/>
        <v>161.53244250116776</v>
      </c>
    </row>
    <row r="281" spans="1:42" ht="14">
      <c r="A281">
        <f t="shared" si="92"/>
        <v>123</v>
      </c>
      <c r="B281" s="19">
        <f t="shared" si="92"/>
        <v>203</v>
      </c>
      <c r="C281" s="26">
        <f t="shared" si="66"/>
        <v>159.48406083359615</v>
      </c>
      <c r="D281" s="26"/>
      <c r="E281" s="26"/>
      <c r="F281" s="26"/>
      <c r="G281" s="26"/>
      <c r="H281" s="26"/>
      <c r="I281" s="126"/>
      <c r="J281" s="26"/>
      <c r="K281" s="26"/>
      <c r="L281" s="26"/>
      <c r="M281" s="83">
        <f>C$158*(0.4*D$14)*('Product half-life and C flows'!B142/100)</f>
        <v>0.48116049400948901</v>
      </c>
      <c r="N281" s="85"/>
      <c r="O281" s="85">
        <f t="shared" si="93"/>
        <v>-2.5626287775264589</v>
      </c>
      <c r="P281" s="85">
        <f t="shared" si="93"/>
        <v>12.300618132127003</v>
      </c>
      <c r="Q281" s="83">
        <f>C$158*(0.6*C$15)*('Product half-life and C flows'!L142/100)</f>
        <v>5.7804498329040719</v>
      </c>
      <c r="R281" s="85">
        <f>C$158*0.6*('Product half-life and C flows'!N142/100)</f>
        <v>21.794427207881867</v>
      </c>
      <c r="S281" s="85">
        <f>C$158*0.6*('Product half-life and C flows'!P142/100)</f>
        <v>10.886327276664266</v>
      </c>
      <c r="T281" s="85">
        <f t="shared" si="77"/>
        <v>11.038827979547648</v>
      </c>
      <c r="U281" s="3"/>
      <c r="V281" s="90">
        <f>N$238*(0.4*V$40)*('Product half-life and C flows'!B61/100)</f>
        <v>9.1361665837323169</v>
      </c>
      <c r="W281" s="90">
        <f t="shared" si="74"/>
        <v>59.753404538120442</v>
      </c>
      <c r="X281" s="89">
        <f t="shared" si="94"/>
        <v>-2.9375702681265485</v>
      </c>
      <c r="Y281" s="89">
        <f t="shared" si="94"/>
        <v>14.100337287007433</v>
      </c>
      <c r="Z281" s="91">
        <f>N$238*(0.6*Z$41)*('Product half-life and C flows'!L61/100)</f>
        <v>23.073750578861603</v>
      </c>
      <c r="AA281" s="91">
        <f>N$238*0.6*('Product half-life and C flows'!N61/100)</f>
        <v>14.007195497653115</v>
      </c>
      <c r="AB281" s="91">
        <f>N$238*0.6*('Product half-life and C flows'!P61/100)</f>
        <v>6.9966011476788754</v>
      </c>
      <c r="AC281" s="89">
        <f t="shared" si="79"/>
        <v>25.116225792481988</v>
      </c>
      <c r="AD281" s="17"/>
      <c r="AE281">
        <f t="shared" si="90"/>
        <v>123</v>
      </c>
      <c r="AF281" s="3">
        <f t="shared" si="69"/>
        <v>38.778307682411629</v>
      </c>
      <c r="AG281" s="113">
        <f t="shared" si="91"/>
        <v>159.48406083359615</v>
      </c>
      <c r="AH281" s="124">
        <f t="shared" ref="AH281:AH293" si="95">D281+M281+V281</f>
        <v>9.6173270777418054</v>
      </c>
      <c r="AI281" s="124">
        <f t="shared" ref="AI281:AI293" si="96">E281+N281+W281</f>
        <v>59.753404538120442</v>
      </c>
      <c r="AJ281" s="124">
        <f t="shared" ref="AJ281:AJ293" si="97">F281+O281+X281</f>
        <v>-5.500199045653007</v>
      </c>
      <c r="AK281" s="124">
        <f t="shared" ref="AK281:AK293" si="98">G281+P281+Y281</f>
        <v>26.400955419134434</v>
      </c>
      <c r="AL281" s="124">
        <f t="shared" ref="AL281:AL293" si="99">H281+Q281+Z281</f>
        <v>28.854200411765675</v>
      </c>
      <c r="AM281" s="124">
        <f t="shared" ref="AM281:AM293" si="100">I281+R281+AA281</f>
        <v>35.801622705534982</v>
      </c>
      <c r="AN281" s="124">
        <f t="shared" ref="AN281:AN293" si="101">J281+S281+AB281</f>
        <v>17.882928424343142</v>
      </c>
      <c r="AO281" s="124">
        <f t="shared" ref="AO281:AO293" si="102">K281+T281+AC281</f>
        <v>36.155053772029632</v>
      </c>
      <c r="AP281" s="3">
        <f t="shared" si="68"/>
        <v>163.19291245324567</v>
      </c>
    </row>
    <row r="282" spans="1:42" ht="14">
      <c r="A282">
        <f t="shared" si="92"/>
        <v>124</v>
      </c>
      <c r="B282" s="19">
        <f t="shared" si="92"/>
        <v>204</v>
      </c>
      <c r="C282" s="26">
        <f t="shared" si="66"/>
        <v>159.65040388967657</v>
      </c>
      <c r="D282" s="26"/>
      <c r="E282" s="26"/>
      <c r="F282" s="26"/>
      <c r="G282" s="26"/>
      <c r="H282" s="26"/>
      <c r="I282" s="126"/>
      <c r="J282" s="26"/>
      <c r="K282" s="26"/>
      <c r="L282" s="26"/>
      <c r="M282" s="83">
        <f>C$158*(0.4*D$14)*('Product half-life and C flows'!B143/100)</f>
        <v>0.46477040120719115</v>
      </c>
      <c r="N282" s="85"/>
      <c r="O282" s="85">
        <f t="shared" si="93"/>
        <v>-2.5626287775264589</v>
      </c>
      <c r="P282" s="85">
        <f t="shared" si="93"/>
        <v>12.300618132127003</v>
      </c>
      <c r="Q282" s="83">
        <f>C$158*(0.6*C$15)*('Product half-life and C flows'!L143/100)</f>
        <v>5.6920942290580081</v>
      </c>
      <c r="R282" s="85">
        <f>C$158*0.6*('Product half-life and C flows'!N143/100)</f>
        <v>21.853389847515142</v>
      </c>
      <c r="S282" s="85">
        <f>C$158*0.6*('Product half-life and C flows'!P143/100)</f>
        <v>10.915779144612953</v>
      </c>
      <c r="T282" s="85">
        <f t="shared" si="77"/>
        <v>11.038827979547648</v>
      </c>
      <c r="U282" s="3"/>
      <c r="V282" s="90">
        <f>N$238*(0.4*V$40)*('Product half-life and C flows'!B62/100)</f>
        <v>8.8249552103362436</v>
      </c>
      <c r="W282" s="90">
        <f t="shared" si="74"/>
        <v>61.377989059788973</v>
      </c>
      <c r="X282" s="89">
        <f t="shared" si="94"/>
        <v>-2.9375702681265485</v>
      </c>
      <c r="Y282" s="89">
        <f t="shared" si="94"/>
        <v>14.100337287007433</v>
      </c>
      <c r="Z282" s="91">
        <f>N$238*(0.6*Z$41)*('Product half-life and C flows'!L62/100)</f>
        <v>22.721062600534392</v>
      </c>
      <c r="AA282" s="91">
        <f>N$238*0.6*('Product half-life and C flows'!N62/100)</f>
        <v>14.242555941856807</v>
      </c>
      <c r="AB282" s="91">
        <f>N$238*0.6*('Product half-life and C flows'!P62/100)</f>
        <v>7.1141638071212787</v>
      </c>
      <c r="AC282" s="89">
        <f t="shared" si="79"/>
        <v>25.116225792481988</v>
      </c>
      <c r="AD282" s="17"/>
      <c r="AE282">
        <f t="shared" si="90"/>
        <v>124</v>
      </c>
      <c r="AF282" s="3">
        <f t="shared" si="69"/>
        <v>38.811857573323095</v>
      </c>
      <c r="AG282" s="113">
        <f t="shared" si="91"/>
        <v>159.65040388967657</v>
      </c>
      <c r="AH282" s="124">
        <f t="shared" si="95"/>
        <v>9.2897256115434352</v>
      </c>
      <c r="AI282" s="124">
        <f t="shared" si="96"/>
        <v>61.377989059788973</v>
      </c>
      <c r="AJ282" s="124">
        <f t="shared" si="97"/>
        <v>-5.500199045653007</v>
      </c>
      <c r="AK282" s="124">
        <f t="shared" si="98"/>
        <v>26.400955419134434</v>
      </c>
      <c r="AL282" s="124">
        <f t="shared" si="99"/>
        <v>28.413156829592399</v>
      </c>
      <c r="AM282" s="124">
        <f t="shared" si="100"/>
        <v>36.095945789371953</v>
      </c>
      <c r="AN282" s="124">
        <f t="shared" si="101"/>
        <v>18.029942951734231</v>
      </c>
      <c r="AO282" s="124">
        <f t="shared" si="102"/>
        <v>36.155053772029632</v>
      </c>
      <c r="AP282" s="3">
        <f t="shared" si="68"/>
        <v>164.81779100396898</v>
      </c>
    </row>
    <row r="283" spans="1:42" ht="14">
      <c r="A283">
        <f t="shared" si="92"/>
        <v>125</v>
      </c>
      <c r="B283" s="19">
        <f t="shared" si="92"/>
        <v>205</v>
      </c>
      <c r="C283" s="26">
        <f t="shared" si="66"/>
        <v>159.81356534519131</v>
      </c>
      <c r="D283" s="26"/>
      <c r="E283" s="26"/>
      <c r="F283" s="26"/>
      <c r="G283" s="26"/>
      <c r="H283" s="26"/>
      <c r="I283" s="126"/>
      <c r="J283" s="26"/>
      <c r="K283" s="26"/>
      <c r="L283" s="26"/>
      <c r="M283" s="83">
        <f>C$158*(0.4*D$14)*('Product half-life and C flows'!B144/100)</f>
        <v>0.44893861513500166</v>
      </c>
      <c r="N283" s="85"/>
      <c r="O283" s="85">
        <f t="shared" si="93"/>
        <v>-2.5626287775264589</v>
      </c>
      <c r="P283" s="85">
        <f t="shared" si="93"/>
        <v>12.300618132127003</v>
      </c>
      <c r="Q283" s="83">
        <f>C$158*(0.6*C$15)*('Product half-life and C flows'!L144/100)</f>
        <v>5.605089162446359</v>
      </c>
      <c r="R283" s="85">
        <f>C$158*0.6*('Product half-life and C flows'!N144/100)</f>
        <v>21.911451228633982</v>
      </c>
      <c r="S283" s="85">
        <f>C$158*0.6*('Product half-life and C flows'!P144/100)</f>
        <v>10.944780833483504</v>
      </c>
      <c r="T283" s="85">
        <f t="shared" si="77"/>
        <v>11.038827979547648</v>
      </c>
      <c r="U283" s="3"/>
      <c r="V283" s="90">
        <f>N$238*(0.4*V$40)*('Product half-life and C flows'!B63/100)</f>
        <v>8.5243448387983776</v>
      </c>
      <c r="W283" s="90">
        <f t="shared" si="74"/>
        <v>62.966358162848096</v>
      </c>
      <c r="X283" s="89">
        <f t="shared" si="94"/>
        <v>-2.9375702681265485</v>
      </c>
      <c r="Y283" s="89">
        <f t="shared" si="94"/>
        <v>14.100337287007433</v>
      </c>
      <c r="Z283" s="91">
        <f>N$238*(0.6*Z$41)*('Product half-life and C flows'!L63/100)</f>
        <v>22.373765545092972</v>
      </c>
      <c r="AA283" s="91">
        <f>N$238*0.6*('Product half-life and C flows'!N63/100)</f>
        <v>14.474318843521383</v>
      </c>
      <c r="AB283" s="91">
        <f>N$238*0.6*('Product half-life and C flows'!P63/100)</f>
        <v>7.2299294922684192</v>
      </c>
      <c r="AC283" s="89">
        <f t="shared" si="79"/>
        <v>25.116225792481988</v>
      </c>
      <c r="AD283" s="17"/>
      <c r="AE283">
        <f t="shared" si="90"/>
        <v>125</v>
      </c>
      <c r="AF283" s="3">
        <f t="shared" si="69"/>
        <v>38.844110176548128</v>
      </c>
      <c r="AG283" s="113">
        <f t="shared" si="91"/>
        <v>159.81356534519131</v>
      </c>
      <c r="AH283" s="124">
        <f t="shared" si="95"/>
        <v>8.9732834539333801</v>
      </c>
      <c r="AI283" s="124">
        <f t="shared" si="96"/>
        <v>62.966358162848096</v>
      </c>
      <c r="AJ283" s="124">
        <f t="shared" si="97"/>
        <v>-5.500199045653007</v>
      </c>
      <c r="AK283" s="124">
        <f t="shared" si="98"/>
        <v>26.400955419134434</v>
      </c>
      <c r="AL283" s="124">
        <f t="shared" si="99"/>
        <v>27.97885470753933</v>
      </c>
      <c r="AM283" s="124">
        <f t="shared" si="100"/>
        <v>36.385770072155367</v>
      </c>
      <c r="AN283" s="124">
        <f t="shared" si="101"/>
        <v>18.174710325751924</v>
      </c>
      <c r="AO283" s="124">
        <f t="shared" si="102"/>
        <v>36.155053772029632</v>
      </c>
      <c r="AP283" s="3">
        <f t="shared" si="68"/>
        <v>166.40644964177616</v>
      </c>
    </row>
    <row r="284" spans="1:42" ht="14">
      <c r="A284">
        <f t="shared" si="92"/>
        <v>126</v>
      </c>
      <c r="B284" s="19">
        <f t="shared" si="92"/>
        <v>206</v>
      </c>
      <c r="C284" s="26">
        <f t="shared" si="66"/>
        <v>159.97360383685276</v>
      </c>
      <c r="D284" s="26"/>
      <c r="E284" s="26"/>
      <c r="F284" s="26"/>
      <c r="G284" s="26"/>
      <c r="H284" s="26"/>
      <c r="I284" s="126"/>
      <c r="J284" s="26"/>
      <c r="K284" s="26"/>
      <c r="L284" s="26"/>
      <c r="M284" s="83">
        <f>C$158*(0.4*D$14)*('Product half-life and C flows'!B145/100)</f>
        <v>0.43364611781610773</v>
      </c>
      <c r="N284" s="85"/>
      <c r="O284" s="85">
        <f t="shared" si="93"/>
        <v>-2.5626287775264589</v>
      </c>
      <c r="P284" s="85">
        <f t="shared" si="93"/>
        <v>12.300618132127003</v>
      </c>
      <c r="Q284" s="83">
        <f>C$158*(0.6*C$15)*('Product half-life and C flows'!L145/100)</f>
        <v>5.5194139897738248</v>
      </c>
      <c r="R284" s="85">
        <f>C$158*0.6*('Product half-life and C flows'!N145/100)</f>
        <v>21.968625127197456</v>
      </c>
      <c r="S284" s="85">
        <f>C$158*0.6*('Product half-life and C flows'!P145/100)</f>
        <v>10.973339224374348</v>
      </c>
      <c r="T284" s="85">
        <f t="shared" si="77"/>
        <v>11.038827979547648</v>
      </c>
      <c r="U284" s="3"/>
      <c r="V284" s="90">
        <f>N$238*(0.4*V$40)*('Product half-life and C flows'!B64/100)</f>
        <v>8.2339743600783599</v>
      </c>
      <c r="W284" s="90">
        <f t="shared" si="74"/>
        <v>64.518035837226023</v>
      </c>
      <c r="X284" s="89">
        <f t="shared" si="94"/>
        <v>-2.9375702681265485</v>
      </c>
      <c r="Y284" s="89">
        <f t="shared" si="94"/>
        <v>14.100337287007433</v>
      </c>
      <c r="Z284" s="91">
        <f>N$238*(0.6*Z$41)*('Product half-life and C flows'!L64/100)</f>
        <v>22.031777010949114</v>
      </c>
      <c r="AA284" s="91">
        <f>N$238*0.6*('Product half-life and C flows'!N64/100)</f>
        <v>14.702539191973385</v>
      </c>
      <c r="AB284" s="91">
        <f>N$238*0.6*('Product half-life and C flows'!P64/100)</f>
        <v>7.3439256703163718</v>
      </c>
      <c r="AC284" s="89">
        <f t="shared" si="79"/>
        <v>25.116225792481988</v>
      </c>
      <c r="AD284" s="17"/>
      <c r="AE284">
        <f t="shared" si="90"/>
        <v>126</v>
      </c>
      <c r="AF284" s="3">
        <f t="shared" si="69"/>
        <v>38.875114963124162</v>
      </c>
      <c r="AG284" s="113">
        <f t="shared" si="91"/>
        <v>159.97360383685276</v>
      </c>
      <c r="AH284" s="124">
        <f t="shared" si="95"/>
        <v>8.6676204778944683</v>
      </c>
      <c r="AI284" s="124">
        <f t="shared" si="96"/>
        <v>64.518035837226023</v>
      </c>
      <c r="AJ284" s="124">
        <f t="shared" si="97"/>
        <v>-5.500199045653007</v>
      </c>
      <c r="AK284" s="124">
        <f t="shared" si="98"/>
        <v>26.400955419134434</v>
      </c>
      <c r="AL284" s="124">
        <f t="shared" si="99"/>
        <v>27.551191000722937</v>
      </c>
      <c r="AM284" s="124">
        <f t="shared" si="100"/>
        <v>36.671164319170842</v>
      </c>
      <c r="AN284" s="124">
        <f t="shared" si="101"/>
        <v>18.31726489469072</v>
      </c>
      <c r="AO284" s="124">
        <f t="shared" si="102"/>
        <v>36.155053772029632</v>
      </c>
      <c r="AP284" s="3">
        <f t="shared" si="68"/>
        <v>167.95841242529195</v>
      </c>
    </row>
    <row r="285" spans="1:42" ht="14">
      <c r="A285">
        <f t="shared" si="92"/>
        <v>127</v>
      </c>
      <c r="B285" s="19">
        <f t="shared" si="92"/>
        <v>207</v>
      </c>
      <c r="C285" s="26">
        <f t="shared" si="66"/>
        <v>160.13057700923375</v>
      </c>
      <c r="D285" s="26"/>
      <c r="E285" s="26"/>
      <c r="F285" s="26"/>
      <c r="G285" s="26"/>
      <c r="H285" s="26"/>
      <c r="I285" s="126"/>
      <c r="J285" s="26"/>
      <c r="K285" s="26"/>
      <c r="L285" s="26"/>
      <c r="M285" s="83">
        <f>C$158*(0.4*D$14)*('Product half-life and C flows'!B146/100)</f>
        <v>0.41887453909580236</v>
      </c>
      <c r="N285" s="85"/>
      <c r="O285" s="85">
        <f t="shared" si="93"/>
        <v>-2.5626287775264589</v>
      </c>
      <c r="P285" s="85">
        <f t="shared" si="93"/>
        <v>12.300618132127003</v>
      </c>
      <c r="Q285" s="83">
        <f>C$158*(0.6*C$15)*('Product half-life and C flows'!L146/100)</f>
        <v>5.4350483832829743</v>
      </c>
      <c r="R285" s="85">
        <f>C$158*0.6*('Product half-life and C flows'!N146/100)</f>
        <v>22.024925108595681</v>
      </c>
      <c r="S285" s="85">
        <f>C$158*0.6*('Product half-life and C flows'!P146/100)</f>
        <v>11.001461093204631</v>
      </c>
      <c r="T285" s="85">
        <f t="shared" si="77"/>
        <v>11.038827979547648</v>
      </c>
      <c r="U285" s="3"/>
      <c r="V285" s="90">
        <f>N$238*(0.4*V$40)*('Product half-life and C flows'!B65/100)</f>
        <v>7.9534949658353966</v>
      </c>
      <c r="W285" s="90">
        <f t="shared" si="74"/>
        <v>66.032685957059485</v>
      </c>
      <c r="X285" s="89">
        <f t="shared" si="94"/>
        <v>-2.9375702681265485</v>
      </c>
      <c r="Y285" s="89">
        <f t="shared" si="94"/>
        <v>14.100337287007433</v>
      </c>
      <c r="Z285" s="91">
        <f>N$238*(0.6*Z$41)*('Product half-life and C flows'!L65/100)</f>
        <v>21.695015856043241</v>
      </c>
      <c r="AA285" s="91">
        <f>N$238*0.6*('Product half-life and C flows'!N65/100)</f>
        <v>14.927271136013905</v>
      </c>
      <c r="AB285" s="91">
        <f>N$238*0.6*('Product half-life and C flows'!P65/100)</f>
        <v>7.4561793886183292</v>
      </c>
      <c r="AC285" s="89">
        <f t="shared" si="79"/>
        <v>25.116225792481988</v>
      </c>
      <c r="AD285" s="17"/>
      <c r="AE285">
        <f t="shared" si="90"/>
        <v>127</v>
      </c>
      <c r="AF285" s="3">
        <f t="shared" si="69"/>
        <v>38.904919571130222</v>
      </c>
      <c r="AG285" s="113">
        <f t="shared" si="91"/>
        <v>160.13057700923375</v>
      </c>
      <c r="AH285" s="124">
        <f t="shared" si="95"/>
        <v>8.3723695049311981</v>
      </c>
      <c r="AI285" s="124">
        <f t="shared" si="96"/>
        <v>66.032685957059485</v>
      </c>
      <c r="AJ285" s="124">
        <f t="shared" si="97"/>
        <v>-5.500199045653007</v>
      </c>
      <c r="AK285" s="124">
        <f t="shared" si="98"/>
        <v>26.400955419134434</v>
      </c>
      <c r="AL285" s="124">
        <f t="shared" si="99"/>
        <v>27.130064239326217</v>
      </c>
      <c r="AM285" s="124">
        <f t="shared" si="100"/>
        <v>36.952196244609588</v>
      </c>
      <c r="AN285" s="124">
        <f t="shared" si="101"/>
        <v>18.45764048182296</v>
      </c>
      <c r="AO285" s="124">
        <f t="shared" si="102"/>
        <v>36.155053772029632</v>
      </c>
      <c r="AP285" s="3">
        <f t="shared" si="68"/>
        <v>169.47334329629967</v>
      </c>
    </row>
    <row r="286" spans="1:42" ht="14">
      <c r="A286">
        <f t="shared" si="92"/>
        <v>128</v>
      </c>
      <c r="B286" s="19">
        <f t="shared" si="92"/>
        <v>208</v>
      </c>
      <c r="C286" s="26">
        <f t="shared" ref="C286:C318" si="103">B$8*(1-EXP(-B$9*$B286))^3</f>
        <v>160.28454152791318</v>
      </c>
      <c r="D286" s="26"/>
      <c r="E286" s="26"/>
      <c r="F286" s="26"/>
      <c r="G286" s="26"/>
      <c r="H286" s="26"/>
      <c r="I286" s="126"/>
      <c r="J286" s="26"/>
      <c r="K286" s="26"/>
      <c r="L286" s="26"/>
      <c r="M286" s="83">
        <f>C$158*(0.4*D$14)*('Product half-life and C flows'!B147/100)</f>
        <v>0.4046061345742859</v>
      </c>
      <c r="N286" s="85"/>
      <c r="O286" s="85">
        <f t="shared" si="93"/>
        <v>-2.5626287775264589</v>
      </c>
      <c r="P286" s="85">
        <f t="shared" si="93"/>
        <v>12.300618132127003</v>
      </c>
      <c r="Q286" s="83">
        <f>C$158*(0.6*C$15)*('Product half-life and C flows'!L147/100)</f>
        <v>5.3519723259311736</v>
      </c>
      <c r="R286" s="85">
        <f>C$158*0.6*('Product half-life and C flows'!N147/100)</f>
        <v>22.080364530868447</v>
      </c>
      <c r="S286" s="85">
        <f>C$158*0.6*('Product half-life and C flows'!P147/100)</f>
        <v>11.029153112321898</v>
      </c>
      <c r="T286" s="85">
        <f t="shared" si="77"/>
        <v>11.038827979547648</v>
      </c>
      <c r="U286" s="3"/>
      <c r="V286" s="90">
        <f>N$238*(0.4*V$40)*('Product half-life and C flows'!B66/100)</f>
        <v>7.6825697294212816</v>
      </c>
      <c r="W286" s="90">
        <f t="shared" si="74"/>
        <v>67.510100252580912</v>
      </c>
      <c r="X286" s="89">
        <f t="shared" si="94"/>
        <v>-2.9375702681265485</v>
      </c>
      <c r="Y286" s="89">
        <f t="shared" si="94"/>
        <v>14.100337287007433</v>
      </c>
      <c r="Z286" s="91">
        <f>N$238*(0.6*Z$41)*('Product half-life and C flows'!L66/100)</f>
        <v>21.363402178592185</v>
      </c>
      <c r="AA286" s="91">
        <f>N$238*0.6*('Product half-life and C flows'!N66/100)</f>
        <v>15.148567996766241</v>
      </c>
      <c r="AB286" s="91">
        <f>N$238*0.6*('Product half-life and C flows'!P66/100)</f>
        <v>7.5667172811020151</v>
      </c>
      <c r="AC286" s="89">
        <f t="shared" si="79"/>
        <v>25.116225792481988</v>
      </c>
      <c r="AD286" s="17"/>
      <c r="AE286">
        <f t="shared" si="90"/>
        <v>128</v>
      </c>
      <c r="AF286" s="3">
        <f t="shared" si="69"/>
        <v>38.933569869404479</v>
      </c>
      <c r="AG286" s="113">
        <f t="shared" si="91"/>
        <v>160.28454152791318</v>
      </c>
      <c r="AH286" s="124">
        <f t="shared" si="95"/>
        <v>8.0871758639955669</v>
      </c>
      <c r="AI286" s="124">
        <f t="shared" si="96"/>
        <v>67.510100252580912</v>
      </c>
      <c r="AJ286" s="124">
        <f t="shared" si="97"/>
        <v>-5.500199045653007</v>
      </c>
      <c r="AK286" s="124">
        <f t="shared" si="98"/>
        <v>26.400955419134434</v>
      </c>
      <c r="AL286" s="124">
        <f t="shared" si="99"/>
        <v>26.715374504523361</v>
      </c>
      <c r="AM286" s="124">
        <f t="shared" si="100"/>
        <v>37.22893252763469</v>
      </c>
      <c r="AN286" s="124">
        <f t="shared" si="101"/>
        <v>18.595870393423915</v>
      </c>
      <c r="AO286" s="124">
        <f t="shared" si="102"/>
        <v>36.155053772029632</v>
      </c>
      <c r="AP286" s="3">
        <f t="shared" ref="AP286:AP318" si="104">SUM(AI286:AN286)</f>
        <v>170.95103405164431</v>
      </c>
    </row>
    <row r="287" spans="1:42" ht="14">
      <c r="A287">
        <f t="shared" si="92"/>
        <v>129</v>
      </c>
      <c r="B287" s="19">
        <f t="shared" si="92"/>
        <v>209</v>
      </c>
      <c r="C287" s="26">
        <f t="shared" si="103"/>
        <v>160.43555309260927</v>
      </c>
      <c r="D287" s="26"/>
      <c r="E287" s="26"/>
      <c r="F287" s="26"/>
      <c r="G287" s="26"/>
      <c r="H287" s="26"/>
      <c r="I287" s="126"/>
      <c r="J287" s="26"/>
      <c r="K287" s="26"/>
      <c r="L287" s="26"/>
      <c r="M287" s="83">
        <f>C$158*(0.4*D$14)*('Product half-life and C flows'!B148/100)</f>
        <v>0.3908237642911575</v>
      </c>
      <c r="N287" s="85"/>
      <c r="O287" s="85">
        <f t="shared" si="93"/>
        <v>-2.5626287775264589</v>
      </c>
      <c r="P287" s="85">
        <f t="shared" si="93"/>
        <v>12.300618132127003</v>
      </c>
      <c r="Q287" s="83">
        <f>C$158*(0.6*C$15)*('Product half-life and C flows'!L148/100)</f>
        <v>5.2701661066412298</v>
      </c>
      <c r="R287" s="85">
        <f>C$158*0.6*('Product half-life and C flows'!N148/100)</f>
        <v>22.134956547874605</v>
      </c>
      <c r="S287" s="85">
        <f>C$158*0.6*('Product half-life and C flows'!P148/100)</f>
        <v>11.056421852085213</v>
      </c>
      <c r="T287" s="85">
        <f t="shared" si="77"/>
        <v>11.038827979547648</v>
      </c>
      <c r="U287" s="3"/>
      <c r="V287" s="90">
        <f>N$238*(0.4*V$40)*('Product half-life and C flows'!B67/100)</f>
        <v>7.4208732011463363</v>
      </c>
      <c r="W287" s="90">
        <f t="shared" si="74"/>
        <v>68.950186942718261</v>
      </c>
      <c r="X287" s="89">
        <f t="shared" si="94"/>
        <v>-2.9375702681265485</v>
      </c>
      <c r="Y287" s="89">
        <f t="shared" si="94"/>
        <v>14.100337287007433</v>
      </c>
      <c r="Z287" s="91">
        <f>N$238*(0.6*Z$41)*('Product half-life and C flows'!L67/100)</f>
        <v>21.036857298131295</v>
      </c>
      <c r="AA287" s="91">
        <f>N$238*0.6*('Product half-life and C flows'!N67/100)</f>
        <v>15.366482280327142</v>
      </c>
      <c r="AB287" s="91">
        <f>N$238*0.6*('Product half-life and C flows'!P67/100)</f>
        <v>7.6755655745889779</v>
      </c>
      <c r="AC287" s="89">
        <f t="shared" si="79"/>
        <v>25.116225792481988</v>
      </c>
      <c r="AD287" s="17"/>
      <c r="AE287">
        <f t="shared" si="90"/>
        <v>129</v>
      </c>
      <c r="AF287" s="3">
        <f t="shared" ref="AF287:AF318" si="105">D$8*(1-EXP(-D$9*$B207))^3</f>
        <v>38.961110019383533</v>
      </c>
      <c r="AG287" s="113">
        <f t="shared" si="91"/>
        <v>160.43555309260927</v>
      </c>
      <c r="AH287" s="124">
        <f t="shared" si="95"/>
        <v>7.8116969654374939</v>
      </c>
      <c r="AI287" s="124">
        <f t="shared" si="96"/>
        <v>68.950186942718261</v>
      </c>
      <c r="AJ287" s="124">
        <f t="shared" si="97"/>
        <v>-5.500199045653007</v>
      </c>
      <c r="AK287" s="124">
        <f t="shared" si="98"/>
        <v>26.400955419134434</v>
      </c>
      <c r="AL287" s="124">
        <f t="shared" si="99"/>
        <v>26.307023404772526</v>
      </c>
      <c r="AM287" s="124">
        <f t="shared" si="100"/>
        <v>37.501438828201749</v>
      </c>
      <c r="AN287" s="124">
        <f t="shared" si="101"/>
        <v>18.731987426674191</v>
      </c>
      <c r="AO287" s="124">
        <f t="shared" si="102"/>
        <v>36.155053772029632</v>
      </c>
      <c r="AP287" s="3">
        <f t="shared" si="104"/>
        <v>172.39139297584813</v>
      </c>
    </row>
    <row r="288" spans="1:42" ht="14">
      <c r="A288">
        <f t="shared" ref="A288:B303" si="106">A287+1</f>
        <v>130</v>
      </c>
      <c r="B288" s="19">
        <f t="shared" si="106"/>
        <v>210</v>
      </c>
      <c r="C288" s="26">
        <f t="shared" si="103"/>
        <v>160.58366645029093</v>
      </c>
      <c r="D288" s="26"/>
      <c r="E288" s="26"/>
      <c r="F288" s="26"/>
      <c r="G288" s="26"/>
      <c r="H288" s="26"/>
      <c r="I288" s="126"/>
      <c r="J288" s="26"/>
      <c r="K288" s="26"/>
      <c r="L288" s="26"/>
      <c r="M288" s="83">
        <f>C$158*(0.4*D$14)*('Product half-life and C flows'!B149/100)</f>
        <v>0.37751087213599005</v>
      </c>
      <c r="N288" s="85"/>
      <c r="O288" s="85">
        <f t="shared" ref="O288:P303" si="107">O287</f>
        <v>-2.5626287775264589</v>
      </c>
      <c r="P288" s="85">
        <f t="shared" si="107"/>
        <v>12.300618132127003</v>
      </c>
      <c r="Q288" s="83">
        <f>C$158*(0.6*C$15)*('Product half-life and C flows'!L149/100)</f>
        <v>5.1896103156246314</v>
      </c>
      <c r="R288" s="85">
        <f>C$158*0.6*('Product half-life and C flows'!N149/100)</f>
        <v>22.188714112413013</v>
      </c>
      <c r="S288" s="85">
        <f>C$158*0.6*('Product half-life and C flows'!P149/100)</f>
        <v>11.083273782424079</v>
      </c>
      <c r="T288" s="85">
        <f t="shared" si="77"/>
        <v>11.038827979547648</v>
      </c>
      <c r="U288" s="3"/>
      <c r="V288" s="90">
        <f>N$238*(0.4*V$40)*('Product half-life and C flows'!B68/100)</f>
        <v>7.1680910173320589</v>
      </c>
      <c r="W288" s="90">
        <f t="shared" si="74"/>
        <v>70.352960023466522</v>
      </c>
      <c r="X288" s="89">
        <f t="shared" si="94"/>
        <v>-2.9375702681265485</v>
      </c>
      <c r="Y288" s="89">
        <f t="shared" si="94"/>
        <v>14.100337287007433</v>
      </c>
      <c r="Z288" s="91">
        <f>N$238*(0.6*Z$41)*('Product half-life and C flows'!L68/100)</f>
        <v>20.715303736846245</v>
      </c>
      <c r="AA288" s="91">
        <f>N$238*0.6*('Product half-life and C flows'!N68/100)</f>
        <v>15.581065690224698</v>
      </c>
      <c r="AB288" s="91">
        <f>N$238*0.6*('Product half-life and C flows'!P68/100)</f>
        <v>7.7827500950173265</v>
      </c>
      <c r="AC288" s="89">
        <f t="shared" si="79"/>
        <v>25.116225792481988</v>
      </c>
      <c r="AD288" s="17"/>
      <c r="AE288">
        <f t="shared" si="90"/>
        <v>130</v>
      </c>
      <c r="AF288" s="3">
        <f t="shared" si="105"/>
        <v>38.987582535090162</v>
      </c>
      <c r="AG288" s="113">
        <f t="shared" si="91"/>
        <v>160.58366645029093</v>
      </c>
      <c r="AH288" s="124">
        <f t="shared" si="95"/>
        <v>7.545601889468049</v>
      </c>
      <c r="AI288" s="124">
        <f t="shared" si="96"/>
        <v>70.352960023466522</v>
      </c>
      <c r="AJ288" s="124">
        <f t="shared" si="97"/>
        <v>-5.500199045653007</v>
      </c>
      <c r="AK288" s="124">
        <f t="shared" si="98"/>
        <v>26.400955419134434</v>
      </c>
      <c r="AL288" s="124">
        <f t="shared" si="99"/>
        <v>25.904914052470875</v>
      </c>
      <c r="AM288" s="124">
        <f t="shared" si="100"/>
        <v>37.769779802637714</v>
      </c>
      <c r="AN288" s="124">
        <f t="shared" si="101"/>
        <v>18.866023877441407</v>
      </c>
      <c r="AO288" s="124">
        <f t="shared" si="102"/>
        <v>36.155053772029632</v>
      </c>
      <c r="AP288" s="3">
        <f t="shared" si="104"/>
        <v>173.79443412949797</v>
      </c>
    </row>
    <row r="289" spans="1:42" ht="14">
      <c r="A289">
        <f t="shared" si="106"/>
        <v>131</v>
      </c>
      <c r="B289" s="19">
        <f t="shared" si="106"/>
        <v>211</v>
      </c>
      <c r="C289" s="26">
        <f t="shared" si="103"/>
        <v>160.72893540825862</v>
      </c>
      <c r="D289" s="26"/>
      <c r="E289" s="26"/>
      <c r="F289" s="26"/>
      <c r="G289" s="26"/>
      <c r="H289" s="26"/>
      <c r="I289" s="126"/>
      <c r="J289" s="26"/>
      <c r="K289" s="26"/>
      <c r="L289" s="26"/>
      <c r="M289" s="83">
        <f>C$158*(0.4*D$14)*('Product half-life and C flows'!B150/100)</f>
        <v>0.36465146596025483</v>
      </c>
      <c r="N289" s="85"/>
      <c r="O289" s="85">
        <f t="shared" si="107"/>
        <v>-2.5626287775264589</v>
      </c>
      <c r="P289" s="85">
        <f t="shared" si="107"/>
        <v>12.300618132127003</v>
      </c>
      <c r="Q289" s="83">
        <f>C$158*(0.6*C$15)*('Product half-life and C flows'!L150/100)</f>
        <v>5.1102858397762843</v>
      </c>
      <c r="R289" s="85">
        <f>C$158*0.6*('Product half-life and C flows'!N150/100)</f>
        <v>22.241649979295811</v>
      </c>
      <c r="S289" s="85">
        <f>C$158*0.6*('Product half-life and C flows'!P150/100)</f>
        <v>11.109715274373526</v>
      </c>
      <c r="T289" s="85">
        <f t="shared" si="77"/>
        <v>11.038827979547648</v>
      </c>
      <c r="U289" s="3"/>
      <c r="V289" s="90">
        <f>N$238*(0.4*V$40)*('Product half-life and C flows'!B69/100)</f>
        <v>6.9239195226808912</v>
      </c>
      <c r="W289" s="90">
        <f t="shared" si="74"/>
        <v>71.718529201659706</v>
      </c>
      <c r="X289" s="89">
        <f t="shared" ref="X289:Y304" si="108">X288</f>
        <v>-2.9375702681265485</v>
      </c>
      <c r="Y289" s="89">
        <f t="shared" si="108"/>
        <v>14.100337287007433</v>
      </c>
      <c r="Z289" s="91">
        <f>N$238*(0.6*Z$41)*('Product half-life and C flows'!L69/100)</f>
        <v>20.398665201190251</v>
      </c>
      <c r="AA289" s="91">
        <f>N$238*0.6*('Product half-life and C flows'!N69/100)</f>
        <v>15.792369139685798</v>
      </c>
      <c r="AB289" s="91">
        <f>N$238*0.6*('Product half-life and C flows'!P69/100)</f>
        <v>7.8882962735693267</v>
      </c>
      <c r="AC289" s="89">
        <f t="shared" si="79"/>
        <v>25.116225792481988</v>
      </c>
      <c r="AD289" s="17"/>
      <c r="AE289">
        <f t="shared" si="90"/>
        <v>131</v>
      </c>
      <c r="AF289" s="3">
        <f t="shared" si="105"/>
        <v>39.013028341298835</v>
      </c>
      <c r="AG289" s="113">
        <f t="shared" si="91"/>
        <v>160.72893540825862</v>
      </c>
      <c r="AH289" s="124">
        <f t="shared" si="95"/>
        <v>7.2885709886411458</v>
      </c>
      <c r="AI289" s="124">
        <f t="shared" si="96"/>
        <v>71.718529201659706</v>
      </c>
      <c r="AJ289" s="124">
        <f t="shared" si="97"/>
        <v>-5.500199045653007</v>
      </c>
      <c r="AK289" s="124">
        <f t="shared" si="98"/>
        <v>26.400955419134434</v>
      </c>
      <c r="AL289" s="124">
        <f t="shared" si="99"/>
        <v>25.508951040966537</v>
      </c>
      <c r="AM289" s="124">
        <f t="shared" si="100"/>
        <v>38.034019118981611</v>
      </c>
      <c r="AN289" s="124">
        <f t="shared" si="101"/>
        <v>18.998011547942852</v>
      </c>
      <c r="AO289" s="124">
        <f t="shared" si="102"/>
        <v>36.155053772029632</v>
      </c>
      <c r="AP289" s="3">
        <f t="shared" si="104"/>
        <v>175.16026728303211</v>
      </c>
    </row>
    <row r="290" spans="1:42" ht="14">
      <c r="A290">
        <f t="shared" si="106"/>
        <v>132</v>
      </c>
      <c r="B290" s="19">
        <f t="shared" si="106"/>
        <v>212</v>
      </c>
      <c r="C290" s="26">
        <f t="shared" si="103"/>
        <v>160.87141284718754</v>
      </c>
      <c r="D290" s="26"/>
      <c r="E290" s="26"/>
      <c r="F290" s="26"/>
      <c r="G290" s="26"/>
      <c r="H290" s="26"/>
      <c r="I290" s="126"/>
      <c r="J290" s="26"/>
      <c r="K290" s="26"/>
      <c r="L290" s="26"/>
      <c r="M290" s="83">
        <f>C$158*(0.4*D$14)*('Product half-life and C flows'!B151/100)</f>
        <v>0.35223009836671193</v>
      </c>
      <c r="N290" s="85"/>
      <c r="O290" s="85">
        <f t="shared" si="107"/>
        <v>-2.5626287775264589</v>
      </c>
      <c r="P290" s="85">
        <f t="shared" si="107"/>
        <v>12.300618132127003</v>
      </c>
      <c r="Q290" s="83">
        <f>C$158*(0.6*C$15)*('Product half-life and C flows'!L151/100)</f>
        <v>5.0321738581396263</v>
      </c>
      <c r="R290" s="85">
        <f>C$158*0.6*('Product half-life and C flows'!N151/100)</f>
        <v>22.293776708374676</v>
      </c>
      <c r="S290" s="85">
        <f>C$158*0.6*('Product half-life and C flows'!P151/100)</f>
        <v>11.135752601585747</v>
      </c>
      <c r="T290" s="85">
        <f t="shared" si="77"/>
        <v>11.038827979547648</v>
      </c>
      <c r="U290" s="3"/>
      <c r="V290" s="90">
        <f>N$238*(0.4*V$40)*('Product half-life and C flows'!B70/100)</f>
        <v>6.6880654055094517</v>
      </c>
      <c r="W290" s="90">
        <f t="shared" si="74"/>
        <v>73.047090459435708</v>
      </c>
      <c r="X290" s="89">
        <f t="shared" si="108"/>
        <v>-2.9375702681265485</v>
      </c>
      <c r="Y290" s="89">
        <f t="shared" si="108"/>
        <v>14.100337287007433</v>
      </c>
      <c r="Z290" s="91">
        <f>N$238*(0.6*Z$41)*('Product half-life and C flows'!L70/100)</f>
        <v>20.086866563782241</v>
      </c>
      <c r="AA290" s="91">
        <f>N$238*0.6*('Product half-life and C flows'!N70/100)</f>
        <v>16.000442763716077</v>
      </c>
      <c r="AB290" s="91">
        <f>N$238*0.6*('Product half-life and C flows'!P70/100)</f>
        <v>7.9922291527053302</v>
      </c>
      <c r="AC290" s="89">
        <f t="shared" si="79"/>
        <v>25.116225792481988</v>
      </c>
      <c r="AD290" s="17"/>
      <c r="AE290">
        <f t="shared" si="90"/>
        <v>132</v>
      </c>
      <c r="AF290" s="3">
        <f t="shared" si="105"/>
        <v>39.037486829910158</v>
      </c>
      <c r="AG290" s="113">
        <f t="shared" si="91"/>
        <v>160.87141284718754</v>
      </c>
      <c r="AH290" s="124">
        <f t="shared" si="95"/>
        <v>7.0402955038761634</v>
      </c>
      <c r="AI290" s="124">
        <f t="shared" si="96"/>
        <v>73.047090459435708</v>
      </c>
      <c r="AJ290" s="124">
        <f t="shared" si="97"/>
        <v>-5.500199045653007</v>
      </c>
      <c r="AK290" s="124">
        <f t="shared" si="98"/>
        <v>26.400955419134434</v>
      </c>
      <c r="AL290" s="124">
        <f t="shared" si="99"/>
        <v>25.119040421921866</v>
      </c>
      <c r="AM290" s="124">
        <f t="shared" si="100"/>
        <v>38.294219472090752</v>
      </c>
      <c r="AN290" s="124">
        <f t="shared" si="101"/>
        <v>19.127981754291078</v>
      </c>
      <c r="AO290" s="124">
        <f t="shared" si="102"/>
        <v>36.155053772029632</v>
      </c>
      <c r="AP290" s="3">
        <f t="shared" si="104"/>
        <v>176.48908848122085</v>
      </c>
    </row>
    <row r="291" spans="1:42" ht="14">
      <c r="A291">
        <f t="shared" si="106"/>
        <v>133</v>
      </c>
      <c r="B291" s="19">
        <f t="shared" si="106"/>
        <v>213</v>
      </c>
      <c r="C291" s="26">
        <f t="shared" si="103"/>
        <v>161.0111507341245</v>
      </c>
      <c r="D291" s="26"/>
      <c r="E291" s="26"/>
      <c r="F291" s="26"/>
      <c r="G291" s="26"/>
      <c r="H291" s="26"/>
      <c r="I291" s="126"/>
      <c r="J291" s="26"/>
      <c r="K291" s="26"/>
      <c r="L291" s="26"/>
      <c r="M291" s="83">
        <f>C$158*(0.4*D$14)*('Product half-life and C flows'!B152/100)</f>
        <v>0.34023184815317886</v>
      </c>
      <c r="N291" s="85"/>
      <c r="O291" s="85">
        <f t="shared" si="107"/>
        <v>-2.5626287775264589</v>
      </c>
      <c r="P291" s="85">
        <f t="shared" si="107"/>
        <v>12.300618132127003</v>
      </c>
      <c r="Q291" s="83">
        <f>C$158*(0.6*C$15)*('Product half-life and C flows'!L152/100)</f>
        <v>4.955255837441066</v>
      </c>
      <c r="R291" s="85">
        <f>C$158*0.6*('Product half-life and C flows'!N152/100)</f>
        <v>22.345106667520849</v>
      </c>
      <c r="S291" s="85">
        <f>C$158*0.6*('Product half-life and C flows'!P152/100)</f>
        <v>11.1613919418186</v>
      </c>
      <c r="T291" s="85">
        <f t="shared" si="77"/>
        <v>11.038827979547648</v>
      </c>
      <c r="U291" s="3"/>
      <c r="V291" s="90">
        <f>N$238*(0.4*V$40)*('Product half-life and C flows'!B71/100)</f>
        <v>6.4602453454070545</v>
      </c>
      <c r="W291" s="90">
        <f t="shared" si="74"/>
        <v>74.338917231292029</v>
      </c>
      <c r="X291" s="89">
        <f t="shared" si="108"/>
        <v>-2.9375702681265485</v>
      </c>
      <c r="Y291" s="89">
        <f t="shared" si="108"/>
        <v>14.100337287007433</v>
      </c>
      <c r="Z291" s="91">
        <f>N$238*(0.6*Z$41)*('Product half-life and C flows'!L71/100)</f>
        <v>19.779833845581713</v>
      </c>
      <c r="AA291" s="91">
        <f>N$238*0.6*('Product half-life and C flows'!N71/100)</f>
        <v>16.205335930995226</v>
      </c>
      <c r="AB291" s="91">
        <f>N$238*0.6*('Product half-life and C flows'!P71/100)</f>
        <v>8.0945733921055059</v>
      </c>
      <c r="AC291" s="89">
        <f t="shared" si="79"/>
        <v>25.116225792481988</v>
      </c>
      <c r="AD291" s="17"/>
      <c r="AE291">
        <f t="shared" si="90"/>
        <v>133</v>
      </c>
      <c r="AF291" s="3">
        <f t="shared" si="105"/>
        <v>39.060995914567414</v>
      </c>
      <c r="AG291" s="113">
        <f t="shared" si="91"/>
        <v>161.0111507341245</v>
      </c>
      <c r="AH291" s="124">
        <f t="shared" si="95"/>
        <v>6.8004771935602335</v>
      </c>
      <c r="AI291" s="124">
        <f t="shared" si="96"/>
        <v>74.338917231292029</v>
      </c>
      <c r="AJ291" s="124">
        <f t="shared" si="97"/>
        <v>-5.500199045653007</v>
      </c>
      <c r="AK291" s="124">
        <f t="shared" si="98"/>
        <v>26.400955419134434</v>
      </c>
      <c r="AL291" s="124">
        <f t="shared" si="99"/>
        <v>24.735089683022778</v>
      </c>
      <c r="AM291" s="124">
        <f t="shared" si="100"/>
        <v>38.550442598516071</v>
      </c>
      <c r="AN291" s="124">
        <f t="shared" si="101"/>
        <v>19.255965333924106</v>
      </c>
      <c r="AO291" s="124">
        <f t="shared" si="102"/>
        <v>36.155053772029632</v>
      </c>
      <c r="AP291" s="3">
        <f t="shared" si="104"/>
        <v>177.78117122023642</v>
      </c>
    </row>
    <row r="292" spans="1:42" ht="14">
      <c r="A292">
        <f t="shared" si="106"/>
        <v>134</v>
      </c>
      <c r="B292" s="19">
        <f t="shared" si="106"/>
        <v>214</v>
      </c>
      <c r="C292" s="26">
        <f t="shared" si="103"/>
        <v>161.14820013543206</v>
      </c>
      <c r="D292" s="26"/>
      <c r="E292" s="26"/>
      <c r="F292" s="26"/>
      <c r="G292" s="26"/>
      <c r="H292" s="26"/>
      <c r="I292" s="126"/>
      <c r="J292" s="26"/>
      <c r="K292" s="26"/>
      <c r="L292" s="26"/>
      <c r="M292" s="83">
        <f>C$158*(0.4*D$14)*('Product half-life and C flows'!B153/100)</f>
        <v>0.3286423023883972</v>
      </c>
      <c r="N292" s="85"/>
      <c r="O292" s="85">
        <f t="shared" si="107"/>
        <v>-2.5626287775264589</v>
      </c>
      <c r="P292" s="85">
        <f t="shared" si="107"/>
        <v>12.300618132127003</v>
      </c>
      <c r="Q292" s="83">
        <f>C$158*(0.6*C$15)*('Product half-life and C flows'!L153/100)</f>
        <v>4.8795135276926782</v>
      </c>
      <c r="R292" s="85">
        <f>C$158*0.6*('Product half-life and C flows'!N153/100)</f>
        <v>22.395652035559607</v>
      </c>
      <c r="S292" s="85">
        <f>C$158*0.6*('Product half-life and C flows'!P153/100)</f>
        <v>11.186639378401395</v>
      </c>
      <c r="T292" s="85">
        <f t="shared" si="77"/>
        <v>11.038827979547648</v>
      </c>
      <c r="U292" s="3"/>
      <c r="V292" s="90">
        <f>N$238*(0.4*V$40)*('Product half-life and C flows'!B72/100)</f>
        <v>6.2401856728963132</v>
      </c>
      <c r="W292" s="90">
        <f t="shared" si="74"/>
        <v>75.59435217302817</v>
      </c>
      <c r="X292" s="89">
        <f t="shared" si="108"/>
        <v>-2.9375702681265485</v>
      </c>
      <c r="Y292" s="89">
        <f t="shared" si="108"/>
        <v>14.100337287007433</v>
      </c>
      <c r="Z292" s="91">
        <f>N$238*(0.6*Z$41)*('Product half-life and C flows'!L72/100)</f>
        <v>19.477494198336096</v>
      </c>
      <c r="AA292" s="91">
        <f>N$238*0.6*('Product half-life and C flows'!N72/100)</f>
        <v>16.407097255590472</v>
      </c>
      <c r="AB292" s="91">
        <f>N$238*0.6*('Product half-life and C flows'!P72/100)</f>
        <v>8.1953532745207109</v>
      </c>
      <c r="AC292" s="89">
        <f t="shared" si="79"/>
        <v>25.116225792481988</v>
      </c>
      <c r="AD292" s="17"/>
      <c r="AE292">
        <f t="shared" si="90"/>
        <v>134</v>
      </c>
      <c r="AF292" s="3">
        <f t="shared" si="105"/>
        <v>39.083592083549917</v>
      </c>
      <c r="AG292" s="113">
        <f t="shared" si="91"/>
        <v>161.14820013543206</v>
      </c>
      <c r="AH292" s="124">
        <f t="shared" si="95"/>
        <v>6.5688279752847105</v>
      </c>
      <c r="AI292" s="124">
        <f t="shared" si="96"/>
        <v>75.59435217302817</v>
      </c>
      <c r="AJ292" s="124">
        <f t="shared" si="97"/>
        <v>-5.500199045653007</v>
      </c>
      <c r="AK292" s="124">
        <f t="shared" si="98"/>
        <v>26.400955419134434</v>
      </c>
      <c r="AL292" s="124">
        <f t="shared" si="99"/>
        <v>24.357007726028776</v>
      </c>
      <c r="AM292" s="124">
        <f t="shared" si="100"/>
        <v>38.802749291150079</v>
      </c>
      <c r="AN292" s="124">
        <f t="shared" si="101"/>
        <v>19.381992652922108</v>
      </c>
      <c r="AO292" s="124">
        <f t="shared" si="102"/>
        <v>36.155053772029632</v>
      </c>
      <c r="AP292" s="3">
        <f t="shared" si="104"/>
        <v>179.0368582166106</v>
      </c>
    </row>
    <row r="293" spans="1:42" ht="14">
      <c r="A293">
        <f t="shared" si="106"/>
        <v>135</v>
      </c>
      <c r="B293" s="19">
        <f t="shared" si="106"/>
        <v>215</v>
      </c>
      <c r="C293" s="26">
        <f t="shared" si="103"/>
        <v>161.28261122967328</v>
      </c>
      <c r="D293" s="26"/>
      <c r="E293" s="26"/>
      <c r="F293" s="26"/>
      <c r="G293" s="26"/>
      <c r="H293" s="26"/>
      <c r="I293" s="126"/>
      <c r="J293" s="26"/>
      <c r="K293" s="26"/>
      <c r="L293" s="26"/>
      <c r="M293" s="83">
        <f>C$158*(0.4*D$14)*('Product half-life and C flows'!B154/100)</f>
        <v>0.31744753909845724</v>
      </c>
      <c r="N293" s="85"/>
      <c r="O293" s="85">
        <f t="shared" si="107"/>
        <v>-2.5626287775264589</v>
      </c>
      <c r="P293" s="85">
        <f t="shared" si="107"/>
        <v>12.300618132127003</v>
      </c>
      <c r="Q293" s="83">
        <f>C$158*(0.6*C$15)*('Product half-life and C flows'!L154/100)</f>
        <v>4.8049289578621099</v>
      </c>
      <c r="R293" s="85">
        <f>C$158*0.6*('Product half-life and C flows'!N154/100)</f>
        <v>22.445424805159874</v>
      </c>
      <c r="S293" s="85">
        <f>C$158*0.6*('Product half-life and C flows'!P154/100)</f>
        <v>11.211500901678251</v>
      </c>
      <c r="T293" s="85">
        <f t="shared" si="77"/>
        <v>11.038827979547648</v>
      </c>
      <c r="U293" s="3"/>
      <c r="V293" s="90">
        <f>N$238*(0.4*V$40)*('Product half-life and C flows'!B73/100)</f>
        <v>6.0276220406868806</v>
      </c>
      <c r="W293" s="90">
        <f t="shared" si="74"/>
        <v>76.813799499943926</v>
      </c>
      <c r="X293" s="89">
        <f t="shared" si="108"/>
        <v>-2.9375702681265485</v>
      </c>
      <c r="Y293" s="89">
        <f t="shared" si="108"/>
        <v>14.100337287007433</v>
      </c>
      <c r="Z293" s="91">
        <f>N$238*(0.6*Z$41)*('Product half-life and C flows'!L73/100)</f>
        <v>19.179775887296348</v>
      </c>
      <c r="AA293" s="91">
        <f>N$238*0.6*('Product half-life and C flows'!N73/100)</f>
        <v>16.605774608490993</v>
      </c>
      <c r="AB293" s="91">
        <f>N$238*0.6*('Product half-life and C flows'!P73/100)</f>
        <v>8.2945927115339604</v>
      </c>
      <c r="AC293" s="89">
        <f t="shared" si="79"/>
        <v>25.116225792481988</v>
      </c>
      <c r="AD293" s="17"/>
      <c r="AE293">
        <f t="shared" si="90"/>
        <v>135</v>
      </c>
      <c r="AF293" s="3">
        <f t="shared" si="105"/>
        <v>39.105310450978791</v>
      </c>
      <c r="AG293" s="113">
        <f t="shared" si="91"/>
        <v>161.28261122967328</v>
      </c>
      <c r="AH293" s="124">
        <f t="shared" si="95"/>
        <v>6.3450695797853376</v>
      </c>
      <c r="AI293" s="124">
        <f t="shared" si="96"/>
        <v>76.813799499943926</v>
      </c>
      <c r="AJ293" s="124">
        <f t="shared" si="97"/>
        <v>-5.500199045653007</v>
      </c>
      <c r="AK293" s="124">
        <f t="shared" si="98"/>
        <v>26.400955419134434</v>
      </c>
      <c r="AL293" s="124">
        <f t="shared" si="99"/>
        <v>23.984704845158458</v>
      </c>
      <c r="AM293" s="124">
        <f t="shared" si="100"/>
        <v>39.051199413650863</v>
      </c>
      <c r="AN293" s="124">
        <f t="shared" si="101"/>
        <v>19.506093613212212</v>
      </c>
      <c r="AO293" s="124">
        <f t="shared" si="102"/>
        <v>36.155053772029632</v>
      </c>
      <c r="AP293" s="3">
        <f t="shared" si="104"/>
        <v>180.25655374544689</v>
      </c>
    </row>
    <row r="294" spans="1:42" ht="14">
      <c r="A294">
        <f t="shared" si="106"/>
        <v>136</v>
      </c>
      <c r="B294" s="19">
        <f t="shared" si="106"/>
        <v>216</v>
      </c>
      <c r="C294" s="26">
        <f t="shared" si="103"/>
        <v>161.41443332043016</v>
      </c>
      <c r="D294" s="26"/>
      <c r="E294" s="26"/>
      <c r="F294" s="26"/>
      <c r="G294" s="26"/>
      <c r="H294" s="26"/>
      <c r="I294" s="126"/>
      <c r="J294" s="26"/>
      <c r="K294" s="26"/>
      <c r="L294" s="26"/>
      <c r="M294" s="83">
        <f>C$158*(0.4*D$14)*('Product half-life and C flows'!B155/100)</f>
        <v>0.30663411054299028</v>
      </c>
      <c r="N294" s="85"/>
      <c r="O294" s="85">
        <f t="shared" si="107"/>
        <v>-2.5626287775264589</v>
      </c>
      <c r="P294" s="85">
        <f t="shared" si="107"/>
        <v>12.300618132127003</v>
      </c>
      <c r="Q294" s="83">
        <f>C$158*(0.6*C$15)*('Product half-life and C flows'!L155/100)</f>
        <v>4.731484431608683</v>
      </c>
      <c r="R294" s="85">
        <f>C$158*0.6*('Product half-life and C flows'!N155/100)</f>
        <v>22.49443678567966</v>
      </c>
      <c r="S294" s="85">
        <f>C$158*0.6*('Product half-life and C flows'!P155/100)</f>
        <v>11.235982410429393</v>
      </c>
      <c r="T294" s="85">
        <f t="shared" si="77"/>
        <v>11.038827979547648</v>
      </c>
      <c r="U294" s="3"/>
      <c r="V294" s="90">
        <f>N$238*(0.4*V$40)*('Product half-life and C flows'!B74/100)</f>
        <v>5.8222991061275708</v>
      </c>
      <c r="W294" s="90">
        <f t="shared" si="74"/>
        <v>77.997717870301713</v>
      </c>
      <c r="X294" s="89">
        <f t="shared" si="108"/>
        <v>-2.9375702681265485</v>
      </c>
      <c r="Y294" s="89">
        <f t="shared" si="108"/>
        <v>14.100337287007433</v>
      </c>
      <c r="Z294" s="91">
        <f>N$238*(0.6*Z$41)*('Product half-life and C flows'!L74/100)</f>
        <v>18.886608274196782</v>
      </c>
      <c r="AA294" s="91">
        <f>N$238*0.6*('Product half-life and C flows'!N74/100)</f>
        <v>16.801415128966106</v>
      </c>
      <c r="AB294" s="91">
        <f>N$238*0.6*('Product half-life and C flows'!P74/100)</f>
        <v>8.3923152492338158</v>
      </c>
      <c r="AC294" s="89">
        <f t="shared" si="79"/>
        <v>25.116225792481988</v>
      </c>
      <c r="AD294" s="17"/>
      <c r="AE294">
        <f t="shared" si="90"/>
        <v>136</v>
      </c>
      <c r="AF294" s="3">
        <f t="shared" si="105"/>
        <v>39.126184806372201</v>
      </c>
      <c r="AG294" s="113">
        <f t="shared" si="91"/>
        <v>161.41443332043016</v>
      </c>
      <c r="AH294" s="124">
        <f t="shared" ref="AH294:AL298" si="109">D294+M294+V294</f>
        <v>6.1289332166705615</v>
      </c>
      <c r="AI294" s="124">
        <f t="shared" si="109"/>
        <v>77.997717870301713</v>
      </c>
      <c r="AJ294" s="124">
        <f t="shared" si="109"/>
        <v>-5.500199045653007</v>
      </c>
      <c r="AK294" s="124">
        <f t="shared" si="109"/>
        <v>26.400955419134434</v>
      </c>
      <c r="AL294" s="124">
        <f t="shared" si="109"/>
        <v>23.618092705805466</v>
      </c>
      <c r="AM294" s="124">
        <f t="shared" ref="AM294:AO318" si="110">I294+R294+AA294</f>
        <v>39.295851914645766</v>
      </c>
      <c r="AN294" s="124">
        <f t="shared" si="110"/>
        <v>19.628297659663211</v>
      </c>
      <c r="AO294" s="124">
        <f t="shared" si="110"/>
        <v>36.155053772029632</v>
      </c>
      <c r="AP294" s="3">
        <f t="shared" si="104"/>
        <v>181.44071652389758</v>
      </c>
    </row>
    <row r="295" spans="1:42" ht="14">
      <c r="A295">
        <f t="shared" si="106"/>
        <v>137</v>
      </c>
      <c r="B295" s="19">
        <f t="shared" si="106"/>
        <v>217</v>
      </c>
      <c r="C295" s="26">
        <f t="shared" si="103"/>
        <v>161.54371484905107</v>
      </c>
      <c r="D295" s="26"/>
      <c r="E295" s="26"/>
      <c r="F295" s="26"/>
      <c r="G295" s="26"/>
      <c r="H295" s="26"/>
      <c r="I295" s="126"/>
      <c r="J295" s="26"/>
      <c r="K295" s="26"/>
      <c r="L295" s="26"/>
      <c r="M295" s="83">
        <f>C$158*(0.4*D$14)*('Product half-life and C flows'!B156/100)</f>
        <v>0.29618902706103145</v>
      </c>
      <c r="N295" s="85"/>
      <c r="O295" s="85">
        <f t="shared" si="107"/>
        <v>-2.5626287775264589</v>
      </c>
      <c r="P295" s="85">
        <f t="shared" si="107"/>
        <v>12.300618132127003</v>
      </c>
      <c r="Q295" s="83">
        <f>C$158*(0.6*C$15)*('Product half-life and C flows'!L156/100)</f>
        <v>4.6591625230846523</v>
      </c>
      <c r="R295" s="85">
        <f>C$158*0.6*('Product half-life and C flows'!N156/100)</f>
        <v>22.542699605968032</v>
      </c>
      <c r="S295" s="85">
        <f>C$158*0.6*('Product half-life and C flows'!P156/100)</f>
        <v>11.260089713270736</v>
      </c>
      <c r="T295" s="85">
        <f t="shared" si="77"/>
        <v>11.038827979547648</v>
      </c>
      <c r="U295" s="3"/>
      <c r="V295" s="90">
        <f>N$238*(0.4*V$40)*('Product half-life and C flows'!B75/100)</f>
        <v>5.6239702244752774</v>
      </c>
      <c r="W295" s="90">
        <f t="shared" si="74"/>
        <v>79.146613789176996</v>
      </c>
      <c r="X295" s="89">
        <f t="shared" si="108"/>
        <v>-2.9375702681265485</v>
      </c>
      <c r="Y295" s="89">
        <f t="shared" si="108"/>
        <v>14.100337287007433</v>
      </c>
      <c r="Z295" s="91">
        <f>N$238*(0.6*Z$41)*('Product half-life and C flows'!L75/100)</f>
        <v>18.597921800495072</v>
      </c>
      <c r="AA295" s="91">
        <f>N$238*0.6*('Product half-life and C flows'!N75/100)</f>
        <v>16.994065235749712</v>
      </c>
      <c r="AB295" s="91">
        <f>N$238*0.6*('Product half-life and C flows'!P75/100)</f>
        <v>8.4885440738010516</v>
      </c>
      <c r="AC295" s="89">
        <f t="shared" si="79"/>
        <v>25.116225792481988</v>
      </c>
      <c r="AD295" s="17"/>
      <c r="AE295">
        <f t="shared" si="90"/>
        <v>137</v>
      </c>
      <c r="AF295" s="3">
        <f t="shared" si="105"/>
        <v>39.14624766258747</v>
      </c>
      <c r="AG295" s="113">
        <f t="shared" si="91"/>
        <v>161.54371484905107</v>
      </c>
      <c r="AH295" s="124">
        <f t="shared" si="109"/>
        <v>5.9201592515363091</v>
      </c>
      <c r="AI295" s="124">
        <f t="shared" si="109"/>
        <v>79.146613789176996</v>
      </c>
      <c r="AJ295" s="124">
        <f t="shared" si="109"/>
        <v>-5.500199045653007</v>
      </c>
      <c r="AK295" s="124">
        <f t="shared" si="109"/>
        <v>26.400955419134434</v>
      </c>
      <c r="AL295" s="124">
        <f t="shared" si="109"/>
        <v>23.257084323579726</v>
      </c>
      <c r="AM295" s="124">
        <f t="shared" si="110"/>
        <v>39.536764841717741</v>
      </c>
      <c r="AN295" s="124">
        <f t="shared" si="110"/>
        <v>19.748633787071789</v>
      </c>
      <c r="AO295" s="124">
        <f t="shared" si="110"/>
        <v>36.155053772029632</v>
      </c>
      <c r="AP295" s="3">
        <f t="shared" si="104"/>
        <v>182.58985311502767</v>
      </c>
    </row>
    <row r="296" spans="1:42" ht="14">
      <c r="A296">
        <f t="shared" si="106"/>
        <v>138</v>
      </c>
      <c r="B296" s="19">
        <f t="shared" si="106"/>
        <v>218</v>
      </c>
      <c r="C296" s="26">
        <f t="shared" si="103"/>
        <v>161.67050340732089</v>
      </c>
      <c r="D296" s="26"/>
      <c r="E296" s="26"/>
      <c r="F296" s="26"/>
      <c r="G296" s="26"/>
      <c r="H296" s="26"/>
      <c r="I296" s="126"/>
      <c r="J296" s="26"/>
      <c r="K296" s="26"/>
      <c r="L296" s="26"/>
      <c r="M296" s="83">
        <f>C$158*(0.4*D$14)*('Product half-life and C flows'!B157/100)</f>
        <v>0.28609974146715439</v>
      </c>
      <c r="N296" s="85"/>
      <c r="O296" s="85">
        <f t="shared" si="107"/>
        <v>-2.5626287775264589</v>
      </c>
      <c r="P296" s="85">
        <f t="shared" si="107"/>
        <v>12.300618132127003</v>
      </c>
      <c r="Q296" s="83">
        <f>C$158*(0.6*C$15)*('Product half-life and C flows'!L157/100)</f>
        <v>4.5879460728006629</v>
      </c>
      <c r="R296" s="85">
        <f>C$158*0.6*('Product half-life and C flows'!N157/100)</f>
        <v>22.590224717124215</v>
      </c>
      <c r="S296" s="85">
        <f>C$158*0.6*('Product half-life and C flows'!P157/100)</f>
        <v>11.283828530032066</v>
      </c>
      <c r="T296" s="85">
        <f t="shared" si="77"/>
        <v>11.038827979547648</v>
      </c>
      <c r="U296" s="3"/>
      <c r="V296" s="90">
        <f>N$238*(0.4*V$40)*('Product half-life and C flows'!B76/100)</f>
        <v>5.4323971526122881</v>
      </c>
      <c r="W296" s="90">
        <f t="shared" si="74"/>
        <v>80.261035507330135</v>
      </c>
      <c r="X296" s="89">
        <f t="shared" si="108"/>
        <v>-2.9375702681265485</v>
      </c>
      <c r="Y296" s="89">
        <f t="shared" si="108"/>
        <v>14.100337287007433</v>
      </c>
      <c r="Z296" s="91">
        <f>N$238*(0.6*Z$41)*('Product half-life and C flows'!L76/100)</f>
        <v>18.313647970868377</v>
      </c>
      <c r="AA296" s="91">
        <f>N$238*0.6*('Product half-life and C flows'!N76/100)</f>
        <v>17.183770638053925</v>
      </c>
      <c r="AB296" s="91">
        <f>N$238*0.6*('Product half-life and C flows'!P76/100)</f>
        <v>8.5833020170099505</v>
      </c>
      <c r="AC296" s="89">
        <f t="shared" si="79"/>
        <v>25.116225792481988</v>
      </c>
      <c r="AD296" s="17"/>
      <c r="AE296">
        <f t="shared" si="90"/>
        <v>138</v>
      </c>
      <c r="AF296" s="3">
        <f t="shared" si="105"/>
        <v>39.165530302188394</v>
      </c>
      <c r="AG296" s="113">
        <f t="shared" si="91"/>
        <v>161.67050340732089</v>
      </c>
      <c r="AH296" s="124">
        <f t="shared" si="109"/>
        <v>5.7184968940794425</v>
      </c>
      <c r="AI296" s="124">
        <f t="shared" si="109"/>
        <v>80.261035507330135</v>
      </c>
      <c r="AJ296" s="124">
        <f t="shared" si="109"/>
        <v>-5.500199045653007</v>
      </c>
      <c r="AK296" s="124">
        <f t="shared" si="109"/>
        <v>26.400955419134434</v>
      </c>
      <c r="AL296" s="124">
        <f t="shared" si="109"/>
        <v>22.901594043669039</v>
      </c>
      <c r="AM296" s="124">
        <f t="shared" si="110"/>
        <v>39.773995355178144</v>
      </c>
      <c r="AN296" s="124">
        <f t="shared" si="110"/>
        <v>19.867130547042017</v>
      </c>
      <c r="AO296" s="124">
        <f t="shared" si="110"/>
        <v>36.155053772029632</v>
      </c>
      <c r="AP296" s="3">
        <f t="shared" si="104"/>
        <v>183.70451182670078</v>
      </c>
    </row>
    <row r="297" spans="1:42" ht="14">
      <c r="A297">
        <f t="shared" si="106"/>
        <v>139</v>
      </c>
      <c r="B297" s="19">
        <f t="shared" si="106"/>
        <v>219</v>
      </c>
      <c r="C297" s="26">
        <f t="shared" si="103"/>
        <v>161.79484575004849</v>
      </c>
      <c r="D297" s="26"/>
      <c r="E297" s="26"/>
      <c r="F297" s="26"/>
      <c r="G297" s="26"/>
      <c r="H297" s="26"/>
      <c r="I297" s="126"/>
      <c r="J297" s="26"/>
      <c r="K297" s="26"/>
      <c r="L297" s="26"/>
      <c r="M297" s="83">
        <f>C$158*(0.4*D$14)*('Product half-life and C flows'!B158/100)</f>
        <v>0.27635413397913033</v>
      </c>
      <c r="N297" s="85"/>
      <c r="O297" s="85">
        <f t="shared" si="107"/>
        <v>-2.5626287775264589</v>
      </c>
      <c r="P297" s="85">
        <f t="shared" si="107"/>
        <v>12.300618132127003</v>
      </c>
      <c r="Q297" s="83">
        <f>C$158*(0.6*C$15)*('Product half-life and C flows'!L158/100)</f>
        <v>4.5178181835543993</v>
      </c>
      <c r="R297" s="85">
        <f>C$158*0.6*('Product half-life and C flows'!N158/100)</f>
        <v>22.637023395214555</v>
      </c>
      <c r="S297" s="85">
        <f>C$158*0.6*('Product half-life and C flows'!P158/100)</f>
        <v>11.307204493114153</v>
      </c>
      <c r="T297" s="85">
        <f t="shared" si="77"/>
        <v>11.038827979547648</v>
      </c>
      <c r="U297" s="3"/>
      <c r="V297" s="90">
        <f>N$238*(0.4*V$40)*('Product half-life and C flows'!B77/100)</f>
        <v>5.2473497628560981</v>
      </c>
      <c r="W297" s="90">
        <f t="shared" si="74"/>
        <v>81.341567389573953</v>
      </c>
      <c r="X297" s="89">
        <f t="shared" si="108"/>
        <v>-2.9375702681265485</v>
      </c>
      <c r="Y297" s="89">
        <f t="shared" si="108"/>
        <v>14.100337287007433</v>
      </c>
      <c r="Z297" s="91">
        <f>N$238*(0.6*Z$41)*('Product half-life and C flows'!L77/100)</f>
        <v>18.033719336961802</v>
      </c>
      <c r="AA297" s="91">
        <f>N$238*0.6*('Product half-life and C flows'!N77/100)</f>
        <v>17.37057634641425</v>
      </c>
      <c r="AB297" s="91">
        <f>N$238*0.6*('Product half-life and C flows'!P77/100)</f>
        <v>8.6766115616454744</v>
      </c>
      <c r="AC297" s="89">
        <f t="shared" si="79"/>
        <v>25.116225792481988</v>
      </c>
      <c r="AD297" s="17"/>
      <c r="AE297">
        <f t="shared" si="90"/>
        <v>139</v>
      </c>
      <c r="AF297" s="3">
        <f t="shared" si="105"/>
        <v>39.184062822276211</v>
      </c>
      <c r="AG297" s="113">
        <f t="shared" si="91"/>
        <v>161.79484575004849</v>
      </c>
      <c r="AH297" s="124">
        <f t="shared" si="109"/>
        <v>5.5237038968352286</v>
      </c>
      <c r="AI297" s="124">
        <f t="shared" si="109"/>
        <v>81.341567389573953</v>
      </c>
      <c r="AJ297" s="124">
        <f t="shared" si="109"/>
        <v>-5.500199045653007</v>
      </c>
      <c r="AK297" s="124">
        <f t="shared" si="109"/>
        <v>26.400955419134434</v>
      </c>
      <c r="AL297" s="124">
        <f t="shared" si="109"/>
        <v>22.551537520516202</v>
      </c>
      <c r="AM297" s="124">
        <f t="shared" si="110"/>
        <v>40.007599741628809</v>
      </c>
      <c r="AN297" s="124">
        <f t="shared" si="110"/>
        <v>19.983816054759629</v>
      </c>
      <c r="AO297" s="124">
        <f t="shared" si="110"/>
        <v>36.155053772029632</v>
      </c>
      <c r="AP297" s="3">
        <f t="shared" si="104"/>
        <v>184.78527707996005</v>
      </c>
    </row>
    <row r="298" spans="1:42" ht="14">
      <c r="A298">
        <f t="shared" si="106"/>
        <v>140</v>
      </c>
      <c r="B298" s="19">
        <f t="shared" si="106"/>
        <v>220</v>
      </c>
      <c r="C298" s="26">
        <f t="shared" si="103"/>
        <v>161.91678780756789</v>
      </c>
      <c r="D298" s="26"/>
      <c r="E298" s="26"/>
      <c r="F298" s="26"/>
      <c r="G298" s="26"/>
      <c r="H298" s="26"/>
      <c r="I298" s="126"/>
      <c r="J298" s="26"/>
      <c r="K298" s="26"/>
      <c r="L298" s="26"/>
      <c r="M298" s="83">
        <f>C$158*(0.4*D$14)*('Product half-life and C flows'!B159/100)</f>
        <v>0.26694049765900613</v>
      </c>
      <c r="N298" s="85"/>
      <c r="O298" s="85">
        <f t="shared" si="107"/>
        <v>-2.5626287775264589</v>
      </c>
      <c r="P298" s="85">
        <f t="shared" si="107"/>
        <v>12.300618132127003</v>
      </c>
      <c r="Q298" s="83">
        <f>C$158*(0.6*C$15)*('Product half-life and C flows'!L159/100)</f>
        <v>4.4487622164214518</v>
      </c>
      <c r="R298" s="85">
        <f>C$158*0.6*('Product half-life and C flows'!N159/100)</f>
        <v>22.683106743947942</v>
      </c>
      <c r="S298" s="85">
        <f>C$158*0.6*('Product half-life and C flows'!P159/100)</f>
        <v>11.330223148825137</v>
      </c>
      <c r="T298" s="85">
        <f t="shared" si="77"/>
        <v>11.038827979547648</v>
      </c>
      <c r="U298" s="3"/>
      <c r="V298" s="90">
        <f>N$238*(0.4*V$40)*('Product half-life and C flows'!B78/100)</f>
        <v>5.0686057665178756</v>
      </c>
      <c r="W298" s="90">
        <f t="shared" si="74"/>
        <v>82.388824727217184</v>
      </c>
      <c r="X298" s="89">
        <f t="shared" si="108"/>
        <v>-2.9375702681265485</v>
      </c>
      <c r="Y298" s="89">
        <f t="shared" si="108"/>
        <v>14.100337287007433</v>
      </c>
      <c r="Z298" s="91">
        <f>N$238*(0.6*Z$41)*('Product half-life and C flows'!L78/100)</f>
        <v>17.758069481385217</v>
      </c>
      <c r="AA298" s="91">
        <f>N$238*0.6*('Product half-life and C flows'!N78/100)</f>
        <v>17.554526683369023</v>
      </c>
      <c r="AB298" s="91">
        <f>N$238*0.6*('Product half-life and C flows'!P78/100)</f>
        <v>8.7684948468376707</v>
      </c>
      <c r="AC298" s="89">
        <f t="shared" si="79"/>
        <v>25.116225792481988</v>
      </c>
      <c r="AD298" s="17"/>
      <c r="AE298">
        <f t="shared" si="90"/>
        <v>140</v>
      </c>
      <c r="AF298" s="3">
        <f t="shared" si="105"/>
        <v>39.201874177822951</v>
      </c>
      <c r="AG298" s="113">
        <f t="shared" si="91"/>
        <v>161.91678780756789</v>
      </c>
      <c r="AH298" s="124">
        <f t="shared" si="109"/>
        <v>5.335546264176882</v>
      </c>
      <c r="AI298" s="124">
        <f t="shared" si="109"/>
        <v>82.388824727217184</v>
      </c>
      <c r="AJ298" s="124">
        <f t="shared" si="109"/>
        <v>-5.500199045653007</v>
      </c>
      <c r="AK298" s="124">
        <f t="shared" si="109"/>
        <v>26.400955419134434</v>
      </c>
      <c r="AL298" s="124">
        <f t="shared" si="109"/>
        <v>22.20683169780667</v>
      </c>
      <c r="AM298" s="124">
        <f t="shared" si="110"/>
        <v>40.237633427316965</v>
      </c>
      <c r="AN298" s="124">
        <f t="shared" si="110"/>
        <v>20.09871799566281</v>
      </c>
      <c r="AO298" s="124">
        <f t="shared" si="110"/>
        <v>36.155053772029632</v>
      </c>
      <c r="AP298" s="3">
        <f t="shared" si="104"/>
        <v>185.83276422148504</v>
      </c>
    </row>
    <row r="299" spans="1:42" ht="14">
      <c r="A299">
        <f t="shared" si="106"/>
        <v>141</v>
      </c>
      <c r="B299" s="19">
        <f t="shared" si="106"/>
        <v>221</v>
      </c>
      <c r="C299" s="26">
        <f t="shared" si="103"/>
        <v>162.03637469814757</v>
      </c>
      <c r="D299" s="26"/>
      <c r="E299" s="26"/>
      <c r="F299" s="26"/>
      <c r="G299" s="26"/>
      <c r="H299" s="26"/>
      <c r="I299" s="126"/>
      <c r="J299" s="26"/>
      <c r="K299" s="26"/>
      <c r="L299" s="26"/>
      <c r="M299" s="83">
        <f>C$158*(0.4*D$14)*('Product half-life and C flows'!B160/100)</f>
        <v>0.25784752435011188</v>
      </c>
      <c r="N299" s="85"/>
      <c r="O299" s="85">
        <f t="shared" si="107"/>
        <v>-2.5626287775264589</v>
      </c>
      <c r="P299" s="85">
        <f t="shared" si="107"/>
        <v>12.300618132127003</v>
      </c>
      <c r="Q299" s="83">
        <f>C$158*(0.6*C$15)*('Product half-life and C flows'!L160/100)</f>
        <v>4.380761786807482</v>
      </c>
      <c r="R299" s="85">
        <f>C$158*0.6*('Product half-life and C flows'!N160/100)</f>
        <v>22.72848569731033</v>
      </c>
      <c r="S299" s="85">
        <f>C$158*0.6*('Product half-life and C flows'!P160/100)</f>
        <v>11.352889958696458</v>
      </c>
      <c r="T299" s="85">
        <f t="shared" si="77"/>
        <v>11.038827979547648</v>
      </c>
      <c r="U299" s="3"/>
      <c r="V299" s="90">
        <f>N$238*(0.4*V$40)*('Product half-life and C flows'!B79/100)</f>
        <v>4.8959504468775812</v>
      </c>
      <c r="W299" s="90">
        <f t="shared" si="74"/>
        <v>83.403448969491279</v>
      </c>
      <c r="X299" s="89">
        <f t="shared" si="108"/>
        <v>-2.9375702681265485</v>
      </c>
      <c r="Y299" s="89">
        <f t="shared" si="108"/>
        <v>14.100337287007433</v>
      </c>
      <c r="Z299" s="91">
        <f>N$238*(0.6*Z$41)*('Product half-life and C flows'!L79/100)</f>
        <v>17.486633001954708</v>
      </c>
      <c r="AA299" s="91">
        <f>N$238*0.6*('Product half-life and C flows'!N79/100)</f>
        <v>17.73566529397565</v>
      </c>
      <c r="AB299" s="91">
        <f>N$238*0.6*('Product half-life and C flows'!P79/100)</f>
        <v>8.8589736733145052</v>
      </c>
      <c r="AC299" s="89">
        <f t="shared" si="79"/>
        <v>25.116225792481988</v>
      </c>
      <c r="AD299" s="17"/>
      <c r="AE299">
        <f t="shared" si="90"/>
        <v>141</v>
      </c>
      <c r="AF299" s="3">
        <f t="shared" si="105"/>
        <v>39.218992223546429</v>
      </c>
      <c r="AG299" s="113">
        <f t="shared" si="91"/>
        <v>162.03637469814757</v>
      </c>
      <c r="AH299" s="124">
        <f t="shared" ref="AH299:AL318" si="111">D299+M299+V299</f>
        <v>5.1537979712276929</v>
      </c>
      <c r="AI299" s="124">
        <f t="shared" si="111"/>
        <v>83.403448969491279</v>
      </c>
      <c r="AJ299" s="124">
        <f t="shared" si="111"/>
        <v>-5.500199045653007</v>
      </c>
      <c r="AK299" s="124">
        <f t="shared" si="111"/>
        <v>26.400955419134434</v>
      </c>
      <c r="AL299" s="124">
        <f t="shared" si="111"/>
        <v>21.867394788762191</v>
      </c>
      <c r="AM299" s="124">
        <f t="shared" si="110"/>
        <v>40.464150991285976</v>
      </c>
      <c r="AN299" s="124">
        <f t="shared" si="110"/>
        <v>20.211863632010964</v>
      </c>
      <c r="AO299" s="124">
        <f t="shared" si="110"/>
        <v>36.155053772029632</v>
      </c>
      <c r="AP299" s="3">
        <f t="shared" si="104"/>
        <v>186.84761475503183</v>
      </c>
    </row>
    <row r="300" spans="1:42" ht="14">
      <c r="A300">
        <f t="shared" si="106"/>
        <v>142</v>
      </c>
      <c r="B300" s="19">
        <f t="shared" si="106"/>
        <v>222</v>
      </c>
      <c r="C300" s="26">
        <f t="shared" si="103"/>
        <v>162.15365074030461</v>
      </c>
      <c r="D300" s="26"/>
      <c r="E300" s="26"/>
      <c r="F300" s="26"/>
      <c r="G300" s="26"/>
      <c r="H300" s="26"/>
      <c r="I300" s="126"/>
      <c r="J300" s="26"/>
      <c r="K300" s="26"/>
      <c r="L300" s="26"/>
      <c r="M300" s="83">
        <f>C$158*(0.4*D$14)*('Product half-life and C flows'!B161/100)</f>
        <v>0.24906429109310668</v>
      </c>
      <c r="N300" s="85"/>
      <c r="O300" s="85">
        <f t="shared" si="107"/>
        <v>-2.5626287775264589</v>
      </c>
      <c r="P300" s="85">
        <f t="shared" si="107"/>
        <v>12.300618132127003</v>
      </c>
      <c r="Q300" s="83">
        <f>C$158*(0.6*C$15)*('Product half-life and C flows'!L161/100)</f>
        <v>4.3138007605607269</v>
      </c>
      <c r="R300" s="85">
        <f>C$158*0.6*('Product half-life and C flows'!N161/100)</f>
        <v>22.773171022158998</v>
      </c>
      <c r="S300" s="85">
        <f>C$158*0.6*('Product half-life and C flows'!P161/100)</f>
        <v>11.37521030077871</v>
      </c>
      <c r="T300" s="85">
        <f t="shared" si="77"/>
        <v>11.038827979547648</v>
      </c>
      <c r="U300" s="3"/>
      <c r="V300" s="90">
        <f>N$238*(0.4*V$40)*('Product half-life and C flows'!B80/100)</f>
        <v>4.7291764012548896</v>
      </c>
      <c r="W300" s="90">
        <f t="shared" si="74"/>
        <v>84.386103349369861</v>
      </c>
      <c r="X300" s="89">
        <f t="shared" si="108"/>
        <v>-2.9375702681265485</v>
      </c>
      <c r="Y300" s="89">
        <f t="shared" si="108"/>
        <v>14.100337287007433</v>
      </c>
      <c r="Z300" s="91">
        <f>N$238*(0.6*Z$41)*('Product half-life and C flows'!L80/100)</f>
        <v>17.219345496174906</v>
      </c>
      <c r="AA300" s="91">
        <f>N$238*0.6*('Product half-life and C flows'!N80/100)</f>
        <v>17.91403515616604</v>
      </c>
      <c r="AB300" s="91">
        <f>N$238*0.6*('Product half-life and C flows'!P80/100)</f>
        <v>8.9480695085744415</v>
      </c>
      <c r="AC300" s="89">
        <f t="shared" si="79"/>
        <v>25.116225792481988</v>
      </c>
      <c r="AD300" s="17"/>
      <c r="AE300">
        <f t="shared" si="90"/>
        <v>142</v>
      </c>
      <c r="AF300" s="3">
        <f t="shared" si="105"/>
        <v>39.235443754365264</v>
      </c>
      <c r="AG300" s="113">
        <f t="shared" si="91"/>
        <v>162.15365074030461</v>
      </c>
      <c r="AH300" s="124">
        <f t="shared" si="111"/>
        <v>4.9782406923479963</v>
      </c>
      <c r="AI300" s="124">
        <f t="shared" si="111"/>
        <v>84.386103349369861</v>
      </c>
      <c r="AJ300" s="124">
        <f t="shared" si="111"/>
        <v>-5.500199045653007</v>
      </c>
      <c r="AK300" s="124">
        <f t="shared" si="111"/>
        <v>26.400955419134434</v>
      </c>
      <c r="AL300" s="124">
        <f t="shared" si="111"/>
        <v>21.533146256735634</v>
      </c>
      <c r="AM300" s="124">
        <f t="shared" si="110"/>
        <v>40.687206178325042</v>
      </c>
      <c r="AN300" s="124">
        <f t="shared" si="110"/>
        <v>20.323279809353153</v>
      </c>
      <c r="AO300" s="124">
        <f t="shared" si="110"/>
        <v>36.155053772029632</v>
      </c>
      <c r="AP300" s="3">
        <f t="shared" si="104"/>
        <v>187.83049196726512</v>
      </c>
    </row>
    <row r="301" spans="1:42" ht="14">
      <c r="A301">
        <f t="shared" si="106"/>
        <v>143</v>
      </c>
      <c r="B301" s="19">
        <f t="shared" si="106"/>
        <v>223</v>
      </c>
      <c r="C301" s="26">
        <f t="shared" si="103"/>
        <v>162.26865946501934</v>
      </c>
      <c r="D301" s="26"/>
      <c r="E301" s="26"/>
      <c r="F301" s="26"/>
      <c r="G301" s="26"/>
      <c r="H301" s="26"/>
      <c r="I301" s="126"/>
      <c r="J301" s="26"/>
      <c r="K301" s="26"/>
      <c r="L301" s="26"/>
      <c r="M301" s="83">
        <f>C$158*(0.4*D$14)*('Product half-life and C flows'!B162/100)</f>
        <v>0.24058024700474451</v>
      </c>
      <c r="N301" s="85"/>
      <c r="O301" s="85">
        <f t="shared" si="107"/>
        <v>-2.5626287775264589</v>
      </c>
      <c r="P301" s="85">
        <f t="shared" si="107"/>
        <v>12.300618132127003</v>
      </c>
      <c r="Q301" s="83">
        <f>C$158*(0.6*C$15)*('Product half-life and C flows'!L162/100)</f>
        <v>4.2478632501439186</v>
      </c>
      <c r="R301" s="85">
        <f>C$158*0.6*('Product half-life and C flows'!N162/100)</f>
        <v>22.817173320777147</v>
      </c>
      <c r="S301" s="85">
        <f>C$158*0.6*('Product half-life and C flows'!P162/100)</f>
        <v>11.397189470917647</v>
      </c>
      <c r="T301" s="85">
        <f t="shared" si="77"/>
        <v>11.038827979547648</v>
      </c>
      <c r="U301" s="3"/>
      <c r="V301" s="90">
        <f>N$238*(0.4*V$40)*('Product half-life and C flows'!B81/100)</f>
        <v>4.5680832918661594</v>
      </c>
      <c r="W301" s="90">
        <f t="shared" si="74"/>
        <v>85.337468879830681</v>
      </c>
      <c r="X301" s="89">
        <f t="shared" si="108"/>
        <v>-2.9375702681265485</v>
      </c>
      <c r="Y301" s="89">
        <f t="shared" si="108"/>
        <v>14.100337287007433</v>
      </c>
      <c r="Z301" s="91">
        <f>N$238*(0.6*Z$41)*('Product half-life and C flows'!L81/100)</f>
        <v>16.956143545958479</v>
      </c>
      <c r="AA301" s="91">
        <f>N$238*0.6*('Product half-life and C flows'!N81/100)</f>
        <v>18.089678590943798</v>
      </c>
      <c r="AB301" s="91">
        <f>N$238*0.6*('Product half-life and C flows'!P81/100)</f>
        <v>9.0358034919799159</v>
      </c>
      <c r="AC301" s="89">
        <f t="shared" si="79"/>
        <v>25.116225792481988</v>
      </c>
      <c r="AD301" s="17"/>
      <c r="AE301">
        <f t="shared" si="90"/>
        <v>143</v>
      </c>
      <c r="AF301" s="3">
        <f t="shared" si="105"/>
        <v>39.251254544473035</v>
      </c>
      <c r="AG301" s="113">
        <f t="shared" si="91"/>
        <v>162.26865946501934</v>
      </c>
      <c r="AH301" s="124">
        <f t="shared" si="111"/>
        <v>4.8086635388709036</v>
      </c>
      <c r="AI301" s="124">
        <f t="shared" si="111"/>
        <v>85.337468879830681</v>
      </c>
      <c r="AJ301" s="124">
        <f t="shared" si="111"/>
        <v>-5.500199045653007</v>
      </c>
      <c r="AK301" s="124">
        <f t="shared" si="111"/>
        <v>26.400955419134434</v>
      </c>
      <c r="AL301" s="124">
        <f t="shared" si="111"/>
        <v>21.204006796102398</v>
      </c>
      <c r="AM301" s="124">
        <f t="shared" si="110"/>
        <v>40.906851911720949</v>
      </c>
      <c r="AN301" s="124">
        <f t="shared" si="110"/>
        <v>20.432992962897565</v>
      </c>
      <c r="AO301" s="124">
        <f t="shared" si="110"/>
        <v>36.155053772029632</v>
      </c>
      <c r="AP301" s="3">
        <f t="shared" si="104"/>
        <v>188.78207692403305</v>
      </c>
    </row>
    <row r="302" spans="1:42" ht="14">
      <c r="A302">
        <f t="shared" si="106"/>
        <v>144</v>
      </c>
      <c r="B302" s="19">
        <f t="shared" si="106"/>
        <v>224</v>
      </c>
      <c r="C302" s="26">
        <f t="shared" si="103"/>
        <v>162.38144362784706</v>
      </c>
      <c r="D302" s="26"/>
      <c r="E302" s="26"/>
      <c r="F302" s="26"/>
      <c r="G302" s="26"/>
      <c r="H302" s="26"/>
      <c r="I302" s="126"/>
      <c r="J302" s="26"/>
      <c r="K302" s="26"/>
      <c r="L302" s="26"/>
      <c r="M302" s="83">
        <f>C$158*(0.4*D$14)*('Product half-life and C flows'!B163/100)</f>
        <v>0.23238520060359558</v>
      </c>
      <c r="N302" s="85"/>
      <c r="O302" s="85">
        <f t="shared" si="107"/>
        <v>-2.5626287775264589</v>
      </c>
      <c r="P302" s="85">
        <f t="shared" si="107"/>
        <v>12.300618132127003</v>
      </c>
      <c r="Q302" s="83">
        <f>C$158*(0.6*C$15)*('Product half-life and C flows'!L163/100)</f>
        <v>4.182933610864719</v>
      </c>
      <c r="R302" s="85">
        <f>C$158*0.6*('Product half-life and C flows'!N163/100)</f>
        <v>22.860503033389467</v>
      </c>
      <c r="S302" s="85">
        <f>C$158*0.6*('Product half-life and C flows'!P163/100)</f>
        <v>11.418832684010715</v>
      </c>
      <c r="T302" s="85">
        <f t="shared" si="77"/>
        <v>11.038827979547648</v>
      </c>
      <c r="U302" s="3"/>
      <c r="V302" s="90">
        <f>N$238*(0.4*V$40)*('Product half-life and C flows'!B82/100)</f>
        <v>4.4124776051681218</v>
      </c>
      <c r="W302" s="90">
        <f t="shared" si="74"/>
        <v>86.258240697357081</v>
      </c>
      <c r="X302" s="89">
        <f t="shared" si="108"/>
        <v>-2.9375702681265485</v>
      </c>
      <c r="Y302" s="89">
        <f t="shared" si="108"/>
        <v>14.100337287007433</v>
      </c>
      <c r="Z302" s="91">
        <f>N$238*(0.6*Z$41)*('Product half-life and C flows'!L82/100)</f>
        <v>16.696964702579258</v>
      </c>
      <c r="AA302" s="91">
        <f>N$238*0.6*('Product half-life and C flows'!N82/100)</f>
        <v>18.262637272425536</v>
      </c>
      <c r="AB302" s="91">
        <f>N$238*0.6*('Product half-life and C flows'!P82/100)</f>
        <v>9.1221964397729902</v>
      </c>
      <c r="AC302" s="89">
        <f t="shared" si="79"/>
        <v>25.116225792481988</v>
      </c>
      <c r="AD302" s="17"/>
      <c r="AE302">
        <f t="shared" si="90"/>
        <v>144</v>
      </c>
      <c r="AF302" s="3">
        <f t="shared" si="105"/>
        <v>39.266449385070032</v>
      </c>
      <c r="AG302" s="113">
        <f t="shared" si="91"/>
        <v>162.38144362784706</v>
      </c>
      <c r="AH302" s="124">
        <f t="shared" si="111"/>
        <v>4.6448628057717176</v>
      </c>
      <c r="AI302" s="124">
        <f t="shared" si="111"/>
        <v>86.258240697357081</v>
      </c>
      <c r="AJ302" s="124">
        <f t="shared" si="111"/>
        <v>-5.500199045653007</v>
      </c>
      <c r="AK302" s="124">
        <f t="shared" si="111"/>
        <v>26.400955419134434</v>
      </c>
      <c r="AL302" s="124">
        <f t="shared" si="111"/>
        <v>20.879898313443977</v>
      </c>
      <c r="AM302" s="124">
        <f t="shared" si="110"/>
        <v>41.123140305814999</v>
      </c>
      <c r="AN302" s="124">
        <f t="shared" si="110"/>
        <v>20.541029123783705</v>
      </c>
      <c r="AO302" s="124">
        <f t="shared" si="110"/>
        <v>36.155053772029632</v>
      </c>
      <c r="AP302" s="3">
        <f t="shared" si="104"/>
        <v>189.70306481388118</v>
      </c>
    </row>
    <row r="303" spans="1:42" ht="14">
      <c r="A303">
        <f t="shared" si="106"/>
        <v>145</v>
      </c>
      <c r="B303" s="19">
        <f t="shared" si="106"/>
        <v>225</v>
      </c>
      <c r="C303" s="26">
        <f t="shared" si="103"/>
        <v>162.49204522092421</v>
      </c>
      <c r="D303" s="26"/>
      <c r="E303" s="26"/>
      <c r="F303" s="26"/>
      <c r="G303" s="26"/>
      <c r="H303" s="26"/>
      <c r="I303" s="126"/>
      <c r="J303" s="26"/>
      <c r="K303" s="26"/>
      <c r="L303" s="26"/>
      <c r="M303" s="83">
        <f>C$158*(0.4*D$14)*('Product half-life and C flows'!B164/100)</f>
        <v>0.2244693075675008</v>
      </c>
      <c r="N303" s="85"/>
      <c r="O303" s="85">
        <f t="shared" si="107"/>
        <v>-2.5626287775264589</v>
      </c>
      <c r="P303" s="85">
        <f t="shared" si="107"/>
        <v>12.300618132127003</v>
      </c>
      <c r="Q303" s="83">
        <f>C$158*(0.6*C$15)*('Product half-life and C flows'!L164/100)</f>
        <v>4.1189964371637808</v>
      </c>
      <c r="R303" s="85">
        <f>C$158*0.6*('Product half-life and C flows'!N164/100)</f>
        <v>22.903170440639229</v>
      </c>
      <c r="S303" s="85">
        <f>C$158*0.6*('Product half-life and C flows'!P164/100)</f>
        <v>11.440145075244361</v>
      </c>
      <c r="T303" s="85">
        <f t="shared" si="77"/>
        <v>11.038827979547648</v>
      </c>
      <c r="U303" s="3"/>
      <c r="V303" s="90">
        <f>N$238*(0.4*V$40)*('Product half-life and C flows'!B83/100)</f>
        <v>4.2621724193991897</v>
      </c>
      <c r="W303" s="90">
        <f t="shared" ref="W303:W318" si="112">C$8*(1-EXP(-C$9*$B142))^3</f>
        <v>87.149124730306028</v>
      </c>
      <c r="X303" s="89">
        <f t="shared" si="108"/>
        <v>-2.9375702681265485</v>
      </c>
      <c r="Y303" s="89">
        <f t="shared" si="108"/>
        <v>14.100337287007433</v>
      </c>
      <c r="Z303" s="91">
        <f>N$238*(0.6*Z$41)*('Product half-life and C flows'!L83/100)</f>
        <v>16.441747471855251</v>
      </c>
      <c r="AA303" s="91">
        <f>N$238*0.6*('Product half-life and C flows'!N83/100)</f>
        <v>18.432952237728689</v>
      </c>
      <c r="AB303" s="91">
        <f>N$238*0.6*('Product half-life and C flows'!P83/100)</f>
        <v>9.2072688500143265</v>
      </c>
      <c r="AC303" s="89">
        <f t="shared" si="79"/>
        <v>25.116225792481988</v>
      </c>
      <c r="AD303" s="17"/>
      <c r="AE303">
        <f t="shared" si="90"/>
        <v>145</v>
      </c>
      <c r="AF303" s="3">
        <f t="shared" si="105"/>
        <v>39.281052120790505</v>
      </c>
      <c r="AG303" s="113">
        <f t="shared" si="91"/>
        <v>162.49204522092421</v>
      </c>
      <c r="AH303" s="124">
        <f t="shared" si="111"/>
        <v>4.4866417269666901</v>
      </c>
      <c r="AI303" s="124">
        <f t="shared" si="111"/>
        <v>87.149124730306028</v>
      </c>
      <c r="AJ303" s="124">
        <f t="shared" si="111"/>
        <v>-5.500199045653007</v>
      </c>
      <c r="AK303" s="124">
        <f t="shared" si="111"/>
        <v>26.400955419134434</v>
      </c>
      <c r="AL303" s="124">
        <f t="shared" si="111"/>
        <v>20.560743909019031</v>
      </c>
      <c r="AM303" s="124">
        <f t="shared" si="110"/>
        <v>41.336122678367914</v>
      </c>
      <c r="AN303" s="124">
        <f t="shared" si="110"/>
        <v>20.647413925258689</v>
      </c>
      <c r="AO303" s="124">
        <f t="shared" si="110"/>
        <v>36.155053772029632</v>
      </c>
      <c r="AP303" s="3">
        <f t="shared" si="104"/>
        <v>190.59416161643307</v>
      </c>
    </row>
    <row r="304" spans="1:42" ht="14">
      <c r="A304">
        <f t="shared" ref="A304:B318" si="113">A303+1</f>
        <v>146</v>
      </c>
      <c r="B304" s="19">
        <f t="shared" si="113"/>
        <v>226</v>
      </c>
      <c r="C304" s="26">
        <f t="shared" si="103"/>
        <v>162.60050548486475</v>
      </c>
      <c r="D304" s="26"/>
      <c r="E304" s="26"/>
      <c r="F304" s="26"/>
      <c r="G304" s="26"/>
      <c r="H304" s="26"/>
      <c r="I304" s="126"/>
      <c r="J304" s="26"/>
      <c r="K304" s="26"/>
      <c r="L304" s="26"/>
      <c r="M304" s="83">
        <f>C$158*(0.4*D$14)*('Product half-life and C flows'!B165/100)</f>
        <v>0.21682305890805384</v>
      </c>
      <c r="N304" s="85"/>
      <c r="O304" s="85">
        <f t="shared" ref="O304:P318" si="114">O303</f>
        <v>-2.5626287775264589</v>
      </c>
      <c r="P304" s="85">
        <f t="shared" si="114"/>
        <v>12.300618132127003</v>
      </c>
      <c r="Q304" s="83">
        <f>C$158*(0.6*C$15)*('Product half-life and C flows'!L165/100)</f>
        <v>4.0560365589595353</v>
      </c>
      <c r="R304" s="85">
        <f>C$158*0.6*('Product half-life and C flows'!N165/100)</f>
        <v>22.945185666027527</v>
      </c>
      <c r="S304" s="85">
        <f>C$158*0.6*('Product half-life and C flows'!P165/100)</f>
        <v>11.461131701312441</v>
      </c>
      <c r="T304" s="85">
        <f t="shared" si="77"/>
        <v>11.038827979547648</v>
      </c>
      <c r="U304" s="3"/>
      <c r="V304" s="90">
        <f>N$238*(0.4*V$40)*('Product half-life and C flows'!B84/100)</f>
        <v>4.1169871800391808</v>
      </c>
      <c r="W304" s="90">
        <f t="shared" si="112"/>
        <v>88.010834670654972</v>
      </c>
      <c r="X304" s="89">
        <f t="shared" si="108"/>
        <v>-2.9375702681265485</v>
      </c>
      <c r="Y304" s="89">
        <f t="shared" si="108"/>
        <v>14.100337287007433</v>
      </c>
      <c r="Z304" s="91">
        <f>N$238*(0.6*Z$41)*('Product half-life and C flows'!L84/100)</f>
        <v>16.190431299558252</v>
      </c>
      <c r="AA304" s="91">
        <f>N$238*0.6*('Product half-life and C flows'!N84/100)</f>
        <v>18.600663896708216</v>
      </c>
      <c r="AB304" s="91">
        <f>N$238*0.6*('Product half-life and C flows'!P84/100)</f>
        <v>9.2910409074466589</v>
      </c>
      <c r="AC304" s="89">
        <f t="shared" si="79"/>
        <v>25.116225792481988</v>
      </c>
      <c r="AD304" s="17"/>
      <c r="AE304">
        <f t="shared" si="90"/>
        <v>146</v>
      </c>
      <c r="AF304" s="3">
        <f t="shared" si="105"/>
        <v>39.295085684863707</v>
      </c>
      <c r="AG304" s="113">
        <f t="shared" si="91"/>
        <v>162.60050548486475</v>
      </c>
      <c r="AH304" s="124">
        <f t="shared" si="111"/>
        <v>4.333810238947235</v>
      </c>
      <c r="AI304" s="124">
        <f t="shared" si="111"/>
        <v>88.010834670654972</v>
      </c>
      <c r="AJ304" s="124">
        <f t="shared" si="111"/>
        <v>-5.500199045653007</v>
      </c>
      <c r="AK304" s="124">
        <f t="shared" si="111"/>
        <v>26.400955419134434</v>
      </c>
      <c r="AL304" s="124">
        <f t="shared" si="111"/>
        <v>20.246467858517789</v>
      </c>
      <c r="AM304" s="124">
        <f t="shared" si="110"/>
        <v>41.545849562735739</v>
      </c>
      <c r="AN304" s="124">
        <f t="shared" si="110"/>
        <v>20.7521726087591</v>
      </c>
      <c r="AO304" s="124">
        <f t="shared" si="110"/>
        <v>36.155053772029632</v>
      </c>
      <c r="AP304" s="3">
        <f t="shared" si="104"/>
        <v>191.45608107414904</v>
      </c>
    </row>
    <row r="305" spans="1:42" ht="14">
      <c r="A305">
        <f t="shared" si="113"/>
        <v>147</v>
      </c>
      <c r="B305" s="19">
        <f t="shared" si="113"/>
        <v>227</v>
      </c>
      <c r="C305" s="26">
        <f t="shared" si="103"/>
        <v>162.70686492054548</v>
      </c>
      <c r="D305" s="26"/>
      <c r="E305" s="26"/>
      <c r="F305" s="26"/>
      <c r="G305" s="26"/>
      <c r="H305" s="26"/>
      <c r="I305" s="126"/>
      <c r="J305" s="26"/>
      <c r="K305" s="26"/>
      <c r="L305" s="26"/>
      <c r="M305" s="83">
        <f>C$158*(0.4*D$14)*('Product half-life and C flows'!B166/100)</f>
        <v>0.20943726954790118</v>
      </c>
      <c r="N305" s="85"/>
      <c r="O305" s="85">
        <f t="shared" si="114"/>
        <v>-2.5626287775264589</v>
      </c>
      <c r="P305" s="85">
        <f t="shared" si="114"/>
        <v>12.300618132127003</v>
      </c>
      <c r="Q305" s="83">
        <f>C$158*(0.6*C$15)*('Product half-life and C flows'!L166/100)</f>
        <v>3.9940390380488586</v>
      </c>
      <c r="R305" s="85">
        <f>C$158*0.6*('Product half-life and C flows'!N166/100)</f>
        <v>22.986558678315252</v>
      </c>
      <c r="S305" s="85">
        <f>C$158*0.6*('Product half-life and C flows'!P166/100)</f>
        <v>11.481797541616</v>
      </c>
      <c r="T305" s="85">
        <f t="shared" ref="T305:T318" si="115">T304</f>
        <v>11.038827979547648</v>
      </c>
      <c r="U305" s="3"/>
      <c r="V305" s="90">
        <f>N$238*(0.4*V$40)*('Product half-life and C flows'!B85/100)</f>
        <v>3.9767474829176983</v>
      </c>
      <c r="W305" s="90">
        <f t="shared" si="112"/>
        <v>88.84408922856835</v>
      </c>
      <c r="X305" s="89">
        <f t="shared" ref="X305:Y318" si="116">X304</f>
        <v>-2.9375702681265485</v>
      </c>
      <c r="Y305" s="89">
        <f t="shared" si="116"/>
        <v>14.100337287007433</v>
      </c>
      <c r="Z305" s="91">
        <f>N$238*(0.6*Z$41)*('Product half-life and C flows'!L85/100)</f>
        <v>15.942956557046386</v>
      </c>
      <c r="AA305" s="91">
        <f>N$238*0.6*('Product half-life and C flows'!N85/100)</f>
        <v>18.765812041544468</v>
      </c>
      <c r="AB305" s="91">
        <f>N$238*0.6*('Product half-life and C flows'!P85/100)</f>
        <v>9.3735324882839475</v>
      </c>
      <c r="AC305" s="89">
        <f t="shared" ref="AC305:AC318" si="117">AC304</f>
        <v>25.116225792481988</v>
      </c>
      <c r="AD305" s="17"/>
      <c r="AE305">
        <f t="shared" si="90"/>
        <v>147</v>
      </c>
      <c r="AF305" s="3">
        <f t="shared" si="105"/>
        <v>39.308572133045466</v>
      </c>
      <c r="AG305" s="113">
        <f t="shared" si="91"/>
        <v>162.70686492054548</v>
      </c>
      <c r="AH305" s="124">
        <f t="shared" si="111"/>
        <v>4.1861847524655991</v>
      </c>
      <c r="AI305" s="124">
        <f t="shared" si="111"/>
        <v>88.84408922856835</v>
      </c>
      <c r="AJ305" s="124">
        <f t="shared" si="111"/>
        <v>-5.500199045653007</v>
      </c>
      <c r="AK305" s="124">
        <f t="shared" si="111"/>
        <v>26.400955419134434</v>
      </c>
      <c r="AL305" s="124">
        <f t="shared" si="111"/>
        <v>19.936995595095244</v>
      </c>
      <c r="AM305" s="124">
        <f t="shared" si="110"/>
        <v>41.752370719859719</v>
      </c>
      <c r="AN305" s="124">
        <f t="shared" si="110"/>
        <v>20.855330029899946</v>
      </c>
      <c r="AO305" s="124">
        <f t="shared" si="110"/>
        <v>36.155053772029632</v>
      </c>
      <c r="AP305" s="3">
        <f t="shared" si="104"/>
        <v>192.28954194690471</v>
      </c>
    </row>
    <row r="306" spans="1:42" ht="14">
      <c r="A306">
        <f t="shared" si="113"/>
        <v>148</v>
      </c>
      <c r="B306" s="19">
        <f t="shared" si="113"/>
        <v>228</v>
      </c>
      <c r="C306" s="26">
        <f t="shared" si="103"/>
        <v>162.81116330077649</v>
      </c>
      <c r="D306" s="26"/>
      <c r="E306" s="26"/>
      <c r="F306" s="26"/>
      <c r="G306" s="26"/>
      <c r="H306" s="26"/>
      <c r="I306" s="126"/>
      <c r="J306" s="26"/>
      <c r="K306" s="26"/>
      <c r="L306" s="26"/>
      <c r="M306" s="83">
        <f>C$158*(0.4*D$14)*('Product half-life and C flows'!B167/100)</f>
        <v>0.20230306728714287</v>
      </c>
      <c r="N306" s="85"/>
      <c r="O306" s="85">
        <f t="shared" si="114"/>
        <v>-2.5626287775264589</v>
      </c>
      <c r="P306" s="85">
        <f t="shared" si="114"/>
        <v>12.300618132127003</v>
      </c>
      <c r="Q306" s="83">
        <f>C$158*(0.6*C$15)*('Product half-life and C flows'!L167/100)</f>
        <v>3.9329891645627564</v>
      </c>
      <c r="R306" s="85">
        <f>C$158*0.6*('Product half-life and C flows'!N167/100)</f>
        <v>23.027299293888309</v>
      </c>
      <c r="S306" s="85">
        <f>C$158*0.6*('Product half-life and C flows'!P167/100)</f>
        <v>11.502147499444701</v>
      </c>
      <c r="T306" s="85">
        <f t="shared" si="115"/>
        <v>11.038827979547648</v>
      </c>
      <c r="U306" s="3"/>
      <c r="V306" s="90">
        <f>N$238*(0.4*V$40)*('Product half-life and C flows'!B86/100)</f>
        <v>3.8412848647106412</v>
      </c>
      <c r="W306" s="90">
        <f t="shared" si="112"/>
        <v>89.649609650172877</v>
      </c>
      <c r="X306" s="89">
        <f t="shared" si="116"/>
        <v>-2.9375702681265485</v>
      </c>
      <c r="Y306" s="89">
        <f t="shared" si="116"/>
        <v>14.100337287007433</v>
      </c>
      <c r="Z306" s="91">
        <f>N$238*(0.6*Z$41)*('Product half-life and C flows'!L86/100)</f>
        <v>15.699264527116307</v>
      </c>
      <c r="AA306" s="91">
        <f>N$238*0.6*('Product half-life and C flows'!N86/100)</f>
        <v>18.928435856184475</v>
      </c>
      <c r="AB306" s="91">
        <f>N$238*0.6*('Product half-life and C flows'!P86/100)</f>
        <v>9.4547631649273089</v>
      </c>
      <c r="AC306" s="89">
        <f t="shared" si="117"/>
        <v>25.116225792481988</v>
      </c>
      <c r="AD306" s="17"/>
      <c r="AE306">
        <f t="shared" si="90"/>
        <v>148</v>
      </c>
      <c r="AF306" s="3">
        <f t="shared" si="105"/>
        <v>39.321532676357542</v>
      </c>
      <c r="AG306" s="113">
        <f t="shared" si="91"/>
        <v>162.81116330077649</v>
      </c>
      <c r="AH306" s="124">
        <f t="shared" si="111"/>
        <v>4.0435879319977843</v>
      </c>
      <c r="AI306" s="124">
        <f t="shared" si="111"/>
        <v>89.649609650172877</v>
      </c>
      <c r="AJ306" s="124">
        <f t="shared" si="111"/>
        <v>-5.500199045653007</v>
      </c>
      <c r="AK306" s="124">
        <f t="shared" si="111"/>
        <v>26.400955419134434</v>
      </c>
      <c r="AL306" s="124">
        <f t="shared" si="111"/>
        <v>19.632253691679065</v>
      </c>
      <c r="AM306" s="124">
        <f t="shared" si="110"/>
        <v>41.955735150072783</v>
      </c>
      <c r="AN306" s="124">
        <f t="shared" si="110"/>
        <v>20.95691066437201</v>
      </c>
      <c r="AO306" s="124">
        <f t="shared" si="110"/>
        <v>36.155053772029632</v>
      </c>
      <c r="AP306" s="3">
        <f t="shared" si="104"/>
        <v>193.09526552977815</v>
      </c>
    </row>
    <row r="307" spans="1:42" ht="14">
      <c r="A307">
        <f t="shared" si="113"/>
        <v>149</v>
      </c>
      <c r="B307" s="19">
        <f t="shared" si="113"/>
        <v>229</v>
      </c>
      <c r="C307" s="26">
        <f t="shared" si="103"/>
        <v>162.91343968185561</v>
      </c>
      <c r="D307" s="26"/>
      <c r="E307" s="26"/>
      <c r="F307" s="26"/>
      <c r="G307" s="26"/>
      <c r="H307" s="26"/>
      <c r="I307" s="126"/>
      <c r="J307" s="26"/>
      <c r="K307" s="26"/>
      <c r="L307" s="26"/>
      <c r="M307" s="83">
        <f>C$158*(0.4*D$14)*('Product half-life and C flows'!B168/100)</f>
        <v>0.19541188214557875</v>
      </c>
      <c r="N307" s="85"/>
      <c r="O307" s="85">
        <f t="shared" si="114"/>
        <v>-2.5626287775264589</v>
      </c>
      <c r="P307" s="85">
        <f t="shared" si="114"/>
        <v>12.300618132127003</v>
      </c>
      <c r="Q307" s="83">
        <f>C$158*(0.6*C$15)*('Product half-life and C flows'!L168/100)</f>
        <v>3.87287245347621</v>
      </c>
      <c r="R307" s="85">
        <f>C$158*0.6*('Product half-life and C flows'!N168/100)</f>
        <v>23.067417179086732</v>
      </c>
      <c r="S307" s="85">
        <f>C$158*0.6*('Product half-life and C flows'!P168/100)</f>
        <v>11.522186403140216</v>
      </c>
      <c r="T307" s="85">
        <f t="shared" si="115"/>
        <v>11.038827979547648</v>
      </c>
      <c r="U307" s="3"/>
      <c r="V307" s="90">
        <f>N$238*(0.4*V$40)*('Product half-life and C flows'!B87/100)</f>
        <v>3.7104366005731686</v>
      </c>
      <c r="W307" s="90">
        <f t="shared" si="112"/>
        <v>90.428117479893075</v>
      </c>
      <c r="X307" s="89">
        <f t="shared" si="116"/>
        <v>-2.9375702681265485</v>
      </c>
      <c r="Y307" s="89">
        <f t="shared" si="116"/>
        <v>14.100337287007433</v>
      </c>
      <c r="Z307" s="91">
        <f>N$238*(0.6*Z$41)*('Product half-life and C flows'!L87/100)</f>
        <v>15.459297390071617</v>
      </c>
      <c r="AA307" s="91">
        <f>N$238*0.6*('Product half-life and C flows'!N87/100)</f>
        <v>19.088573925638968</v>
      </c>
      <c r="AB307" s="91">
        <f>N$238*0.6*('Product half-life and C flows'!P87/100)</f>
        <v>9.5347522106088718</v>
      </c>
      <c r="AC307" s="89">
        <f t="shared" si="117"/>
        <v>25.116225792481988</v>
      </c>
      <c r="AD307" s="17"/>
      <c r="AE307">
        <f t="shared" si="90"/>
        <v>149</v>
      </c>
      <c r="AF307" s="3">
        <f t="shared" si="105"/>
        <v>39.333987712670748</v>
      </c>
      <c r="AG307" s="113">
        <f t="shared" si="91"/>
        <v>162.91343968185561</v>
      </c>
      <c r="AH307" s="124">
        <f t="shared" si="111"/>
        <v>3.9058484827187474</v>
      </c>
      <c r="AI307" s="124">
        <f t="shared" si="111"/>
        <v>90.428117479893075</v>
      </c>
      <c r="AJ307" s="124">
        <f t="shared" si="111"/>
        <v>-5.500199045653007</v>
      </c>
      <c r="AK307" s="124">
        <f t="shared" si="111"/>
        <v>26.400955419134434</v>
      </c>
      <c r="AL307" s="124">
        <f t="shared" si="111"/>
        <v>19.332169843547828</v>
      </c>
      <c r="AM307" s="124">
        <f t="shared" si="110"/>
        <v>42.1559911047257</v>
      </c>
      <c r="AN307" s="124">
        <f t="shared" si="110"/>
        <v>21.056938613749089</v>
      </c>
      <c r="AO307" s="124">
        <f t="shared" si="110"/>
        <v>36.155053772029632</v>
      </c>
      <c r="AP307" s="3">
        <f t="shared" si="104"/>
        <v>193.8739734153971</v>
      </c>
    </row>
    <row r="308" spans="1:42" ht="14">
      <c r="A308">
        <f t="shared" si="113"/>
        <v>150</v>
      </c>
      <c r="B308" s="19">
        <f t="shared" si="113"/>
        <v>230</v>
      </c>
      <c r="C308" s="26">
        <f t="shared" si="103"/>
        <v>163.01373241500369</v>
      </c>
      <c r="D308" s="26"/>
      <c r="E308" s="26"/>
      <c r="F308" s="26"/>
      <c r="G308" s="26"/>
      <c r="H308" s="26"/>
      <c r="I308" s="126"/>
      <c r="J308" s="26"/>
      <c r="K308" s="26"/>
      <c r="L308" s="26"/>
      <c r="M308" s="83">
        <f>C$158*(0.4*D$14)*('Product half-life and C flows'!B169/100)</f>
        <v>0.188755436067995</v>
      </c>
      <c r="N308" s="85"/>
      <c r="O308" s="85">
        <f t="shared" si="114"/>
        <v>-2.5626287775264589</v>
      </c>
      <c r="P308" s="85">
        <f t="shared" si="114"/>
        <v>12.300618132127003</v>
      </c>
      <c r="Q308" s="83">
        <f>C$158*(0.6*C$15)*('Product half-life and C flows'!L169/100)</f>
        <v>3.8136746411713891</v>
      </c>
      <c r="R308" s="85">
        <f>C$158*0.6*('Product half-life and C flows'!N169/100)</f>
        <v>23.10692185249815</v>
      </c>
      <c r="S308" s="85">
        <f>C$158*0.6*('Product half-life and C flows'!P169/100)</f>
        <v>11.541919007241825</v>
      </c>
      <c r="T308" s="85">
        <f t="shared" si="115"/>
        <v>11.038827979547648</v>
      </c>
      <c r="U308" s="3"/>
      <c r="V308" s="90">
        <f>N$238*(0.4*V$40)*('Product half-life and C flows'!B88/100)</f>
        <v>3.5840455086660308</v>
      </c>
      <c r="W308" s="90">
        <f t="shared" si="112"/>
        <v>91.18033254965907</v>
      </c>
      <c r="X308" s="89">
        <f t="shared" si="116"/>
        <v>-2.9375702681265485</v>
      </c>
      <c r="Y308" s="89">
        <f t="shared" si="116"/>
        <v>14.100337287007433</v>
      </c>
      <c r="Z308" s="91">
        <f>N$238*(0.6*Z$41)*('Product half-life and C flows'!L88/100)</f>
        <v>15.222998210004262</v>
      </c>
      <c r="AA308" s="91">
        <f>N$238*0.6*('Product half-life and C flows'!N88/100)</f>
        <v>19.246264245137247</v>
      </c>
      <c r="AB308" s="91">
        <f>N$238*0.6*('Product half-life and C flows'!P88/100)</f>
        <v>9.6135186039646552</v>
      </c>
      <c r="AC308" s="89">
        <f t="shared" si="117"/>
        <v>25.116225792481988</v>
      </c>
      <c r="AD308" s="17"/>
      <c r="AE308">
        <f t="shared" si="90"/>
        <v>150</v>
      </c>
      <c r="AF308" s="3">
        <f t="shared" si="105"/>
        <v>39.345956857167501</v>
      </c>
      <c r="AG308" s="113">
        <f t="shared" si="91"/>
        <v>163.01373241500369</v>
      </c>
      <c r="AH308" s="124">
        <f t="shared" si="111"/>
        <v>3.7728009447340258</v>
      </c>
      <c r="AI308" s="124">
        <f t="shared" si="111"/>
        <v>91.18033254965907</v>
      </c>
      <c r="AJ308" s="124">
        <f t="shared" si="111"/>
        <v>-5.500199045653007</v>
      </c>
      <c r="AK308" s="124">
        <f t="shared" si="111"/>
        <v>26.400955419134434</v>
      </c>
      <c r="AL308" s="124">
        <f t="shared" si="111"/>
        <v>19.036672851175652</v>
      </c>
      <c r="AM308" s="124">
        <f t="shared" si="110"/>
        <v>42.353186097635401</v>
      </c>
      <c r="AN308" s="124">
        <f t="shared" si="110"/>
        <v>21.15543761120648</v>
      </c>
      <c r="AO308" s="124">
        <f t="shared" si="110"/>
        <v>36.155053772029632</v>
      </c>
      <c r="AP308" s="3">
        <f t="shared" si="104"/>
        <v>194.626385483158</v>
      </c>
    </row>
    <row r="309" spans="1:42" ht="14">
      <c r="A309">
        <f t="shared" si="113"/>
        <v>151</v>
      </c>
      <c r="B309" s="19">
        <f t="shared" si="113"/>
        <v>231</v>
      </c>
      <c r="C309" s="26">
        <f t="shared" si="103"/>
        <v>163.11207915767986</v>
      </c>
      <c r="D309" s="26"/>
      <c r="E309" s="26"/>
      <c r="F309" s="26"/>
      <c r="G309" s="26"/>
      <c r="H309" s="26"/>
      <c r="I309" s="126"/>
      <c r="J309" s="26"/>
      <c r="K309" s="26"/>
      <c r="L309" s="26"/>
      <c r="M309" s="83">
        <f>C$158*(0.4*D$14)*('Product half-life and C flows'!B170/100)</f>
        <v>0.18232573298012753</v>
      </c>
      <c r="N309" s="85"/>
      <c r="O309" s="85">
        <f t="shared" si="114"/>
        <v>-2.5626287775264589</v>
      </c>
      <c r="P309" s="85">
        <f t="shared" si="114"/>
        <v>12.300618132127003</v>
      </c>
      <c r="Q309" s="83">
        <f>C$158*(0.6*C$15)*('Product half-life and C flows'!L170/100)</f>
        <v>3.7553816820533905</v>
      </c>
      <c r="R309" s="85">
        <f>C$158*0.6*('Product half-life and C flows'!N170/100)</f>
        <v>23.145822687216228</v>
      </c>
      <c r="S309" s="85">
        <f>C$158*0.6*('Product half-life and C flows'!P170/100)</f>
        <v>11.56134999361449</v>
      </c>
      <c r="T309" s="85">
        <f t="shared" si="115"/>
        <v>11.038827979547648</v>
      </c>
      <c r="U309" s="3"/>
      <c r="V309" s="90">
        <f>N$238*(0.4*V$40)*('Product half-life and C flows'!B89/100)</f>
        <v>3.4619597613404456</v>
      </c>
      <c r="W309" s="90">
        <f t="shared" si="112"/>
        <v>91.906971178250416</v>
      </c>
      <c r="X309" s="89">
        <f t="shared" si="116"/>
        <v>-2.9375702681265485</v>
      </c>
      <c r="Y309" s="89">
        <f t="shared" si="116"/>
        <v>14.100337287007433</v>
      </c>
      <c r="Z309" s="91">
        <f>N$238*(0.6*Z$41)*('Product half-life and C flows'!L89/100)</f>
        <v>14.990310921285639</v>
      </c>
      <c r="AA309" s="91">
        <f>N$238*0.6*('Product half-life and C flows'!N89/100)</f>
        <v>19.401544229142143</v>
      </c>
      <c r="AB309" s="91">
        <f>N$238*0.6*('Product half-life and C flows'!P89/100)</f>
        <v>9.6910810335375288</v>
      </c>
      <c r="AC309" s="89">
        <f t="shared" si="117"/>
        <v>25.116225792481988</v>
      </c>
      <c r="AD309" s="17"/>
      <c r="AE309">
        <f t="shared" si="90"/>
        <v>151</v>
      </c>
      <c r="AF309" s="3">
        <f t="shared" si="105"/>
        <v>39.357458971718664</v>
      </c>
      <c r="AG309" s="113">
        <f t="shared" si="91"/>
        <v>163.11207915767986</v>
      </c>
      <c r="AH309" s="124">
        <f t="shared" si="111"/>
        <v>3.6442854943205729</v>
      </c>
      <c r="AI309" s="124">
        <f t="shared" si="111"/>
        <v>91.906971178250416</v>
      </c>
      <c r="AJ309" s="124">
        <f t="shared" si="111"/>
        <v>-5.500199045653007</v>
      </c>
      <c r="AK309" s="124">
        <f t="shared" si="111"/>
        <v>26.400955419134434</v>
      </c>
      <c r="AL309" s="124">
        <f t="shared" si="111"/>
        <v>18.74569260333903</v>
      </c>
      <c r="AM309" s="124">
        <f t="shared" si="110"/>
        <v>42.547366916358371</v>
      </c>
      <c r="AN309" s="124">
        <f t="shared" si="110"/>
        <v>21.252431027152021</v>
      </c>
      <c r="AO309" s="124">
        <f t="shared" si="110"/>
        <v>36.155053772029632</v>
      </c>
      <c r="AP309" s="3">
        <f t="shared" si="104"/>
        <v>195.35321809858127</v>
      </c>
    </row>
    <row r="310" spans="1:42" ht="14">
      <c r="A310">
        <f t="shared" si="113"/>
        <v>152</v>
      </c>
      <c r="B310" s="19">
        <f t="shared" si="113"/>
        <v>232</v>
      </c>
      <c r="C310" s="26">
        <f t="shared" si="103"/>
        <v>163.2085168847747</v>
      </c>
      <c r="D310" s="26"/>
      <c r="E310" s="26"/>
      <c r="F310" s="26"/>
      <c r="G310" s="26"/>
      <c r="H310" s="26"/>
      <c r="I310" s="126"/>
      <c r="J310" s="26"/>
      <c r="K310" s="26"/>
      <c r="L310" s="26"/>
      <c r="M310" s="83">
        <f>C$158*(0.4*D$14)*('Product half-life and C flows'!B171/100)</f>
        <v>0.17611504918335597</v>
      </c>
      <c r="N310" s="85"/>
      <c r="O310" s="85">
        <f t="shared" si="114"/>
        <v>-2.5626287775264589</v>
      </c>
      <c r="P310" s="85">
        <f t="shared" si="114"/>
        <v>12.300618132127003</v>
      </c>
      <c r="Q310" s="83">
        <f>C$158*(0.6*C$15)*('Product half-life and C flows'!L171/100)</f>
        <v>3.6979797452176926</v>
      </c>
      <c r="R310" s="85">
        <f>C$158*0.6*('Product half-life and C flows'!N171/100)</f>
        <v>23.18412891306458</v>
      </c>
      <c r="S310" s="85">
        <f>C$158*0.6*('Product half-life and C flows'!P171/100)</f>
        <v>11.580483972559723</v>
      </c>
      <c r="T310" s="85">
        <f t="shared" si="115"/>
        <v>11.038827979547648</v>
      </c>
      <c r="U310" s="3"/>
      <c r="V310" s="90">
        <f>N$238*(0.4*V$40)*('Product half-life and C flows'!B90/100)</f>
        <v>3.3440327027547245</v>
      </c>
      <c r="W310" s="90">
        <f t="shared" si="112"/>
        <v>92.608744564975808</v>
      </c>
      <c r="X310" s="89">
        <f t="shared" si="116"/>
        <v>-2.9375702681265485</v>
      </c>
      <c r="Y310" s="89">
        <f t="shared" si="116"/>
        <v>14.100337287007433</v>
      </c>
      <c r="Z310" s="91">
        <f>N$238*(0.6*Z$41)*('Product half-life and C flows'!L90/100)</f>
        <v>14.761180315264097</v>
      </c>
      <c r="AA310" s="91">
        <f>N$238*0.6*('Product half-life and C flows'!N90/100)</f>
        <v>19.554450720227184</v>
      </c>
      <c r="AB310" s="91">
        <f>N$238*0.6*('Product half-life and C flows'!P90/100)</f>
        <v>9.7674579022113779</v>
      </c>
      <c r="AC310" s="89">
        <f t="shared" si="117"/>
        <v>25.116225792481988</v>
      </c>
      <c r="AD310" s="17"/>
      <c r="AE310">
        <f t="shared" si="90"/>
        <v>152</v>
      </c>
      <c r="AF310" s="3">
        <f t="shared" si="105"/>
        <v>39.36851219320917</v>
      </c>
      <c r="AG310" s="113">
        <f t="shared" si="91"/>
        <v>163.2085168847747</v>
      </c>
      <c r="AH310" s="124">
        <f t="shared" si="111"/>
        <v>3.5201477519380804</v>
      </c>
      <c r="AI310" s="124">
        <f t="shared" si="111"/>
        <v>92.608744564975808</v>
      </c>
      <c r="AJ310" s="124">
        <f t="shared" si="111"/>
        <v>-5.500199045653007</v>
      </c>
      <c r="AK310" s="124">
        <f t="shared" si="111"/>
        <v>26.400955419134434</v>
      </c>
      <c r="AL310" s="124">
        <f t="shared" si="111"/>
        <v>18.459160060481789</v>
      </c>
      <c r="AM310" s="124">
        <f t="shared" si="110"/>
        <v>42.738579633291764</v>
      </c>
      <c r="AN310" s="124">
        <f t="shared" si="110"/>
        <v>21.347941874771102</v>
      </c>
      <c r="AO310" s="124">
        <f t="shared" si="110"/>
        <v>36.155053772029632</v>
      </c>
      <c r="AP310" s="3">
        <f t="shared" si="104"/>
        <v>196.05518250700186</v>
      </c>
    </row>
    <row r="311" spans="1:42" ht="14">
      <c r="A311">
        <f t="shared" si="113"/>
        <v>153</v>
      </c>
      <c r="B311" s="19">
        <f t="shared" si="113"/>
        <v>233</v>
      </c>
      <c r="C311" s="26">
        <f t="shared" si="103"/>
        <v>163.3030818996792</v>
      </c>
      <c r="D311" s="26"/>
      <c r="E311" s="26"/>
      <c r="F311" s="26"/>
      <c r="G311" s="26"/>
      <c r="H311" s="26"/>
      <c r="I311" s="126"/>
      <c r="J311" s="26"/>
      <c r="K311" s="26"/>
      <c r="L311" s="26"/>
      <c r="M311" s="83">
        <f>C$158*(0.4*D$14)*('Product half-life and C flows'!B172/100)</f>
        <v>0.1701159240765894</v>
      </c>
      <c r="N311" s="85"/>
      <c r="O311" s="85">
        <f t="shared" si="114"/>
        <v>-2.5626287775264589</v>
      </c>
      <c r="P311" s="85">
        <f t="shared" si="114"/>
        <v>12.300618132127003</v>
      </c>
      <c r="Q311" s="83">
        <f>C$158*(0.6*C$15)*('Product half-life and C flows'!L172/100)</f>
        <v>3.6414552111685716</v>
      </c>
      <c r="R311" s="85">
        <f>C$158*0.6*('Product half-life and C flows'!N172/100)</f>
        <v>23.221849618786692</v>
      </c>
      <c r="S311" s="85">
        <f>C$158*0.6*('Product half-life and C flows'!P172/100)</f>
        <v>11.59932548390943</v>
      </c>
      <c r="T311" s="85">
        <f t="shared" si="115"/>
        <v>11.038827979547648</v>
      </c>
      <c r="U311" s="3"/>
      <c r="V311" s="90">
        <f>N$238*(0.4*V$40)*('Product half-life and C flows'!B91/100)</f>
        <v>3.2301226727035282</v>
      </c>
      <c r="W311" s="90">
        <f t="shared" si="112"/>
        <v>93.286357362803088</v>
      </c>
      <c r="X311" s="89">
        <f t="shared" si="116"/>
        <v>-2.9375702681265485</v>
      </c>
      <c r="Y311" s="89">
        <f t="shared" si="116"/>
        <v>14.100337287007433</v>
      </c>
      <c r="Z311" s="91">
        <f>N$238*(0.6*Z$41)*('Product half-life and C flows'!L91/100)</f>
        <v>14.535552027165874</v>
      </c>
      <c r="AA311" s="91">
        <f>N$238*0.6*('Product half-life and C flows'!N91/100)</f>
        <v>19.705019997818066</v>
      </c>
      <c r="AB311" s="91">
        <f>N$238*0.6*('Product half-life and C flows'!P91/100)</f>
        <v>9.8426673315774522</v>
      </c>
      <c r="AC311" s="89">
        <f t="shared" si="117"/>
        <v>25.116225792481988</v>
      </c>
      <c r="AD311" s="17"/>
      <c r="AE311">
        <f t="shared" si="90"/>
        <v>153</v>
      </c>
      <c r="AF311" s="3">
        <f t="shared" si="105"/>
        <v>39.3791339608456</v>
      </c>
      <c r="AG311" s="113">
        <f t="shared" si="91"/>
        <v>163.3030818996792</v>
      </c>
      <c r="AH311" s="124">
        <f t="shared" si="111"/>
        <v>3.4002385967801176</v>
      </c>
      <c r="AI311" s="124">
        <f t="shared" si="111"/>
        <v>93.286357362803088</v>
      </c>
      <c r="AJ311" s="124">
        <f t="shared" si="111"/>
        <v>-5.500199045653007</v>
      </c>
      <c r="AK311" s="124">
        <f t="shared" si="111"/>
        <v>26.400955419134434</v>
      </c>
      <c r="AL311" s="124">
        <f t="shared" si="111"/>
        <v>18.177007238334447</v>
      </c>
      <c r="AM311" s="124">
        <f t="shared" si="110"/>
        <v>42.926869616604762</v>
      </c>
      <c r="AN311" s="124">
        <f t="shared" si="110"/>
        <v>21.441992815486884</v>
      </c>
      <c r="AO311" s="124">
        <f t="shared" si="110"/>
        <v>36.155053772029632</v>
      </c>
      <c r="AP311" s="3">
        <f t="shared" si="104"/>
        <v>196.73298340671062</v>
      </c>
    </row>
    <row r="312" spans="1:42" ht="14">
      <c r="A312">
        <f t="shared" si="113"/>
        <v>154</v>
      </c>
      <c r="B312" s="19">
        <f t="shared" si="113"/>
        <v>234</v>
      </c>
      <c r="C312" s="26">
        <f t="shared" si="103"/>
        <v>163.39580984522976</v>
      </c>
      <c r="D312" s="26"/>
      <c r="E312" s="26"/>
      <c r="F312" s="26"/>
      <c r="G312" s="26"/>
      <c r="H312" s="26"/>
      <c r="I312" s="126"/>
      <c r="J312" s="26"/>
      <c r="K312" s="26"/>
      <c r="L312" s="26"/>
      <c r="M312" s="83">
        <f>C$158*(0.4*D$14)*('Product half-life and C flows'!B173/100)</f>
        <v>0.16432115119419857</v>
      </c>
      <c r="N312" s="85"/>
      <c r="O312" s="85">
        <f t="shared" si="114"/>
        <v>-2.5626287775264589</v>
      </c>
      <c r="P312" s="85">
        <f t="shared" si="114"/>
        <v>12.300618132127003</v>
      </c>
      <c r="Q312" s="83">
        <f>C$158*(0.6*C$15)*('Product half-life and C flows'!L173/100)</f>
        <v>3.5857946685876576</v>
      </c>
      <c r="R312" s="85">
        <f>C$158*0.6*('Product half-life and C flows'!N173/100)</f>
        <v>23.258993754202358</v>
      </c>
      <c r="S312" s="85">
        <f>C$158*0.6*('Product half-life and C flows'!P173/100)</f>
        <v>11.617878998103068</v>
      </c>
      <c r="T312" s="85">
        <f t="shared" si="115"/>
        <v>11.038827979547648</v>
      </c>
      <c r="U312" s="3"/>
      <c r="V312" s="90">
        <f>N$238*(0.4*V$40)*('Product half-life and C flows'!B92/100)</f>
        <v>3.1200928364481562</v>
      </c>
      <c r="W312" s="90">
        <f t="shared" si="112"/>
        <v>93.940506416941886</v>
      </c>
      <c r="X312" s="89">
        <f t="shared" si="116"/>
        <v>-2.9375702681265485</v>
      </c>
      <c r="Y312" s="89">
        <f t="shared" si="116"/>
        <v>14.100337287007433</v>
      </c>
      <c r="Z312" s="91">
        <f>N$238*(0.6*Z$41)*('Product half-life and C flows'!L92/100)</f>
        <v>14.313372523196215</v>
      </c>
      <c r="AA312" s="91">
        <f>N$238*0.6*('Product half-life and C flows'!N92/100)</f>
        <v>19.853287786800482</v>
      </c>
      <c r="AB312" s="91">
        <f>N$238*0.6*('Product half-life and C flows'!P92/100)</f>
        <v>9.916727166234006</v>
      </c>
      <c r="AC312" s="89">
        <f t="shared" si="117"/>
        <v>25.116225792481988</v>
      </c>
      <c r="AD312" s="17"/>
      <c r="AE312">
        <f t="shared" si="90"/>
        <v>154</v>
      </c>
      <c r="AF312" s="3">
        <f t="shared" si="105"/>
        <v>39.389341042478947</v>
      </c>
      <c r="AG312" s="113">
        <f t="shared" si="91"/>
        <v>163.39580984522976</v>
      </c>
      <c r="AH312" s="124">
        <f t="shared" si="111"/>
        <v>3.2844139876423548</v>
      </c>
      <c r="AI312" s="124">
        <f t="shared" si="111"/>
        <v>93.940506416941886</v>
      </c>
      <c r="AJ312" s="124">
        <f t="shared" si="111"/>
        <v>-5.500199045653007</v>
      </c>
      <c r="AK312" s="124">
        <f t="shared" si="111"/>
        <v>26.400955419134434</v>
      </c>
      <c r="AL312" s="124">
        <f t="shared" si="111"/>
        <v>17.899167191783871</v>
      </c>
      <c r="AM312" s="124">
        <f t="shared" si="110"/>
        <v>43.112281541002844</v>
      </c>
      <c r="AN312" s="124">
        <f t="shared" si="110"/>
        <v>21.534606164337074</v>
      </c>
      <c r="AO312" s="124">
        <f t="shared" si="110"/>
        <v>36.155053772029632</v>
      </c>
      <c r="AP312" s="3">
        <f t="shared" si="104"/>
        <v>197.3873176875471</v>
      </c>
    </row>
    <row r="313" spans="1:42" ht="14">
      <c r="A313">
        <f t="shared" si="113"/>
        <v>155</v>
      </c>
      <c r="B313" s="19">
        <f t="shared" si="113"/>
        <v>235</v>
      </c>
      <c r="C313" s="26">
        <f t="shared" si="103"/>
        <v>163.48673571452642</v>
      </c>
      <c r="D313" s="26"/>
      <c r="E313" s="26"/>
      <c r="F313" s="26"/>
      <c r="G313" s="26"/>
      <c r="H313" s="26"/>
      <c r="I313" s="126"/>
      <c r="J313" s="26"/>
      <c r="K313" s="26"/>
      <c r="L313" s="26"/>
      <c r="M313" s="83">
        <f>C$158*(0.4*D$14)*('Product half-life and C flows'!B174/100)</f>
        <v>0.15872376954922862</v>
      </c>
      <c r="N313" s="85"/>
      <c r="O313" s="85">
        <f t="shared" si="114"/>
        <v>-2.5626287775264589</v>
      </c>
      <c r="P313" s="85">
        <f t="shared" si="114"/>
        <v>12.300618132127003</v>
      </c>
      <c r="Q313" s="83">
        <f>C$158*(0.6*C$15)*('Product half-life and C flows'!L174/100)</f>
        <v>3.5309849111518945</v>
      </c>
      <c r="R313" s="85">
        <f>C$158*0.6*('Product half-life and C flows'!N174/100)</f>
        <v>23.295570132331154</v>
      </c>
      <c r="S313" s="85">
        <f>C$158*0.6*('Product half-life and C flows'!P174/100)</f>
        <v>11.63614891724832</v>
      </c>
      <c r="T313" s="85">
        <f t="shared" si="115"/>
        <v>11.038827979547648</v>
      </c>
      <c r="U313" s="3"/>
      <c r="V313" s="90">
        <f>N$238*(0.4*V$40)*('Product half-life and C flows'!B93/100)</f>
        <v>3.0138110203434407</v>
      </c>
      <c r="W313" s="90">
        <f t="shared" si="112"/>
        <v>94.57187965573975</v>
      </c>
      <c r="X313" s="89">
        <f t="shared" si="116"/>
        <v>-2.9375702681265485</v>
      </c>
      <c r="Y313" s="89">
        <f t="shared" si="116"/>
        <v>14.100337287007433</v>
      </c>
      <c r="Z313" s="91">
        <f>N$238*(0.6*Z$41)*('Product half-life and C flows'!L93/100)</f>
        <v>14.094589087837639</v>
      </c>
      <c r="AA313" s="91">
        <f>N$238*0.6*('Product half-life and C flows'!N93/100)</f>
        <v>19.999289265996438</v>
      </c>
      <c r="AB313" s="91">
        <f>N$238*0.6*('Product half-life and C flows'!P93/100)</f>
        <v>9.989654978020198</v>
      </c>
      <c r="AC313" s="89">
        <f t="shared" si="117"/>
        <v>25.116225792481988</v>
      </c>
      <c r="AD313" s="17"/>
      <c r="AE313">
        <f t="shared" si="90"/>
        <v>155</v>
      </c>
      <c r="AF313" s="3">
        <f t="shared" si="105"/>
        <v>39.399149559974234</v>
      </c>
      <c r="AG313" s="113">
        <f t="shared" si="91"/>
        <v>163.48673571452642</v>
      </c>
      <c r="AH313" s="124">
        <f t="shared" si="111"/>
        <v>3.1725347898926692</v>
      </c>
      <c r="AI313" s="124">
        <f t="shared" si="111"/>
        <v>94.57187965573975</v>
      </c>
      <c r="AJ313" s="124">
        <f t="shared" si="111"/>
        <v>-5.500199045653007</v>
      </c>
      <c r="AK313" s="124">
        <f t="shared" si="111"/>
        <v>26.400955419134434</v>
      </c>
      <c r="AL313" s="124">
        <f t="shared" si="111"/>
        <v>17.625573998989534</v>
      </c>
      <c r="AM313" s="124">
        <f t="shared" si="110"/>
        <v>43.294859398327588</v>
      </c>
      <c r="AN313" s="124">
        <f t="shared" si="110"/>
        <v>21.625803895268518</v>
      </c>
      <c r="AO313" s="124">
        <f t="shared" si="110"/>
        <v>36.155053772029632</v>
      </c>
      <c r="AP313" s="3">
        <f t="shared" si="104"/>
        <v>198.01887332180681</v>
      </c>
    </row>
    <row r="314" spans="1:42" ht="14">
      <c r="A314">
        <f t="shared" si="113"/>
        <v>156</v>
      </c>
      <c r="B314" s="19">
        <f t="shared" si="113"/>
        <v>236</v>
      </c>
      <c r="C314" s="26">
        <f t="shared" si="103"/>
        <v>163.57589386162428</v>
      </c>
      <c r="D314" s="26"/>
      <c r="E314" s="26"/>
      <c r="F314" s="26"/>
      <c r="G314" s="26"/>
      <c r="H314" s="26"/>
      <c r="I314" s="126"/>
      <c r="J314" s="26"/>
      <c r="K314" s="26"/>
      <c r="L314" s="26"/>
      <c r="M314" s="83">
        <f>C$158*(0.4*D$14)*('Product half-life and C flows'!B175/100)</f>
        <v>0.15331705527149514</v>
      </c>
      <c r="N314" s="85"/>
      <c r="O314" s="85">
        <f t="shared" si="114"/>
        <v>-2.5626287775264589</v>
      </c>
      <c r="P314" s="85">
        <f t="shared" si="114"/>
        <v>12.300618132127003</v>
      </c>
      <c r="Q314" s="83">
        <f>C$158*(0.6*C$15)*('Product half-life and C flows'!L175/100)</f>
        <v>3.4770129344001428</v>
      </c>
      <c r="R314" s="85">
        <f>C$158*0.6*('Product half-life and C flows'!N175/100)</f>
        <v>23.331587431483488</v>
      </c>
      <c r="S314" s="85">
        <f>C$158*0.6*('Product half-life and C flows'!P175/100)</f>
        <v>11.654139576165571</v>
      </c>
      <c r="T314" s="85">
        <f t="shared" si="115"/>
        <v>11.038827979547648</v>
      </c>
      <c r="U314" s="3"/>
      <c r="V314" s="90">
        <f>N$238*(0.4*V$40)*('Product half-life and C flows'!B94/100)</f>
        <v>2.9111495530637863</v>
      </c>
      <c r="W314" s="90">
        <f t="shared" si="112"/>
        <v>95.181155121580233</v>
      </c>
      <c r="X314" s="89">
        <f t="shared" si="116"/>
        <v>-2.9375702681265485</v>
      </c>
      <c r="Y314" s="89">
        <f t="shared" si="116"/>
        <v>14.100337287007433</v>
      </c>
      <c r="Z314" s="91">
        <f>N$238*(0.6*Z$41)*('Product half-life and C flows'!L94/100)</f>
        <v>13.879149811342369</v>
      </c>
      <c r="AA314" s="91">
        <f>N$238*0.6*('Product half-life and C flows'!N94/100)</f>
        <v>20.143059076510948</v>
      </c>
      <c r="AB314" s="91">
        <f>N$238*0.6*('Product half-life and C flows'!P94/100)</f>
        <v>10.061468070185288</v>
      </c>
      <c r="AC314" s="89">
        <f t="shared" si="117"/>
        <v>25.116225792481988</v>
      </c>
      <c r="AD314" s="17"/>
      <c r="AE314">
        <f t="shared" si="90"/>
        <v>156</v>
      </c>
      <c r="AF314" s="3">
        <f t="shared" si="105"/>
        <v>39.408575013658655</v>
      </c>
      <c r="AG314" s="113">
        <f t="shared" si="91"/>
        <v>163.57589386162428</v>
      </c>
      <c r="AH314" s="124">
        <f t="shared" si="111"/>
        <v>3.0644666083352816</v>
      </c>
      <c r="AI314" s="124">
        <f t="shared" si="111"/>
        <v>95.181155121580233</v>
      </c>
      <c r="AJ314" s="124">
        <f t="shared" si="111"/>
        <v>-5.500199045653007</v>
      </c>
      <c r="AK314" s="124">
        <f t="shared" si="111"/>
        <v>26.400955419134434</v>
      </c>
      <c r="AL314" s="124">
        <f t="shared" si="111"/>
        <v>17.356162745742512</v>
      </c>
      <c r="AM314" s="124">
        <f t="shared" si="110"/>
        <v>43.474646507994436</v>
      </c>
      <c r="AN314" s="124">
        <f t="shared" si="110"/>
        <v>21.715607646350861</v>
      </c>
      <c r="AO314" s="124">
        <f t="shared" si="110"/>
        <v>36.155053772029632</v>
      </c>
      <c r="AP314" s="3">
        <f t="shared" si="104"/>
        <v>198.62832839514948</v>
      </c>
    </row>
    <row r="315" spans="1:42" ht="14">
      <c r="A315">
        <f t="shared" si="113"/>
        <v>157</v>
      </c>
      <c r="B315" s="19">
        <f t="shared" si="113"/>
        <v>237</v>
      </c>
      <c r="C315" s="26">
        <f t="shared" si="103"/>
        <v>163.66331801209776</v>
      </c>
      <c r="D315" s="26"/>
      <c r="E315" s="26"/>
      <c r="F315" s="26"/>
      <c r="G315" s="26"/>
      <c r="H315" s="26"/>
      <c r="I315" s="126"/>
      <c r="J315" s="26"/>
      <c r="K315" s="26"/>
      <c r="L315" s="26"/>
      <c r="M315" s="83">
        <f>C$158*(0.4*D$14)*('Product half-life and C flows'!B176/100)</f>
        <v>0.14809451353051573</v>
      </c>
      <c r="N315" s="85"/>
      <c r="O315" s="85">
        <f t="shared" si="114"/>
        <v>-2.5626287775264589</v>
      </c>
      <c r="P315" s="85">
        <f t="shared" si="114"/>
        <v>12.300618132127003</v>
      </c>
      <c r="Q315" s="83">
        <f>C$158*(0.6*C$15)*('Product half-life and C flows'!L176/100)</f>
        <v>3.4238659326476584</v>
      </c>
      <c r="R315" s="85">
        <f>C$158*0.6*('Product half-life and C flows'!N176/100)</f>
        <v>23.367054197319646</v>
      </c>
      <c r="S315" s="85">
        <f>C$158*0.6*('Product half-life and C flows'!P176/100)</f>
        <v>11.671855243416399</v>
      </c>
      <c r="T315" s="85">
        <f t="shared" si="115"/>
        <v>11.038827979547648</v>
      </c>
      <c r="U315" s="3"/>
      <c r="V315" s="90">
        <f>N$238*(0.4*V$40)*('Product half-life and C flows'!B95/100)</f>
        <v>2.8119851122376383</v>
      </c>
      <c r="W315" s="90">
        <f t="shared" si="112"/>
        <v>95.769000130262825</v>
      </c>
      <c r="X315" s="89">
        <f t="shared" si="116"/>
        <v>-2.9375702681265485</v>
      </c>
      <c r="Y315" s="89">
        <f t="shared" si="116"/>
        <v>14.100337287007433</v>
      </c>
      <c r="Z315" s="91">
        <f>N$238*(0.6*Z$41)*('Product half-life and C flows'!L95/100)</f>
        <v>13.66700357741596</v>
      </c>
      <c r="AA315" s="91">
        <f>N$238*0.6*('Product half-life and C flows'!N95/100)</f>
        <v>20.284631329951171</v>
      </c>
      <c r="AB315" s="91">
        <f>N$238*0.6*('Product half-life and C flows'!P95/100)</f>
        <v>10.13218348149409</v>
      </c>
      <c r="AC315" s="89">
        <f t="shared" si="117"/>
        <v>25.116225792481988</v>
      </c>
      <c r="AD315" s="17"/>
      <c r="AE315">
        <f t="shared" si="90"/>
        <v>157</v>
      </c>
      <c r="AF315" s="3">
        <f t="shared" si="105"/>
        <v>39.417632305878548</v>
      </c>
      <c r="AG315" s="113">
        <f t="shared" si="91"/>
        <v>163.66331801209776</v>
      </c>
      <c r="AH315" s="124">
        <f t="shared" si="111"/>
        <v>2.9600796257681541</v>
      </c>
      <c r="AI315" s="124">
        <f t="shared" si="111"/>
        <v>95.769000130262825</v>
      </c>
      <c r="AJ315" s="124">
        <f t="shared" si="111"/>
        <v>-5.500199045653007</v>
      </c>
      <c r="AK315" s="124">
        <f t="shared" si="111"/>
        <v>26.400955419134434</v>
      </c>
      <c r="AL315" s="124">
        <f t="shared" si="111"/>
        <v>17.090869510063619</v>
      </c>
      <c r="AM315" s="124">
        <f t="shared" si="110"/>
        <v>43.651685527270814</v>
      </c>
      <c r="AN315" s="124">
        <f t="shared" si="110"/>
        <v>21.804038724910491</v>
      </c>
      <c r="AO315" s="124">
        <f t="shared" si="110"/>
        <v>36.155053772029632</v>
      </c>
      <c r="AP315" s="3">
        <f t="shared" si="104"/>
        <v>199.21635026598918</v>
      </c>
    </row>
    <row r="316" spans="1:42" ht="14">
      <c r="A316">
        <f t="shared" si="113"/>
        <v>158</v>
      </c>
      <c r="B316" s="19">
        <f t="shared" si="113"/>
        <v>238</v>
      </c>
      <c r="C316" s="26">
        <f t="shared" si="103"/>
        <v>163.74904127347503</v>
      </c>
      <c r="D316" s="26"/>
      <c r="E316" s="26"/>
      <c r="F316" s="26"/>
      <c r="G316" s="26"/>
      <c r="H316" s="26"/>
      <c r="I316" s="126"/>
      <c r="J316" s="26"/>
      <c r="K316" s="26"/>
      <c r="L316" s="26"/>
      <c r="M316" s="83">
        <f>C$158*(0.4*D$14)*('Product half-life and C flows'!B177/100)</f>
        <v>0.14304987073357717</v>
      </c>
      <c r="N316" s="85"/>
      <c r="O316" s="85">
        <f t="shared" si="114"/>
        <v>-2.5626287775264589</v>
      </c>
      <c r="P316" s="85">
        <f t="shared" si="114"/>
        <v>12.300618132127003</v>
      </c>
      <c r="Q316" s="83">
        <f>C$158*(0.6*C$15)*('Product half-life and C flows'!L177/100)</f>
        <v>3.3715312959477552</v>
      </c>
      <c r="R316" s="85">
        <f>C$158*0.6*('Product half-life and C flows'!N177/100)</f>
        <v>23.40197884487738</v>
      </c>
      <c r="S316" s="85">
        <f>C$158*0.6*('Product half-life and C flows'!P177/100)</f>
        <v>11.689300122316366</v>
      </c>
      <c r="T316" s="85">
        <f t="shared" si="115"/>
        <v>11.038827979547648</v>
      </c>
      <c r="U316" s="3"/>
      <c r="V316" s="90">
        <f>N$238*(0.4*V$40)*('Product half-life and C flows'!B96/100)</f>
        <v>2.716198576306144</v>
      </c>
      <c r="W316" s="90">
        <f t="shared" si="112"/>
        <v>96.336070548103805</v>
      </c>
      <c r="X316" s="89">
        <f t="shared" si="116"/>
        <v>-2.9375702681265485</v>
      </c>
      <c r="Y316" s="89">
        <f t="shared" si="116"/>
        <v>14.100337287007433</v>
      </c>
      <c r="Z316" s="91">
        <f>N$238*(0.6*Z$41)*('Product half-life and C flows'!L96/100)</f>
        <v>13.458100051089145</v>
      </c>
      <c r="AA316" s="91">
        <f>N$238*0.6*('Product half-life and C flows'!N96/100)</f>
        <v>20.424039616519931</v>
      </c>
      <c r="AB316" s="91">
        <f>N$238*0.6*('Product half-life and C flows'!P96/100)</f>
        <v>10.201817990269697</v>
      </c>
      <c r="AC316" s="89">
        <f t="shared" si="117"/>
        <v>25.116225792481988</v>
      </c>
      <c r="AD316" s="17"/>
      <c r="AE316">
        <f t="shared" si="90"/>
        <v>158</v>
      </c>
      <c r="AF316" s="3">
        <f t="shared" si="105"/>
        <v>39.426335763695064</v>
      </c>
      <c r="AG316" s="113">
        <f t="shared" si="91"/>
        <v>163.74904127347503</v>
      </c>
      <c r="AH316" s="124">
        <f t="shared" si="111"/>
        <v>2.8592484470397213</v>
      </c>
      <c r="AI316" s="124">
        <f t="shared" si="111"/>
        <v>96.336070548103805</v>
      </c>
      <c r="AJ316" s="124">
        <f t="shared" si="111"/>
        <v>-5.500199045653007</v>
      </c>
      <c r="AK316" s="124">
        <f t="shared" si="111"/>
        <v>26.400955419134434</v>
      </c>
      <c r="AL316" s="124">
        <f t="shared" si="111"/>
        <v>16.829631347036901</v>
      </c>
      <c r="AM316" s="124">
        <f t="shared" si="110"/>
        <v>43.826018461397311</v>
      </c>
      <c r="AN316" s="124">
        <f t="shared" si="110"/>
        <v>21.891118112586064</v>
      </c>
      <c r="AO316" s="124">
        <f t="shared" si="110"/>
        <v>36.155053772029632</v>
      </c>
      <c r="AP316" s="3">
        <f t="shared" si="104"/>
        <v>199.78359484260551</v>
      </c>
    </row>
    <row r="317" spans="1:42" ht="14">
      <c r="A317">
        <f t="shared" si="113"/>
        <v>159</v>
      </c>
      <c r="B317" s="19">
        <f t="shared" si="113"/>
        <v>239</v>
      </c>
      <c r="C317" s="26">
        <f t="shared" si="103"/>
        <v>163.83309614554503</v>
      </c>
      <c r="D317" s="26"/>
      <c r="E317" s="26"/>
      <c r="F317" s="26"/>
      <c r="G317" s="26"/>
      <c r="H317" s="26"/>
      <c r="I317" s="126"/>
      <c r="J317" s="26"/>
      <c r="K317" s="26"/>
      <c r="L317" s="26"/>
      <c r="M317" s="83">
        <f>C$158*(0.4*D$14)*('Product half-life and C flows'!B178/100)</f>
        <v>0.13817706698956514</v>
      </c>
      <c r="N317" s="85"/>
      <c r="O317" s="85">
        <f t="shared" si="114"/>
        <v>-2.5626287775264589</v>
      </c>
      <c r="P317" s="85">
        <f t="shared" si="114"/>
        <v>12.300618132127003</v>
      </c>
      <c r="Q317" s="83">
        <f>C$158*(0.6*C$15)*('Product half-life and C flows'!L178/100)</f>
        <v>3.3199966070998959</v>
      </c>
      <c r="R317" s="85">
        <f>C$158*0.6*('Product half-life and C flows'!N178/100)</f>
        <v>23.436369660568516</v>
      </c>
      <c r="S317" s="85">
        <f>C$158*0.6*('Product half-life and C flows'!P178/100)</f>
        <v>11.70647835193232</v>
      </c>
      <c r="T317" s="85">
        <f t="shared" si="115"/>
        <v>11.038827979547648</v>
      </c>
      <c r="U317" s="3"/>
      <c r="V317" s="90">
        <f>N$238*(0.4*V$40)*('Product half-life and C flows'!B97/100)</f>
        <v>2.6236748814280491</v>
      </c>
      <c r="W317" s="90">
        <f t="shared" si="112"/>
        <v>96.883010176719537</v>
      </c>
      <c r="X317" s="89">
        <f t="shared" si="116"/>
        <v>-2.9375702681265485</v>
      </c>
      <c r="Y317" s="89">
        <f t="shared" si="116"/>
        <v>14.100337287007433</v>
      </c>
      <c r="Z317" s="91">
        <f>N$238*(0.6*Z$41)*('Product half-life and C flows'!L97/100)</f>
        <v>13.252389666775102</v>
      </c>
      <c r="AA317" s="91">
        <f>N$238*0.6*('Product half-life and C flows'!N97/100)</f>
        <v>20.561317012985501</v>
      </c>
      <c r="AB317" s="91">
        <f>N$238*0.6*('Product half-life and C flows'!P97/100)</f>
        <v>10.270388118374377</v>
      </c>
      <c r="AC317" s="89">
        <f t="shared" si="117"/>
        <v>25.116225792481988</v>
      </c>
      <c r="AD317" s="17"/>
      <c r="AE317">
        <f t="shared" si="90"/>
        <v>159</v>
      </c>
      <c r="AF317" s="3">
        <f t="shared" si="105"/>
        <v>39.434699160747485</v>
      </c>
      <c r="AG317" s="113">
        <f t="shared" si="91"/>
        <v>163.83309614554503</v>
      </c>
      <c r="AH317" s="124">
        <f t="shared" si="111"/>
        <v>2.7618519484176143</v>
      </c>
      <c r="AI317" s="124">
        <f t="shared" si="111"/>
        <v>96.883010176719537</v>
      </c>
      <c r="AJ317" s="124">
        <f t="shared" si="111"/>
        <v>-5.500199045653007</v>
      </c>
      <c r="AK317" s="124">
        <f t="shared" si="111"/>
        <v>26.400955419134434</v>
      </c>
      <c r="AL317" s="124">
        <f t="shared" si="111"/>
        <v>16.572386273874997</v>
      </c>
      <c r="AM317" s="124">
        <f t="shared" si="110"/>
        <v>43.997686673554014</v>
      </c>
      <c r="AN317" s="124">
        <f t="shared" si="110"/>
        <v>21.976866470306696</v>
      </c>
      <c r="AO317" s="124">
        <f t="shared" si="110"/>
        <v>36.155053772029632</v>
      </c>
      <c r="AP317" s="3">
        <f t="shared" si="104"/>
        <v>200.33070596793667</v>
      </c>
    </row>
    <row r="318" spans="1:42" ht="14">
      <c r="A318">
        <f t="shared" si="113"/>
        <v>160</v>
      </c>
      <c r="B318" s="19">
        <f t="shared" si="113"/>
        <v>240</v>
      </c>
      <c r="C318" s="26">
        <f t="shared" si="103"/>
        <v>163.91551453053341</v>
      </c>
      <c r="D318" s="26"/>
      <c r="E318" s="26"/>
      <c r="F318" s="26"/>
      <c r="G318" s="26"/>
      <c r="H318" s="26"/>
      <c r="I318" s="126"/>
      <c r="J318" s="26"/>
      <c r="K318" s="26"/>
      <c r="L318" s="26"/>
      <c r="M318" s="83">
        <f>C$158*(0.4*D$14)*('Product half-life and C flows'!B179/100)</f>
        <v>0.13347024882950306</v>
      </c>
      <c r="N318" s="85"/>
      <c r="O318" s="85">
        <f t="shared" si="114"/>
        <v>-2.5626287775264589</v>
      </c>
      <c r="P318" s="85">
        <f t="shared" si="114"/>
        <v>12.300618132127003</v>
      </c>
      <c r="Q318" s="83">
        <f>C$158*(0.6*C$15)*('Product half-life and C flows'!L179/100)</f>
        <v>3.2692496387035246</v>
      </c>
      <c r="R318" s="85">
        <f>C$158*0.6*('Product half-life and C flows'!N179/100)</f>
        <v>23.470234804145029</v>
      </c>
      <c r="S318" s="85">
        <f>C$158*0.6*('Product half-life and C flows'!P179/100)</f>
        <v>11.723394008064444</v>
      </c>
      <c r="T318" s="85">
        <f t="shared" si="115"/>
        <v>11.038827979547648</v>
      </c>
      <c r="U318" s="3"/>
      <c r="V318" s="90">
        <f>N$238*(0.4*V$40)*('Product half-life and C flows'!B98/100)</f>
        <v>2.5343028832589387</v>
      </c>
      <c r="W318" s="90">
        <f t="shared" si="112"/>
        <v>97.410450236139908</v>
      </c>
      <c r="X318" s="89">
        <f t="shared" si="116"/>
        <v>-2.9375702681265485</v>
      </c>
      <c r="Y318" s="89">
        <f t="shared" si="116"/>
        <v>14.100337287007433</v>
      </c>
      <c r="Z318" s="91">
        <f>N$238*(0.6*Z$41)*('Product half-life and C flows'!L98/100)</f>
        <v>13.049823616509256</v>
      </c>
      <c r="AA318" s="91">
        <f>N$238*0.6*('Product half-life and C flows'!N98/100)</f>
        <v>20.696496090529575</v>
      </c>
      <c r="AB318" s="91">
        <f>N$238*0.6*('Product half-life and C flows'!P98/100)</f>
        <v>10.337910135129659</v>
      </c>
      <c r="AC318" s="89">
        <f t="shared" si="117"/>
        <v>25.116225792481988</v>
      </c>
      <c r="AD318" s="17"/>
      <c r="AE318">
        <f t="shared" si="90"/>
        <v>160</v>
      </c>
      <c r="AF318" s="3">
        <f t="shared" si="105"/>
        <v>39.442735738312535</v>
      </c>
      <c r="AG318" s="113">
        <f t="shared" si="91"/>
        <v>163.91551453053341</v>
      </c>
      <c r="AH318" s="124">
        <f t="shared" si="111"/>
        <v>2.6677731320884419</v>
      </c>
      <c r="AI318" s="124">
        <f t="shared" si="111"/>
        <v>97.410450236139908</v>
      </c>
      <c r="AJ318" s="124">
        <f t="shared" si="111"/>
        <v>-5.500199045653007</v>
      </c>
      <c r="AK318" s="124">
        <f t="shared" si="111"/>
        <v>26.400955419134434</v>
      </c>
      <c r="AL318" s="124">
        <f t="shared" si="111"/>
        <v>16.319073255212782</v>
      </c>
      <c r="AM318" s="124">
        <f t="shared" si="110"/>
        <v>44.1667308946746</v>
      </c>
      <c r="AN318" s="124">
        <f t="shared" si="110"/>
        <v>22.061304143194103</v>
      </c>
      <c r="AO318" s="124">
        <f t="shared" si="110"/>
        <v>36.155053772029632</v>
      </c>
      <c r="AP318" s="3">
        <f t="shared" si="104"/>
        <v>200.8583149027028</v>
      </c>
    </row>
    <row r="319" spans="1:42">
      <c r="M319" s="17"/>
      <c r="N319" s="17"/>
      <c r="O319" s="17"/>
      <c r="P319" s="17"/>
      <c r="Q319" s="17"/>
      <c r="R319" s="17"/>
      <c r="S319" s="17"/>
      <c r="T319" s="17"/>
    </row>
    <row r="320" spans="1:42">
      <c r="A320" t="s">
        <v>141</v>
      </c>
      <c r="M320" s="3">
        <f>AVERAGE(M158:M238)</f>
        <v>11.636017577280068</v>
      </c>
      <c r="N320" s="3">
        <f t="shared" ref="N320:T320" si="118">AVERAGE(N158:N238)</f>
        <v>51.5032495381109</v>
      </c>
      <c r="O320" s="3">
        <f t="shared" si="118"/>
        <v>-2.562628777526462</v>
      </c>
      <c r="P320" s="3">
        <f t="shared" si="118"/>
        <v>12.300618132127028</v>
      </c>
      <c r="Q320" s="3">
        <f t="shared" si="118"/>
        <v>22.131082106034587</v>
      </c>
      <c r="R320" s="3">
        <f t="shared" si="118"/>
        <v>10.88310527094611</v>
      </c>
      <c r="S320" s="3">
        <f t="shared" si="118"/>
        <v>5.4361165189541012</v>
      </c>
      <c r="T320" s="3">
        <f t="shared" si="118"/>
        <v>21.910476047851244</v>
      </c>
      <c r="AM320" s="115"/>
    </row>
    <row r="321" spans="1:35">
      <c r="A321" t="s">
        <v>142</v>
      </c>
      <c r="M321" s="3">
        <f>M320+O320+P320+Q320+R320+S320+T320</f>
        <v>81.734786875666671</v>
      </c>
    </row>
    <row r="322" spans="1:35">
      <c r="A322" t="s">
        <v>143</v>
      </c>
      <c r="M322" s="3">
        <f>AVERAGE(M239:M318)</f>
        <v>0.70964768754635377</v>
      </c>
      <c r="Q322" s="3">
        <f t="shared" ref="Q322:T322" si="119">AVERAGE(Q239:Q318)</f>
        <v>6.3946869780280595</v>
      </c>
      <c r="R322" s="3">
        <f t="shared" si="119"/>
        <v>21.384526286369137</v>
      </c>
      <c r="S322" s="3">
        <f t="shared" si="119"/>
        <v>10.681581561622938</v>
      </c>
      <c r="T322" s="3">
        <f t="shared" si="119"/>
        <v>11.038827979547671</v>
      </c>
    </row>
    <row r="323" spans="1:35">
      <c r="A323" t="s">
        <v>180</v>
      </c>
      <c r="AG323">
        <f>(SUM(AG78:AG318))/240</f>
        <v>104.05267469983879</v>
      </c>
      <c r="AI323">
        <f>(SUM(AG78:AG157)+(SUM(AI158:AI318)))/240</f>
        <v>44.168168228820157</v>
      </c>
    </row>
  </sheetData>
  <mergeCells count="4">
    <mergeCell ref="G2:J2"/>
    <mergeCell ref="H3:J3"/>
    <mergeCell ref="H7:J7"/>
    <mergeCell ref="A17:B17"/>
  </mergeCells>
  <hyperlinks>
    <hyperlink ref="C4" r:id="rId1" display="COLE: Carbon On Line Estimator Version 2.0.&quot;   Retrieved February 26, 2014, from http://www.ncasi2.org/COLE/"/>
  </hyperlinks>
  <pageMargins left="0.75" right="0.75" top="1" bottom="1" header="0.5" footer="0.5"/>
  <pageSetup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Mixed Conifer Summary</vt:lpstr>
      <vt:lpstr>Legend</vt:lpstr>
      <vt:lpstr>COLE2 forest types-live tree C </vt:lpstr>
      <vt:lpstr>COLE2 live dead soil C ex</vt:lpstr>
      <vt:lpstr>Product half-life and C flows</vt:lpstr>
      <vt:lpstr>Fuels-Health Tmt at Yr40</vt:lpstr>
      <vt:lpstr>Fuels Tmt Climate benefit calcs</vt:lpstr>
      <vt:lpstr>Mixed conifer Even </vt:lpstr>
      <vt:lpstr>Even MixConT@40H@80U00</vt:lpstr>
      <vt:lpstr>MixCon Even T40H80U25</vt:lpstr>
      <vt:lpstr> MixCon Even T40H80U75</vt:lpstr>
      <vt:lpstr>Uneven Mixed Conifer</vt:lpstr>
    </vt:vector>
  </TitlesOfParts>
  <Company>UCB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Stewart</dc:creator>
  <cp:lastModifiedBy>Bill Stewart</cp:lastModifiedBy>
  <cp:lastPrinted>2014-09-12T01:06:02Z</cp:lastPrinted>
  <dcterms:created xsi:type="dcterms:W3CDTF">2010-07-26T20:37:09Z</dcterms:created>
  <dcterms:modified xsi:type="dcterms:W3CDTF">2015-06-05T18:19:13Z</dcterms:modified>
</cp:coreProperties>
</file>