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arie Harter\Documents\Roger\Web Articles\Almonds\"/>
    </mc:Choice>
  </mc:AlternateContent>
  <bookViews>
    <workbookView xWindow="3912" yWindow="0" windowWidth="24240" windowHeight="13740" tabRatio="500"/>
  </bookViews>
  <sheets>
    <sheet name="Model" sheetId="3" r:id="rId1"/>
    <sheet name="Calulations " sheetId="1" state="hidden"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0" i="1" l="1"/>
  <c r="D11" i="1"/>
  <c r="D13" i="1"/>
  <c r="D14" i="1"/>
  <c r="D15" i="1"/>
  <c r="D18" i="1"/>
  <c r="D19" i="1"/>
  <c r="D20" i="1"/>
  <c r="D12" i="1"/>
  <c r="D16" i="1"/>
  <c r="D17" i="1"/>
  <c r="G10" i="1"/>
  <c r="G11" i="1"/>
  <c r="G12" i="1"/>
  <c r="D67" i="1"/>
  <c r="G13" i="1"/>
  <c r="D83" i="1"/>
  <c r="G14" i="1"/>
  <c r="B45" i="3"/>
  <c r="C45" i="3"/>
</calcChain>
</file>

<file path=xl/sharedStrings.xml><?xml version="1.0" encoding="utf-8"?>
<sst xmlns="http://schemas.openxmlformats.org/spreadsheetml/2006/main" count="163" uniqueCount="105">
  <si>
    <t>(Intercept)</t>
  </si>
  <si>
    <t>NAprilF0</t>
  </si>
  <si>
    <t>PAprilF0</t>
  </si>
  <si>
    <t>SAprilF0</t>
  </si>
  <si>
    <t>BAprilF0</t>
  </si>
  <si>
    <t>CaAprilF0</t>
  </si>
  <si>
    <t>MnAprilF0</t>
  </si>
  <si>
    <t>FeAprilF0</t>
  </si>
  <si>
    <t>N.Cu.April.Rate</t>
  </si>
  <si>
    <t>NAprilF0:FeAprilF0</t>
  </si>
  <si>
    <t>PAprilF0:BAprilF0</t>
  </si>
  <si>
    <t>PAprilF0:MnAprilF0</t>
  </si>
  <si>
    <t>SAprilF0:BAprilF0</t>
  </si>
  <si>
    <t>BAprilF0:CaAprilF0</t>
  </si>
  <si>
    <t>Nutrient</t>
  </si>
  <si>
    <t>N</t>
  </si>
  <si>
    <t>K</t>
  </si>
  <si>
    <t>S</t>
  </si>
  <si>
    <t>Units</t>
  </si>
  <si>
    <t>(%)</t>
  </si>
  <si>
    <t xml:space="preserve">P </t>
  </si>
  <si>
    <t>B</t>
  </si>
  <si>
    <t>Ca</t>
  </si>
  <si>
    <t>Mg</t>
  </si>
  <si>
    <t>Zn</t>
  </si>
  <si>
    <t>Mn</t>
  </si>
  <si>
    <t>Fe</t>
  </si>
  <si>
    <t>Cu</t>
  </si>
  <si>
    <t>ppm</t>
  </si>
  <si>
    <t>Value in April</t>
  </si>
  <si>
    <t>Estimated Value of N in July</t>
  </si>
  <si>
    <t>Model 1 "All Elements NF"</t>
  </si>
  <si>
    <t>Model 2 "Drop of NF"</t>
  </si>
  <si>
    <t>Model 3 "All Elements F2"</t>
  </si>
  <si>
    <t>Parameters</t>
  </si>
  <si>
    <t>Drop From April to July</t>
  </si>
  <si>
    <t>Sample Type (NF or F2?)</t>
  </si>
  <si>
    <t>NEVER CHANGE RED CELLS</t>
  </si>
  <si>
    <t>NAprilF2</t>
  </si>
  <si>
    <t>PAprilF2</t>
  </si>
  <si>
    <t>KAprilF2</t>
  </si>
  <si>
    <t>SAprilF2</t>
  </si>
  <si>
    <t>BAprilF2</t>
  </si>
  <si>
    <t>CaAprilF2</t>
  </si>
  <si>
    <t>MgAprilF2</t>
  </si>
  <si>
    <t>MnAprilF2</t>
  </si>
  <si>
    <t>FeAprilF2</t>
  </si>
  <si>
    <t>CuAprilF2</t>
  </si>
  <si>
    <t>NAprilF2:PAprilF2</t>
  </si>
  <si>
    <t>NAprilF2:KAprilF2</t>
  </si>
  <si>
    <t>NAprilF2:BAprilF2</t>
  </si>
  <si>
    <t>NAprilF2:CaAprilF2</t>
  </si>
  <si>
    <t>NAprilF2:MgAprilF2</t>
  </si>
  <si>
    <t>PAprilF2:CaAprilF2</t>
  </si>
  <si>
    <t>KAprilF2:SAprilF2</t>
  </si>
  <si>
    <t>KAprilF2:BAprilF2</t>
  </si>
  <si>
    <t>KAprilF2:MgAprilF2</t>
  </si>
  <si>
    <t>KAprilF2:MnAprilF2</t>
  </si>
  <si>
    <t>KAprilF2:FeAprilF2</t>
  </si>
  <si>
    <t>KAprilF2:CuAprilF2</t>
  </si>
  <si>
    <t>SAprilF2:BAprilF2</t>
  </si>
  <si>
    <t>SAprilF2:CuAprilF2</t>
  </si>
  <si>
    <t>BAprilF2:CaAprilF2</t>
  </si>
  <si>
    <t>BAprilF2:MgAprilF2</t>
  </si>
  <si>
    <t>MnAprilF2:FeAprilF2</t>
  </si>
  <si>
    <t>Model 4 "Drop of NF + Covariable"</t>
  </si>
  <si>
    <t>Model 5 "Drop of NF + Covariable + N"</t>
  </si>
  <si>
    <t>P.April.F0</t>
  </si>
  <si>
    <t>S.April.F0</t>
  </si>
  <si>
    <t>B.April.F0</t>
  </si>
  <si>
    <t>Mn.April.F0</t>
  </si>
  <si>
    <t>Cu.April.F0</t>
  </si>
  <si>
    <t>K.F0.i 4</t>
  </si>
  <si>
    <t>Ca.F0.i 4</t>
  </si>
  <si>
    <t>Mg.F0.i 4</t>
  </si>
  <si>
    <t>P.April.F0*Ca.F0.i 4</t>
  </si>
  <si>
    <t>P.April.F0*Mg.F0.i 4</t>
  </si>
  <si>
    <t>Intercept</t>
  </si>
  <si>
    <t>(:P.April.F0 - 0.254695965417868) * (:Ca.F0.i 4 - 0.0873483583285303) *86.563144999406</t>
  </si>
  <si>
    <t>(:P.April.F0 - 0.254695965417868) * (:Mg.F0.i 4 - 0.0293638848126801) * -221.548472654464</t>
  </si>
  <si>
    <t>Values</t>
  </si>
  <si>
    <t>Drop</t>
  </si>
  <si>
    <t>(:P.April.F0 - 0.254695965417868) * ((:Ca.F0.i 4 - 0.0873483583285303) * -7.3498004038469)</t>
  </si>
  <si>
    <t>(:P.April.F0 - 0.254695965417868) * ((:Mg.F0.i 4 - 0.0293638848126801) * -102.292324166221)</t>
  </si>
  <si>
    <t>:N.April.F0</t>
  </si>
  <si>
    <t>Please complete the following:</t>
  </si>
  <si>
    <t>Only Complete Yellow Cells</t>
  </si>
  <si>
    <t>Your Estimated July Nitrogen % is:</t>
  </si>
  <si>
    <t xml:space="preserve">NOTE: the model corrects the nutrient values in case they are obviously contaminated. </t>
  </si>
  <si>
    <t>Creators: Sebastian Saa, Emilio Laca, Patrick Brown</t>
  </si>
  <si>
    <t>UC Davis</t>
  </si>
  <si>
    <t>Outputs are displayed in green</t>
  </si>
  <si>
    <t xml:space="preserve">Calculations </t>
  </si>
  <si>
    <t>*Value in April</t>
  </si>
  <si>
    <t xml:space="preserve"> </t>
  </si>
  <si>
    <t>%</t>
  </si>
  <si>
    <t>Value</t>
  </si>
  <si>
    <t>NF</t>
  </si>
  <si>
    <t>Version 1 UC, Davis Last Update: 11/04/2012</t>
  </si>
  <si>
    <t xml:space="preserve">MODEL FOR INTERPRETATION OF EARLY SEASON TISSUE SAMPLING AND PREDICTION OF N VALUES </t>
  </si>
  <si>
    <t>Enter the tissue nutrient values for leaves collected in spring.</t>
  </si>
  <si>
    <t>Enter the July Critical Value (C.V.)</t>
  </si>
  <si>
    <t>(Default setting is = 2.2)</t>
  </si>
  <si>
    <t>Predicted July N</t>
  </si>
  <si>
    <t xml:space="preserve">Predicted % of Trees that will be above C.V.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</si>
</sst>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0000"/>
  </numFmts>
  <fonts count="26"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u/>
      <sz val="12"/>
      <color theme="1"/>
      <name val="Calibri"/>
      <family val="2"/>
      <scheme val="minor"/>
    </font>
    <font>
      <b/>
      <i/>
      <u/>
      <sz val="12"/>
      <color theme="1"/>
      <name val="Calibri"/>
      <family val="2"/>
      <scheme val="minor"/>
    </font>
    <font>
      <b/>
      <sz val="12"/>
      <name val="Calibri"/>
      <family val="2"/>
      <scheme val="minor"/>
    </font>
    <font>
      <b/>
      <u/>
      <sz val="12"/>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0" fontId="3" fillId="0" borderId="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12" applyNumberFormat="0" applyAlignment="0" applyProtection="0"/>
    <xf numFmtId="0" fontId="18" fillId="9" borderId="13" applyNumberFormat="0" applyAlignment="0" applyProtection="0"/>
    <xf numFmtId="0" fontId="19" fillId="9" borderId="12" applyNumberFormat="0" applyAlignment="0" applyProtection="0"/>
    <xf numFmtId="0" fontId="20" fillId="0" borderId="14" applyNumberFormat="0" applyFill="0" applyAlignment="0" applyProtection="0"/>
    <xf numFmtId="0" fontId="21" fillId="10"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5" fillId="35" borderId="0" applyNumberFormat="0" applyBorder="0" applyAlignment="0" applyProtection="0"/>
    <xf numFmtId="0" fontId="1" fillId="0" borderId="0"/>
    <xf numFmtId="0" fontId="1" fillId="11" borderId="16" applyNumberFormat="0" applyFont="0" applyAlignment="0" applyProtection="0"/>
    <xf numFmtId="0" fontId="1" fillId="0" borderId="0"/>
    <xf numFmtId="0" fontId="3" fillId="0" borderId="0"/>
    <xf numFmtId="0" fontId="1" fillId="0" borderId="0"/>
    <xf numFmtId="0" fontId="1" fillId="11" borderId="16" applyNumberFormat="0" applyFont="0" applyAlignment="0" applyProtection="0"/>
    <xf numFmtId="0" fontId="1" fillId="0" borderId="0"/>
  </cellStyleXfs>
  <cellXfs count="41">
    <xf numFmtId="0" fontId="0" fillId="0" borderId="0" xfId="0"/>
    <xf numFmtId="0" fontId="0" fillId="2" borderId="0" xfId="0" applyFill="1"/>
    <xf numFmtId="0" fontId="0" fillId="3" borderId="0" xfId="0" applyFill="1"/>
    <xf numFmtId="0" fontId="0" fillId="0" borderId="0" xfId="0" applyFill="1"/>
    <xf numFmtId="0" fontId="0" fillId="0" borderId="0" xfId="0" applyBorder="1"/>
    <xf numFmtId="0" fontId="0" fillId="0" borderId="5" xfId="0" applyBorder="1"/>
    <xf numFmtId="0" fontId="5" fillId="2" borderId="0" xfId="0" applyFont="1" applyFill="1"/>
    <xf numFmtId="0" fontId="0" fillId="0" borderId="7" xfId="0" applyFill="1" applyBorder="1"/>
    <xf numFmtId="0" fontId="6" fillId="0" borderId="0" xfId="0" applyFont="1" applyBorder="1"/>
    <xf numFmtId="0" fontId="5" fillId="0" borderId="0" xfId="0" applyFont="1"/>
    <xf numFmtId="0" fontId="5" fillId="0" borderId="1" xfId="0" applyFont="1" applyBorder="1"/>
    <xf numFmtId="0" fontId="5" fillId="0" borderId="3" xfId="0" applyFont="1" applyBorder="1"/>
    <xf numFmtId="0" fontId="8" fillId="0" borderId="7" xfId="0" applyFont="1" applyFill="1" applyBorder="1"/>
    <xf numFmtId="0" fontId="5" fillId="3" borderId="0" xfId="0" applyFont="1" applyFill="1"/>
    <xf numFmtId="0" fontId="0" fillId="0" borderId="0" xfId="0" applyFill="1" applyBorder="1"/>
    <xf numFmtId="0" fontId="5" fillId="0" borderId="0" xfId="0" applyFont="1" applyFill="1" applyBorder="1"/>
    <xf numFmtId="0" fontId="5" fillId="0" borderId="2" xfId="0" applyFont="1" applyFill="1" applyBorder="1"/>
    <xf numFmtId="0" fontId="5" fillId="0" borderId="4" xfId="0" applyFont="1" applyBorder="1"/>
    <xf numFmtId="0" fontId="5" fillId="0" borderId="5" xfId="0" applyFont="1" applyBorder="1"/>
    <xf numFmtId="0" fontId="0" fillId="0" borderId="6" xfId="0" applyFill="1" applyBorder="1"/>
    <xf numFmtId="0" fontId="5" fillId="0" borderId="8" xfId="0" applyFont="1" applyFill="1" applyBorder="1"/>
    <xf numFmtId="2" fontId="5" fillId="3" borderId="0" xfId="0" applyNumberFormat="1" applyFont="1" applyFill="1" applyBorder="1" applyProtection="1">
      <protection hidden="1"/>
    </xf>
    <xf numFmtId="0" fontId="0" fillId="4" borderId="0" xfId="0" applyFill="1" applyProtection="1">
      <protection hidden="1"/>
    </xf>
    <xf numFmtId="0" fontId="0" fillId="0" borderId="0" xfId="0" applyProtection="1">
      <protection hidden="1"/>
    </xf>
    <xf numFmtId="0" fontId="5" fillId="0" borderId="0" xfId="0" applyFont="1" applyProtection="1">
      <protection hidden="1"/>
    </xf>
    <xf numFmtId="0" fontId="4" fillId="4" borderId="0" xfId="0" applyFont="1" applyFill="1" applyProtection="1">
      <protection hidden="1"/>
    </xf>
    <xf numFmtId="164" fontId="0" fillId="4" borderId="0" xfId="0" applyNumberFormat="1" applyFill="1" applyProtection="1">
      <protection hidden="1"/>
    </xf>
    <xf numFmtId="0" fontId="0" fillId="0" borderId="0" xfId="0" applyFill="1" applyProtection="1">
      <protection hidden="1"/>
    </xf>
    <xf numFmtId="0" fontId="3" fillId="4" borderId="0" xfId="2" applyFill="1" applyProtection="1">
      <protection hidden="1"/>
    </xf>
    <xf numFmtId="11" fontId="3" fillId="4" borderId="0" xfId="2" applyNumberFormat="1" applyFill="1" applyProtection="1">
      <protection hidden="1"/>
    </xf>
    <xf numFmtId="11" fontId="0" fillId="4" borderId="0" xfId="0" applyNumberFormat="1" applyFill="1" applyProtection="1">
      <protection hidden="1"/>
    </xf>
    <xf numFmtId="165" fontId="0" fillId="4" borderId="0" xfId="0" applyNumberFormat="1" applyFill="1" applyProtection="1">
      <protection hidden="1"/>
    </xf>
    <xf numFmtId="11" fontId="0" fillId="0" borderId="0" xfId="0" applyNumberFormat="1" applyProtection="1">
      <protection hidden="1"/>
    </xf>
    <xf numFmtId="0" fontId="0" fillId="2" borderId="7" xfId="0" applyFill="1" applyBorder="1" applyProtection="1">
      <protection locked="0"/>
    </xf>
    <xf numFmtId="0" fontId="5" fillId="2" borderId="8" xfId="0" applyFont="1" applyFill="1" applyBorder="1" applyProtection="1">
      <protection locked="0"/>
    </xf>
    <xf numFmtId="0" fontId="7" fillId="0" borderId="0" xfId="0" applyFont="1" applyBorder="1" applyAlignment="1">
      <alignment horizontal="center"/>
    </xf>
    <xf numFmtId="0" fontId="0" fillId="0" borderId="0" xfId="0" applyFont="1" applyFill="1" applyBorder="1" applyAlignment="1"/>
    <xf numFmtId="0" fontId="9" fillId="3" borderId="0" xfId="0" applyFont="1" applyFill="1" applyBorder="1" applyAlignment="1">
      <alignment wrapText="1"/>
    </xf>
    <xf numFmtId="0" fontId="7" fillId="0" borderId="0" xfId="0" applyFont="1" applyBorder="1" applyAlignment="1">
      <alignment horizontal="center"/>
    </xf>
    <xf numFmtId="0" fontId="5" fillId="3" borderId="0" xfId="0" applyFont="1" applyFill="1" applyBorder="1" applyAlignment="1">
      <alignment horizontal="center" wrapText="1"/>
    </xf>
    <xf numFmtId="2" fontId="5" fillId="3" borderId="0" xfId="0" applyNumberFormat="1" applyFont="1" applyFill="1" applyBorder="1" applyAlignment="1" applyProtection="1">
      <alignment horizontal="center"/>
      <protection hidden="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2"/>
    <cellStyle name="Normal 3" xfId="1"/>
    <cellStyle name="Normal 3 2" xfId="49"/>
    <cellStyle name="Normal 3 3" xfId="45"/>
    <cellStyle name="Normal 4" xfId="47"/>
    <cellStyle name="Normal 5" xfId="46"/>
    <cellStyle name="Normal 6" xfId="43"/>
    <cellStyle name="Note 2" xfId="48"/>
    <cellStyle name="Note 3" xfId="44"/>
    <cellStyle name="Output" xfId="12" builtinId="21" customBuiltin="1"/>
    <cellStyle name="Title" xfId="3" builtinId="15" customBuiltin="1"/>
    <cellStyle name="Total" xfId="18" builtinId="25" customBuiltin="1"/>
    <cellStyle name="Warning Text" xfId="16" builtinId="11"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482599</xdr:colOff>
      <xdr:row>19</xdr:row>
      <xdr:rowOff>76200</xdr:rowOff>
    </xdr:from>
    <xdr:ext cx="4771189" cy="1334578"/>
    <xdr:sp macro="" textlink="">
      <xdr:nvSpPr>
        <xdr:cNvPr id="2" name="TextBox 1"/>
        <xdr:cNvSpPr txBox="1"/>
      </xdr:nvSpPr>
      <xdr:spPr>
        <a:xfrm>
          <a:off x="2858836" y="3886200"/>
          <a:ext cx="4771189" cy="133457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*Note: </a:t>
          </a:r>
        </a:p>
        <a:p>
          <a:r>
            <a:rPr lang="en-US" sz="1100"/>
            <a:t>1) For greatest accuracy leaves should be collected in mid-April from non-fruiting spur leaves</a:t>
          </a:r>
          <a:r>
            <a:rPr lang="en-US" sz="1100" baseline="0"/>
            <a:t> </a:t>
          </a:r>
          <a:r>
            <a:rPr lang="en-US" sz="1100" b="1" baseline="0"/>
            <a:t>and all elements listed at the left should be included.</a:t>
          </a:r>
          <a:endParaRPr lang="en-US" sz="1100" b="1"/>
        </a:p>
        <a:p>
          <a:r>
            <a:rPr lang="en-US" sz="1100"/>
            <a:t>2) If</a:t>
          </a:r>
          <a:r>
            <a:rPr lang="en-US" sz="1100" baseline="0"/>
            <a:t> value for any nutrient is missing please leave the cell empty.  </a:t>
          </a:r>
        </a:p>
        <a:p>
          <a:r>
            <a:rPr lang="en-US" sz="1100" baseline="0"/>
            <a:t>3)The program will automatically correct any values that are missing or contain nutrient concentrations that are indicative of contamination.</a:t>
          </a:r>
        </a:p>
      </xdr:txBody>
    </xdr:sp>
    <xdr:clientData/>
  </xdr:oneCellAnchor>
  <xdr:oneCellAnchor>
    <xdr:from>
      <xdr:col>3</xdr:col>
      <xdr:colOff>40104</xdr:colOff>
      <xdr:row>5</xdr:row>
      <xdr:rowOff>67511</xdr:rowOff>
    </xdr:from>
    <xdr:ext cx="7258050" cy="1642373"/>
    <xdr:sp macro="" textlink="">
      <xdr:nvSpPr>
        <xdr:cNvPr id="4" name="TextBox 3"/>
        <xdr:cNvSpPr txBox="1"/>
      </xdr:nvSpPr>
      <xdr:spPr>
        <a:xfrm>
          <a:off x="2416341" y="1070143"/>
          <a:ext cx="7258050" cy="16423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a:t>NOTE: This model was developed from 4 years of research conducted from 2008-2011 in mature Nonpareil almonds grown at four locations. The model was then validated</a:t>
          </a:r>
          <a:r>
            <a:rPr lang="en-US" sz="1100" baseline="0"/>
            <a:t> at six different almond orchards in 2012.  Results show an excellent  fit between leaf N concentrations predicted utilizing the model and those observed by subsequent leaf sampling. </a:t>
          </a:r>
        </a:p>
        <a:p>
          <a:pPr algn="ctr"/>
          <a:r>
            <a:rPr lang="en-US" sz="1100" baseline="0"/>
            <a:t>Two outputs are provided: </a:t>
          </a:r>
        </a:p>
        <a:p>
          <a:pPr algn="ctr"/>
          <a:r>
            <a:rPr lang="en-US" sz="1100" baseline="0"/>
            <a:t>1) Estimated leaf N in July</a:t>
          </a:r>
        </a:p>
        <a:p>
          <a:pPr algn="ctr"/>
          <a:r>
            <a:rPr lang="en-US" sz="1100" baseline="0"/>
            <a:t>2) Predicted percentage of trees in July that will meet or exceed the specified critical value.</a:t>
          </a:r>
        </a:p>
        <a:p>
          <a:pPr algn="ctr"/>
          <a:endParaRPr lang="en-US" sz="1100" baseline="0"/>
        </a:p>
        <a:p>
          <a:pPr algn="ctr"/>
          <a:r>
            <a:rPr lang="en-US" sz="1100"/>
            <a:t>The results generated utilizing this approach represent the best availabe model for  prediction of July  leaf N values.  Please note that results have not been validated under all conditions and hence must be used with care.</a:t>
          </a:r>
        </a:p>
      </xdr:txBody>
    </xdr:sp>
    <xdr:clientData/>
  </xdr:oneCellAnchor>
  <xdr:oneCellAnchor>
    <xdr:from>
      <xdr:col>3</xdr:col>
      <xdr:colOff>424930</xdr:colOff>
      <xdr:row>31</xdr:row>
      <xdr:rowOff>183152</xdr:rowOff>
    </xdr:from>
    <xdr:ext cx="4425950" cy="1196915"/>
    <xdr:sp macro="" textlink="">
      <xdr:nvSpPr>
        <xdr:cNvPr id="5" name="TextBox 4"/>
        <xdr:cNvSpPr txBox="1"/>
      </xdr:nvSpPr>
      <xdr:spPr>
        <a:xfrm>
          <a:off x="2812530" y="6219885"/>
          <a:ext cx="4425950" cy="119691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*Note: The currently accepted critical value for N in July in Almond is 2.2%.  This may be adjusted if you refer a lower N value to help minimize disease incidence.  Selection of higher critical values is not recommended.</a:t>
          </a:r>
        </a:p>
        <a:p>
          <a:r>
            <a:rPr lang="en-US" sz="1100"/>
            <a:t>This</a:t>
          </a:r>
          <a:r>
            <a:rPr lang="en-US" sz="1100" baseline="0"/>
            <a:t> data is used to estimate the percentage of trees in the region from which th esample were collected that will be above the CV in July based upon the spring values entered. </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abSelected="1" zoomScale="95" zoomScaleNormal="95" zoomScalePageLayoutView="150" workbookViewId="0">
      <selection activeCell="C5" sqref="C5"/>
    </sheetView>
  </sheetViews>
  <sheetFormatPr defaultColWidth="8.8984375" defaultRowHeight="15.6" x14ac:dyDescent="0.3"/>
  <cols>
    <col min="3" max="3" width="13.5" bestFit="1" customWidth="1"/>
    <col min="4" max="4" width="16.8984375" customWidth="1"/>
    <col min="7" max="7" width="9.8984375" customWidth="1"/>
    <col min="10" max="10" width="26.3984375" bestFit="1" customWidth="1"/>
    <col min="11" max="11" width="13.09765625" bestFit="1" customWidth="1"/>
  </cols>
  <sheetData>
    <row r="1" spans="1:5" x14ac:dyDescent="0.3">
      <c r="A1" s="9" t="s">
        <v>99</v>
      </c>
      <c r="B1" s="9"/>
      <c r="C1" s="9"/>
      <c r="D1" s="9"/>
      <c r="E1" s="9"/>
    </row>
    <row r="3" spans="1:5" x14ac:dyDescent="0.3">
      <c r="A3" s="9" t="s">
        <v>89</v>
      </c>
      <c r="B3" s="3"/>
      <c r="C3" s="3"/>
    </row>
    <row r="4" spans="1:5" x14ac:dyDescent="0.3">
      <c r="A4" s="9" t="s">
        <v>90</v>
      </c>
      <c r="B4" s="3"/>
      <c r="C4" s="3"/>
    </row>
    <row r="5" spans="1:5" x14ac:dyDescent="0.3">
      <c r="A5" s="9" t="s">
        <v>98</v>
      </c>
    </row>
    <row r="6" spans="1:5" x14ac:dyDescent="0.3">
      <c r="A6" s="9"/>
    </row>
    <row r="7" spans="1:5" x14ac:dyDescent="0.3">
      <c r="A7" s="9"/>
    </row>
    <row r="8" spans="1:5" x14ac:dyDescent="0.3">
      <c r="A8" s="9" t="s">
        <v>94</v>
      </c>
    </row>
    <row r="9" spans="1:5" x14ac:dyDescent="0.3">
      <c r="A9" s="9"/>
    </row>
    <row r="10" spans="1:5" x14ac:dyDescent="0.3">
      <c r="A10" s="9"/>
    </row>
    <row r="12" spans="1:5" x14ac:dyDescent="0.3">
      <c r="A12" s="6" t="s">
        <v>86</v>
      </c>
      <c r="B12" s="1"/>
      <c r="C12" s="1"/>
    </row>
    <row r="13" spans="1:5" x14ac:dyDescent="0.3">
      <c r="A13" s="13" t="s">
        <v>91</v>
      </c>
      <c r="B13" s="2"/>
      <c r="C13" s="2"/>
    </row>
    <row r="15" spans="1:5" x14ac:dyDescent="0.3">
      <c r="E15" s="3"/>
    </row>
    <row r="16" spans="1:5" x14ac:dyDescent="0.3">
      <c r="A16" s="9" t="s">
        <v>85</v>
      </c>
      <c r="B16" s="9"/>
      <c r="C16" s="9"/>
      <c r="D16" t="s">
        <v>100</v>
      </c>
    </row>
    <row r="18" spans="1:9" x14ac:dyDescent="0.3">
      <c r="A18" s="7" t="s">
        <v>14</v>
      </c>
      <c r="B18" s="7" t="s">
        <v>18</v>
      </c>
      <c r="C18" s="12" t="s">
        <v>93</v>
      </c>
      <c r="E18" s="9" t="s">
        <v>94</v>
      </c>
    </row>
    <row r="19" spans="1:9" x14ac:dyDescent="0.3">
      <c r="A19" s="7" t="s">
        <v>15</v>
      </c>
      <c r="B19" s="7" t="s">
        <v>19</v>
      </c>
      <c r="C19" s="33"/>
    </row>
    <row r="20" spans="1:9" x14ac:dyDescent="0.3">
      <c r="A20" s="7" t="s">
        <v>20</v>
      </c>
      <c r="B20" s="7" t="s">
        <v>19</v>
      </c>
      <c r="C20" s="33"/>
    </row>
    <row r="21" spans="1:9" x14ac:dyDescent="0.3">
      <c r="A21" s="7" t="s">
        <v>16</v>
      </c>
      <c r="B21" s="7" t="s">
        <v>19</v>
      </c>
      <c r="C21" s="33"/>
    </row>
    <row r="22" spans="1:9" x14ac:dyDescent="0.3">
      <c r="A22" s="7" t="s">
        <v>17</v>
      </c>
      <c r="B22" s="7" t="s">
        <v>28</v>
      </c>
      <c r="C22" s="33"/>
    </row>
    <row r="23" spans="1:9" x14ac:dyDescent="0.3">
      <c r="A23" s="7" t="s">
        <v>21</v>
      </c>
      <c r="B23" s="7" t="s">
        <v>28</v>
      </c>
      <c r="C23" s="33"/>
    </row>
    <row r="24" spans="1:9" x14ac:dyDescent="0.3">
      <c r="A24" s="7" t="s">
        <v>22</v>
      </c>
      <c r="B24" s="7" t="s">
        <v>19</v>
      </c>
      <c r="C24" s="33"/>
    </row>
    <row r="25" spans="1:9" x14ac:dyDescent="0.3">
      <c r="A25" s="7" t="s">
        <v>23</v>
      </c>
      <c r="B25" s="7" t="s">
        <v>19</v>
      </c>
      <c r="C25" s="33"/>
    </row>
    <row r="26" spans="1:9" x14ac:dyDescent="0.3">
      <c r="A26" s="7" t="s">
        <v>24</v>
      </c>
      <c r="B26" s="7" t="s">
        <v>28</v>
      </c>
      <c r="C26" s="33"/>
    </row>
    <row r="27" spans="1:9" x14ac:dyDescent="0.3">
      <c r="A27" s="7" t="s">
        <v>25</v>
      </c>
      <c r="B27" s="7" t="s">
        <v>28</v>
      </c>
      <c r="C27" s="33"/>
    </row>
    <row r="28" spans="1:9" x14ac:dyDescent="0.3">
      <c r="A28" s="7" t="s">
        <v>26</v>
      </c>
      <c r="B28" s="7" t="s">
        <v>28</v>
      </c>
      <c r="C28" s="33"/>
    </row>
    <row r="29" spans="1:9" x14ac:dyDescent="0.3">
      <c r="A29" s="7" t="s">
        <v>27</v>
      </c>
      <c r="B29" s="7" t="s">
        <v>28</v>
      </c>
      <c r="C29" s="33"/>
    </row>
    <row r="30" spans="1:9" x14ac:dyDescent="0.3">
      <c r="A30" s="14"/>
      <c r="B30" s="14"/>
      <c r="C30" s="15"/>
    </row>
    <row r="31" spans="1:9" x14ac:dyDescent="0.3">
      <c r="A31" s="4"/>
      <c r="B31" s="15"/>
      <c r="C31" s="4"/>
      <c r="E31" s="9"/>
      <c r="F31" s="9"/>
      <c r="G31" s="9"/>
      <c r="H31" s="9"/>
      <c r="I31" s="9"/>
    </row>
    <row r="32" spans="1:9" ht="16.2" thickBot="1" x14ac:dyDescent="0.35">
      <c r="A32" s="4"/>
      <c r="B32" s="15"/>
      <c r="C32" s="4"/>
      <c r="E32" s="9"/>
      <c r="F32" s="9"/>
      <c r="G32" s="9"/>
      <c r="H32" s="9"/>
      <c r="I32" s="9"/>
    </row>
    <row r="33" spans="1:9" x14ac:dyDescent="0.3">
      <c r="A33" s="10" t="s">
        <v>101</v>
      </c>
      <c r="B33" s="16"/>
      <c r="C33" s="11"/>
      <c r="E33" s="9"/>
      <c r="F33" s="9"/>
      <c r="G33" s="9"/>
      <c r="H33" s="9"/>
      <c r="I33" s="9"/>
    </row>
    <row r="34" spans="1:9" x14ac:dyDescent="0.3">
      <c r="A34" s="17" t="s">
        <v>102</v>
      </c>
      <c r="B34" s="15"/>
      <c r="C34" s="18"/>
      <c r="E34" s="9"/>
      <c r="F34" s="9"/>
      <c r="G34" s="9"/>
      <c r="H34" s="9"/>
      <c r="I34" s="9"/>
    </row>
    <row r="35" spans="1:9" x14ac:dyDescent="0.3">
      <c r="A35" s="17"/>
      <c r="B35" s="15"/>
      <c r="C35" s="18"/>
      <c r="E35" s="9"/>
      <c r="F35" s="9"/>
      <c r="G35" s="9"/>
      <c r="H35" s="9"/>
      <c r="I35" s="9"/>
    </row>
    <row r="36" spans="1:9" x14ac:dyDescent="0.3">
      <c r="A36" s="17" t="s">
        <v>18</v>
      </c>
      <c r="B36" s="15" t="s">
        <v>96</v>
      </c>
      <c r="C36" s="5"/>
      <c r="E36" s="9"/>
      <c r="F36" s="9"/>
      <c r="G36" s="9"/>
      <c r="H36" s="9"/>
      <c r="I36" s="9"/>
    </row>
    <row r="37" spans="1:9" ht="16.2" thickBot="1" x14ac:dyDescent="0.35">
      <c r="A37" s="20" t="s">
        <v>95</v>
      </c>
      <c r="B37" s="34">
        <v>2.2000000000000002</v>
      </c>
      <c r="C37" s="19"/>
      <c r="E37" s="9"/>
      <c r="F37" s="9"/>
      <c r="G37" s="9"/>
      <c r="H37" s="9"/>
      <c r="I37" s="9"/>
    </row>
    <row r="38" spans="1:9" x14ac:dyDescent="0.3">
      <c r="A38" s="4"/>
      <c r="B38" s="15"/>
      <c r="C38" s="4"/>
      <c r="E38" s="9"/>
      <c r="F38" s="9"/>
      <c r="G38" s="9"/>
      <c r="H38" s="9"/>
      <c r="I38" s="9"/>
    </row>
    <row r="39" spans="1:9" x14ac:dyDescent="0.3">
      <c r="A39" s="14"/>
      <c r="B39" s="14"/>
      <c r="C39" s="15"/>
    </row>
    <row r="42" spans="1:9" x14ac:dyDescent="0.3">
      <c r="A42" s="38" t="s">
        <v>87</v>
      </c>
      <c r="B42" s="38"/>
      <c r="C42" s="38"/>
      <c r="D42" s="38"/>
      <c r="E42" s="38"/>
      <c r="F42" s="14"/>
      <c r="G42" s="4"/>
      <c r="H42" s="4"/>
    </row>
    <row r="43" spans="1:9" x14ac:dyDescent="0.3">
      <c r="A43" s="35"/>
      <c r="B43" s="35"/>
      <c r="C43" s="35"/>
      <c r="D43" s="35"/>
      <c r="E43" s="35"/>
      <c r="F43" s="14"/>
      <c r="G43" s="4"/>
      <c r="H43" s="4"/>
    </row>
    <row r="44" spans="1:9" ht="31.2" x14ac:dyDescent="0.3">
      <c r="A44" s="8"/>
      <c r="B44" s="37" t="s">
        <v>103</v>
      </c>
      <c r="C44" s="39" t="s">
        <v>104</v>
      </c>
      <c r="D44" s="39"/>
      <c r="E44" s="14"/>
    </row>
    <row r="45" spans="1:9" x14ac:dyDescent="0.3">
      <c r="A45" s="36"/>
      <c r="B45" s="21" t="str">
        <f>'Calulations '!G14</f>
        <v>N.A.</v>
      </c>
      <c r="C45" s="40" t="e">
        <f>IF($B$37&gt;0.1,100-((_xlfn.NORM.DIST($B$37,B45,0.1327057,TRUE))*100),"N.A.")</f>
        <v>#VALUE!</v>
      </c>
      <c r="D45" s="40"/>
      <c r="E45" s="4"/>
    </row>
    <row r="50" spans="1:4" x14ac:dyDescent="0.3">
      <c r="A50" s="3"/>
      <c r="B50" s="3"/>
      <c r="C50" s="3"/>
      <c r="D50" s="3"/>
    </row>
    <row r="51" spans="1:4" x14ac:dyDescent="0.3">
      <c r="A51" s="3"/>
      <c r="B51" s="3"/>
      <c r="C51" s="3"/>
    </row>
    <row r="52" spans="1:4" x14ac:dyDescent="0.3">
      <c r="A52" s="3"/>
      <c r="B52" s="3"/>
      <c r="C52" s="3"/>
    </row>
    <row r="53" spans="1:4" x14ac:dyDescent="0.3">
      <c r="A53" s="3"/>
      <c r="B53" s="3"/>
      <c r="C53" s="3"/>
    </row>
    <row r="54" spans="1:4" x14ac:dyDescent="0.3">
      <c r="A54" s="3"/>
      <c r="B54" s="3"/>
      <c r="C54" s="3"/>
    </row>
    <row r="55" spans="1:4" x14ac:dyDescent="0.3">
      <c r="A55" s="3"/>
      <c r="B55" s="3"/>
      <c r="C55" s="3"/>
    </row>
    <row r="56" spans="1:4" x14ac:dyDescent="0.3">
      <c r="A56" s="3"/>
      <c r="B56" s="3"/>
      <c r="C56" s="3"/>
    </row>
    <row r="57" spans="1:4" x14ac:dyDescent="0.3">
      <c r="A57" s="3"/>
      <c r="B57" s="3"/>
      <c r="C57" s="3"/>
    </row>
    <row r="58" spans="1:4" x14ac:dyDescent="0.3">
      <c r="A58" s="3"/>
      <c r="B58" s="3"/>
      <c r="C58" s="3"/>
    </row>
    <row r="59" spans="1:4" x14ac:dyDescent="0.3">
      <c r="A59" s="3"/>
      <c r="B59" s="3"/>
      <c r="C59" s="3"/>
    </row>
    <row r="60" spans="1:4" x14ac:dyDescent="0.3">
      <c r="A60" s="3"/>
      <c r="B60" s="3"/>
      <c r="C60" s="3"/>
    </row>
    <row r="61" spans="1:4" x14ac:dyDescent="0.3">
      <c r="A61" s="3"/>
      <c r="B61" s="3"/>
      <c r="C61" s="3"/>
    </row>
  </sheetData>
  <sheetProtection password="C6D8" sheet="1" objects="1" scenarios="1"/>
  <mergeCells count="3">
    <mergeCell ref="A42:E42"/>
    <mergeCell ref="C44:D44"/>
    <mergeCell ref="C45:D45"/>
  </mergeCells>
  <pageMargins left="0.7" right="0.7" top="0.75" bottom="0.75" header="0.3" footer="0.3"/>
  <pageSetup orientation="portrait"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workbookViewId="0">
      <selection activeCell="C20" sqref="C20"/>
    </sheetView>
  </sheetViews>
  <sheetFormatPr defaultColWidth="11" defaultRowHeight="15.6" x14ac:dyDescent="0.3"/>
  <cols>
    <col min="1" max="1" width="20.59765625" bestFit="1" customWidth="1"/>
    <col min="2" max="2" width="22.59765625" bestFit="1" customWidth="1"/>
    <col min="4" max="4" width="11.59765625" bestFit="1" customWidth="1"/>
    <col min="5" max="5" width="19.09765625" customWidth="1"/>
    <col min="6" max="6" width="32.59765625" bestFit="1" customWidth="1"/>
  </cols>
  <sheetData>
    <row r="1" spans="1:9" x14ac:dyDescent="0.3">
      <c r="A1" s="22" t="s">
        <v>92</v>
      </c>
      <c r="B1" s="23"/>
      <c r="C1" s="23"/>
      <c r="D1" s="23"/>
      <c r="E1" s="23"/>
      <c r="F1" s="23"/>
      <c r="G1" s="23"/>
      <c r="H1" s="23"/>
      <c r="I1" s="23"/>
    </row>
    <row r="2" spans="1:9" x14ac:dyDescent="0.3">
      <c r="A2" s="23"/>
      <c r="B2" s="23"/>
      <c r="C2" s="23"/>
      <c r="D2" s="23"/>
      <c r="E2" s="23"/>
      <c r="F2" s="23"/>
      <c r="G2" s="23"/>
      <c r="H2" s="23"/>
      <c r="I2" s="23"/>
    </row>
    <row r="3" spans="1:9" x14ac:dyDescent="0.3">
      <c r="A3" s="22" t="s">
        <v>37</v>
      </c>
      <c r="B3" s="23"/>
      <c r="C3" s="23"/>
      <c r="D3" s="23"/>
      <c r="E3" s="23"/>
      <c r="F3" s="23"/>
      <c r="G3" s="23"/>
      <c r="H3" s="23"/>
      <c r="I3" s="23"/>
    </row>
    <row r="4" spans="1:9" x14ac:dyDescent="0.3">
      <c r="A4" s="23"/>
      <c r="B4" s="23"/>
      <c r="C4" s="23"/>
      <c r="D4" s="23"/>
      <c r="E4" s="24" t="s">
        <v>88</v>
      </c>
      <c r="F4" s="23"/>
      <c r="G4" s="23"/>
      <c r="H4" s="23"/>
      <c r="I4" s="23"/>
    </row>
    <row r="5" spans="1:9" x14ac:dyDescent="0.3">
      <c r="A5" s="23"/>
      <c r="B5" s="23"/>
      <c r="C5" s="23"/>
      <c r="D5" s="23"/>
      <c r="E5" s="23"/>
      <c r="F5" s="23"/>
      <c r="G5" s="23"/>
      <c r="H5" s="23"/>
      <c r="I5" s="23"/>
    </row>
    <row r="6" spans="1:9" x14ac:dyDescent="0.3">
      <c r="A6" s="23"/>
      <c r="B6" s="23"/>
      <c r="C6" s="23"/>
      <c r="D6" s="23"/>
      <c r="E6" s="23"/>
      <c r="F6" s="23"/>
      <c r="G6" s="23"/>
      <c r="H6" s="23"/>
      <c r="I6" s="23"/>
    </row>
    <row r="7" spans="1:9" x14ac:dyDescent="0.3">
      <c r="A7" s="23"/>
      <c r="B7" s="23"/>
      <c r="C7" s="23"/>
      <c r="D7" s="23"/>
      <c r="E7" s="23"/>
      <c r="F7" s="23"/>
      <c r="G7" s="23"/>
      <c r="H7" s="23"/>
      <c r="I7" s="23"/>
    </row>
    <row r="8" spans="1:9" x14ac:dyDescent="0.3">
      <c r="A8" s="23"/>
      <c r="B8" s="23"/>
      <c r="C8" s="23"/>
      <c r="D8" s="23"/>
      <c r="E8" s="23"/>
      <c r="F8" s="23"/>
      <c r="G8" s="23"/>
      <c r="H8" s="23"/>
      <c r="I8" s="23"/>
    </row>
    <row r="9" spans="1:9" x14ac:dyDescent="0.3">
      <c r="A9" s="25" t="s">
        <v>36</v>
      </c>
      <c r="B9" s="22" t="s">
        <v>14</v>
      </c>
      <c r="C9" s="22" t="s">
        <v>18</v>
      </c>
      <c r="D9" s="25" t="s">
        <v>29</v>
      </c>
      <c r="E9" s="23"/>
      <c r="F9" s="22" t="s">
        <v>30</v>
      </c>
      <c r="G9" s="23"/>
      <c r="H9" s="23"/>
      <c r="I9" s="23"/>
    </row>
    <row r="10" spans="1:9" x14ac:dyDescent="0.3">
      <c r="A10" s="22" t="s">
        <v>97</v>
      </c>
      <c r="B10" s="22" t="s">
        <v>15</v>
      </c>
      <c r="C10" s="22" t="s">
        <v>19</v>
      </c>
      <c r="D10" s="22">
        <f>IF(OR(Model!C19&gt;7,Model!C19&lt;0.5),3.433,Model!C19)</f>
        <v>3.4329999999999998</v>
      </c>
      <c r="E10" s="23"/>
      <c r="F10" s="22" t="s">
        <v>31</v>
      </c>
      <c r="G10" s="26" t="str">
        <f>IF(AND(A10="NF",Model!C19&gt;0),(B28+D10*B29+D11*B30+D13*B31+D14*B32+D15*B33+D18*B34+D19*B35+(D10/D20)*B36+D10*D19*B37+D11*D14*B38+D11*D18*B39+D13*D14*B40+D14*D15*B41),"N.A.")</f>
        <v>N.A.</v>
      </c>
      <c r="H10" s="23"/>
      <c r="I10" s="23"/>
    </row>
    <row r="11" spans="1:9" x14ac:dyDescent="0.3">
      <c r="A11" s="27"/>
      <c r="B11" s="22" t="s">
        <v>20</v>
      </c>
      <c r="C11" s="22" t="s">
        <v>19</v>
      </c>
      <c r="D11" s="22">
        <f>IF(OR(Model!C20&gt;0.4,Model!C20&lt;0.05),0.2550503,Model!C20)</f>
        <v>0.25505030000000001</v>
      </c>
      <c r="E11" s="23"/>
      <c r="F11" s="22" t="s">
        <v>32</v>
      </c>
      <c r="G11" s="26" t="str">
        <f>IF(AND(A10="NF",Model!C19&gt;0),D10-F28,"N.A.")</f>
        <v>N.A.</v>
      </c>
      <c r="H11" s="23"/>
      <c r="I11" s="23"/>
    </row>
    <row r="12" spans="1:9" x14ac:dyDescent="0.3">
      <c r="A12" s="27"/>
      <c r="B12" s="22" t="s">
        <v>16</v>
      </c>
      <c r="C12" s="22" t="s">
        <v>19</v>
      </c>
      <c r="D12" s="22">
        <f>IF(OR(Model!C21&gt;5,Model!C21&lt;0.05),2.2251955,Model!C21)</f>
        <v>2.2251954999999999</v>
      </c>
      <c r="E12" s="23"/>
      <c r="F12" s="22" t="s">
        <v>33</v>
      </c>
      <c r="G12" s="22" t="str">
        <f>IF(AND(A10="F2",Model!C19&gt;0),(F31+F32*D10+F33*D11+F34*D12+F35*D13+F36*D14+F37*D15+F38*D16+F39*D18+F40*D19+F41*D20+(D10*D11*F42)+F43*D10*D12+F44*D10*D14+F45*D10*D15+F46*D10*D16+F47*D11*D15+F48*D12*D13+F49*D12*D14+F50*D12*D16+F51*D12*D18+D12*D19*F52+F53*D12*D20+F54*D13*D14+F55*D13*D20+F56*D14*D15+F57*D14*D16+F58*D18*D19),"N.A")</f>
        <v>N.A</v>
      </c>
      <c r="H12" s="23"/>
      <c r="I12" s="23"/>
    </row>
    <row r="13" spans="1:9" x14ac:dyDescent="0.3">
      <c r="A13" s="27"/>
      <c r="B13" s="22" t="s">
        <v>17</v>
      </c>
      <c r="C13" s="22" t="s">
        <v>28</v>
      </c>
      <c r="D13" s="22">
        <f>IF(OR(Model!C22&gt;3800,Model!C22&lt;0.02),1979.0503,Model!C22)</f>
        <v>1979.0503000000001</v>
      </c>
      <c r="E13" s="23"/>
      <c r="F13" s="22" t="s">
        <v>65</v>
      </c>
      <c r="G13" s="22" t="str">
        <f>IF(AND(A10="NF",Model!C19&gt;0),D10-D67,"N.A.")</f>
        <v>N.A.</v>
      </c>
      <c r="H13" s="23"/>
      <c r="I13" s="23"/>
    </row>
    <row r="14" spans="1:9" x14ac:dyDescent="0.3">
      <c r="A14" s="27"/>
      <c r="B14" s="22" t="s">
        <v>21</v>
      </c>
      <c r="C14" s="22" t="s">
        <v>28</v>
      </c>
      <c r="D14" s="22">
        <f>IF(OR(Model!C23&gt;100,Model!C23&lt;0.02),44.390782,Model!C23)</f>
        <v>44.390782000000002</v>
      </c>
      <c r="E14" s="23"/>
      <c r="F14" s="22" t="s">
        <v>66</v>
      </c>
      <c r="G14" s="22" t="str">
        <f>IF(AND(A10="NF",Model!C19&gt;0),D10-D83,"N.A.")</f>
        <v>N.A.</v>
      </c>
      <c r="H14" s="23"/>
      <c r="I14" s="23"/>
    </row>
    <row r="15" spans="1:9" x14ac:dyDescent="0.3">
      <c r="A15" s="27"/>
      <c r="B15" s="22" t="s">
        <v>22</v>
      </c>
      <c r="C15" s="22" t="s">
        <v>19</v>
      </c>
      <c r="D15" s="22">
        <f>IF(OR(Model!C24&gt;6,Model!C24&lt;0.02),1.74888827,Model!C24)</f>
        <v>1.7488882699999999</v>
      </c>
      <c r="E15" s="23"/>
      <c r="F15" s="23"/>
      <c r="G15" s="23"/>
      <c r="H15" s="23"/>
      <c r="I15" s="23"/>
    </row>
    <row r="16" spans="1:9" x14ac:dyDescent="0.3">
      <c r="A16" s="27"/>
      <c r="B16" s="22" t="s">
        <v>23</v>
      </c>
      <c r="C16" s="22" t="s">
        <v>19</v>
      </c>
      <c r="D16" s="22">
        <f>IF(OR(Model!C25&gt;0.6,Model!C25&lt;0.02),0.3561162,Model!C25)</f>
        <v>0.35611619999999999</v>
      </c>
      <c r="E16" s="23"/>
      <c r="F16" s="23"/>
      <c r="G16" s="23"/>
      <c r="H16" s="23"/>
      <c r="I16" s="23"/>
    </row>
    <row r="17" spans="1:9" x14ac:dyDescent="0.3">
      <c r="A17" s="27"/>
      <c r="B17" s="22" t="s">
        <v>24</v>
      </c>
      <c r="C17" s="22" t="s">
        <v>28</v>
      </c>
      <c r="D17" s="22">
        <f>IF(OR(Model!C26&gt;80,Model!C26&lt;0.02),39.55,Model!C26)</f>
        <v>39.549999999999997</v>
      </c>
      <c r="E17" s="23"/>
      <c r="F17" s="23"/>
      <c r="G17" s="23"/>
      <c r="H17" s="23"/>
      <c r="I17" s="23"/>
    </row>
    <row r="18" spans="1:9" x14ac:dyDescent="0.3">
      <c r="A18" s="27"/>
      <c r="B18" s="22" t="s">
        <v>25</v>
      </c>
      <c r="C18" s="22" t="s">
        <v>28</v>
      </c>
      <c r="D18" s="22">
        <f>IF(OR(Model!C27&gt;80,Model!C27&lt;0.02),39.55,Model!C27)</f>
        <v>39.549999999999997</v>
      </c>
      <c r="E18" s="23"/>
      <c r="F18" s="23"/>
      <c r="G18" s="23"/>
      <c r="H18" s="23"/>
      <c r="I18" s="23"/>
    </row>
    <row r="19" spans="1:9" x14ac:dyDescent="0.3">
      <c r="A19" s="27"/>
      <c r="B19" s="22" t="s">
        <v>26</v>
      </c>
      <c r="C19" s="22" t="s">
        <v>28</v>
      </c>
      <c r="D19" s="22">
        <f>IF(OR(Model!C28&gt;120,Model!C28&lt;0.02),63.9,Model!C28)</f>
        <v>63.9</v>
      </c>
      <c r="E19" s="23"/>
      <c r="F19" s="23"/>
      <c r="G19" s="23"/>
      <c r="H19" s="23"/>
      <c r="I19" s="23"/>
    </row>
    <row r="20" spans="1:9" x14ac:dyDescent="0.3">
      <c r="A20" s="27"/>
      <c r="B20" s="22" t="s">
        <v>27</v>
      </c>
      <c r="C20" s="22" t="s">
        <v>28</v>
      </c>
      <c r="D20" s="22">
        <f>IF(OR(Model!C29&gt;11,Model!C29&lt;0.02),6.4719718,Model!C29)</f>
        <v>6.4719718000000004</v>
      </c>
      <c r="E20" s="23"/>
      <c r="F20" s="23"/>
      <c r="G20" s="23"/>
      <c r="H20" s="23"/>
      <c r="I20" s="23"/>
    </row>
    <row r="21" spans="1:9" x14ac:dyDescent="0.3">
      <c r="A21" s="23"/>
      <c r="B21" s="23"/>
      <c r="C21" s="23"/>
      <c r="D21" s="23"/>
      <c r="E21" s="23"/>
      <c r="F21" s="23"/>
      <c r="G21" s="23"/>
      <c r="H21" s="23"/>
      <c r="I21" s="23"/>
    </row>
    <row r="22" spans="1:9" x14ac:dyDescent="0.3">
      <c r="A22" s="23"/>
      <c r="B22" s="23"/>
      <c r="C22" s="23"/>
      <c r="D22" s="23"/>
      <c r="E22" s="23"/>
      <c r="F22" s="23"/>
      <c r="G22" s="23"/>
      <c r="H22" s="23"/>
      <c r="I22" s="23"/>
    </row>
    <row r="23" spans="1:9" x14ac:dyDescent="0.3">
      <c r="A23" s="23"/>
      <c r="B23" s="23"/>
      <c r="C23" s="23"/>
      <c r="D23" s="23"/>
      <c r="E23" s="23"/>
      <c r="F23" s="23"/>
      <c r="G23" s="23"/>
      <c r="H23" s="23"/>
      <c r="I23" s="23"/>
    </row>
    <row r="24" spans="1:9" x14ac:dyDescent="0.3">
      <c r="A24" s="23"/>
      <c r="B24" s="23"/>
      <c r="C24" s="23"/>
      <c r="D24" s="23"/>
      <c r="E24" s="23"/>
      <c r="F24" s="23"/>
      <c r="G24" s="23"/>
      <c r="H24" s="23"/>
      <c r="I24" s="23"/>
    </row>
    <row r="25" spans="1:9" x14ac:dyDescent="0.3">
      <c r="A25" s="23"/>
      <c r="B25" s="23"/>
      <c r="C25" s="23"/>
      <c r="D25" s="23"/>
      <c r="E25" s="23"/>
      <c r="F25" s="23"/>
      <c r="G25" s="23"/>
      <c r="H25" s="23"/>
      <c r="I25" s="23"/>
    </row>
    <row r="26" spans="1:9" x14ac:dyDescent="0.3">
      <c r="A26" s="23"/>
      <c r="B26" s="23"/>
      <c r="C26" s="23"/>
      <c r="D26" s="23"/>
      <c r="E26" s="23"/>
      <c r="F26" s="23"/>
      <c r="G26" s="23"/>
      <c r="H26" s="23"/>
      <c r="I26" s="23"/>
    </row>
    <row r="27" spans="1:9" x14ac:dyDescent="0.3">
      <c r="A27" s="22" t="s">
        <v>34</v>
      </c>
      <c r="B27" s="22" t="s">
        <v>31</v>
      </c>
      <c r="C27" s="22"/>
      <c r="D27" s="27"/>
      <c r="E27" s="22" t="s">
        <v>34</v>
      </c>
      <c r="F27" s="22" t="s">
        <v>32</v>
      </c>
      <c r="G27" s="23"/>
      <c r="H27" s="23"/>
      <c r="I27" s="23"/>
    </row>
    <row r="28" spans="1:9" x14ac:dyDescent="0.3">
      <c r="A28" s="28" t="s">
        <v>0</v>
      </c>
      <c r="B28" s="28">
        <v>2.48584698369879</v>
      </c>
      <c r="C28" s="22"/>
      <c r="D28" s="27"/>
      <c r="E28" s="22" t="s">
        <v>35</v>
      </c>
      <c r="F28" s="22">
        <v>0.96789020000000003</v>
      </c>
      <c r="G28" s="23"/>
      <c r="H28" s="23"/>
      <c r="I28" s="23"/>
    </row>
    <row r="29" spans="1:9" x14ac:dyDescent="0.3">
      <c r="A29" s="28" t="s">
        <v>1</v>
      </c>
      <c r="B29" s="28">
        <v>-7.1399653904490101E-2</v>
      </c>
      <c r="C29" s="22"/>
      <c r="D29" s="27"/>
      <c r="E29" s="27"/>
      <c r="F29" s="27"/>
      <c r="G29" s="23"/>
      <c r="H29" s="23"/>
      <c r="I29" s="23"/>
    </row>
    <row r="30" spans="1:9" x14ac:dyDescent="0.3">
      <c r="A30" s="28" t="s">
        <v>2</v>
      </c>
      <c r="B30" s="28">
        <v>0.54221723089569396</v>
      </c>
      <c r="C30" s="22"/>
      <c r="D30" s="27"/>
      <c r="E30" s="22" t="s">
        <v>34</v>
      </c>
      <c r="F30" s="22" t="s">
        <v>33</v>
      </c>
      <c r="G30" s="27"/>
      <c r="H30" s="23"/>
      <c r="I30" s="23"/>
    </row>
    <row r="31" spans="1:9" x14ac:dyDescent="0.3">
      <c r="A31" s="28" t="s">
        <v>3</v>
      </c>
      <c r="B31" s="28">
        <v>-2.4378818368475799E-4</v>
      </c>
      <c r="C31" s="22"/>
      <c r="D31" s="27"/>
      <c r="E31" s="22" t="s">
        <v>0</v>
      </c>
      <c r="F31" s="22">
        <v>2.5108316929399601</v>
      </c>
      <c r="G31" s="27"/>
      <c r="H31" s="23"/>
      <c r="I31" s="23"/>
    </row>
    <row r="32" spans="1:9" x14ac:dyDescent="0.3">
      <c r="A32" s="28" t="s">
        <v>4</v>
      </c>
      <c r="B32" s="28">
        <v>-1.10121644923039E-3</v>
      </c>
      <c r="C32" s="22"/>
      <c r="D32" s="27"/>
      <c r="E32" s="22" t="s">
        <v>38</v>
      </c>
      <c r="F32" s="22">
        <v>0.190381023028483</v>
      </c>
      <c r="G32" s="27"/>
      <c r="H32" s="23"/>
      <c r="I32" s="23"/>
    </row>
    <row r="33" spans="1:9" x14ac:dyDescent="0.3">
      <c r="A33" s="28" t="s">
        <v>5</v>
      </c>
      <c r="B33" s="28">
        <v>0.164726486263747</v>
      </c>
      <c r="C33" s="22"/>
      <c r="D33" s="27"/>
      <c r="E33" s="22" t="s">
        <v>39</v>
      </c>
      <c r="F33" s="22">
        <v>1.8410467869907901</v>
      </c>
      <c r="G33" s="27"/>
      <c r="H33" s="23"/>
      <c r="I33" s="23"/>
    </row>
    <row r="34" spans="1:9" x14ac:dyDescent="0.3">
      <c r="A34" s="28" t="s">
        <v>6</v>
      </c>
      <c r="B34" s="28">
        <v>7.2361377785961599E-3</v>
      </c>
      <c r="C34" s="22"/>
      <c r="D34" s="27"/>
      <c r="E34" s="22" t="s">
        <v>40</v>
      </c>
      <c r="F34" s="22">
        <v>-0.94959408525274702</v>
      </c>
      <c r="G34" s="27"/>
      <c r="H34" s="23"/>
      <c r="I34" s="23"/>
    </row>
    <row r="35" spans="1:9" x14ac:dyDescent="0.3">
      <c r="A35" s="28" t="s">
        <v>7</v>
      </c>
      <c r="B35" s="28">
        <v>-1.1097831311941499E-2</v>
      </c>
      <c r="C35" s="22"/>
      <c r="D35" s="27"/>
      <c r="E35" s="22" t="s">
        <v>41</v>
      </c>
      <c r="F35" s="22">
        <v>-1.11943363901074E-4</v>
      </c>
      <c r="G35" s="27"/>
      <c r="H35" s="23"/>
      <c r="I35" s="23"/>
    </row>
    <row r="36" spans="1:9" x14ac:dyDescent="0.3">
      <c r="A36" s="28" t="s">
        <v>8</v>
      </c>
      <c r="B36" s="28">
        <v>0.21194631502234301</v>
      </c>
      <c r="C36" s="22"/>
      <c r="D36" s="27"/>
      <c r="E36" s="22" t="s">
        <v>42</v>
      </c>
      <c r="F36" s="22">
        <v>3.6748801689058899E-3</v>
      </c>
      <c r="G36" s="27"/>
      <c r="H36" s="23"/>
      <c r="I36" s="23"/>
    </row>
    <row r="37" spans="1:9" x14ac:dyDescent="0.3">
      <c r="A37" s="28" t="s">
        <v>9</v>
      </c>
      <c r="B37" s="28">
        <v>3.74082479151434E-3</v>
      </c>
      <c r="C37" s="22"/>
      <c r="D37" s="27"/>
      <c r="E37" s="22" t="s">
        <v>43</v>
      </c>
      <c r="F37" s="22">
        <v>1.0478450772483601</v>
      </c>
      <c r="G37" s="27"/>
      <c r="H37" s="23"/>
      <c r="I37" s="23"/>
    </row>
    <row r="38" spans="1:9" x14ac:dyDescent="0.3">
      <c r="A38" s="28" t="s">
        <v>10</v>
      </c>
      <c r="B38" s="28">
        <v>3.0439687266602998E-3</v>
      </c>
      <c r="C38" s="22"/>
      <c r="D38" s="27"/>
      <c r="E38" s="22" t="s">
        <v>44</v>
      </c>
      <c r="F38" s="22">
        <v>-7.6340867254145701</v>
      </c>
      <c r="G38" s="27"/>
      <c r="H38" s="23"/>
      <c r="I38" s="23"/>
    </row>
    <row r="39" spans="1:9" x14ac:dyDescent="0.3">
      <c r="A39" s="28" t="s">
        <v>11</v>
      </c>
      <c r="B39" s="28">
        <v>-2.71588897878587E-2</v>
      </c>
      <c r="C39" s="22"/>
      <c r="D39" s="27"/>
      <c r="E39" s="22" t="s">
        <v>45</v>
      </c>
      <c r="F39" s="22">
        <v>1.03581728431924E-2</v>
      </c>
      <c r="G39" s="27"/>
      <c r="H39" s="23"/>
      <c r="I39" s="23"/>
    </row>
    <row r="40" spans="1:9" x14ac:dyDescent="0.3">
      <c r="A40" s="28" t="s">
        <v>12</v>
      </c>
      <c r="B40" s="29">
        <v>4.9604433074673102E-6</v>
      </c>
      <c r="C40" s="22"/>
      <c r="D40" s="27"/>
      <c r="E40" s="22" t="s">
        <v>46</v>
      </c>
      <c r="F40" s="22">
        <v>4.2959809554311799E-3</v>
      </c>
      <c r="G40" s="27"/>
      <c r="H40" s="23"/>
      <c r="I40" s="23"/>
    </row>
    <row r="41" spans="1:9" x14ac:dyDescent="0.3">
      <c r="A41" s="28" t="s">
        <v>13</v>
      </c>
      <c r="B41" s="28">
        <v>-4.6630921748779097E-3</v>
      </c>
      <c r="C41" s="22"/>
      <c r="D41" s="27"/>
      <c r="E41" s="22" t="s">
        <v>47</v>
      </c>
      <c r="F41" s="22">
        <v>8.9735093637249394E-2</v>
      </c>
      <c r="G41" s="27"/>
      <c r="H41" s="23"/>
      <c r="I41" s="23"/>
    </row>
    <row r="42" spans="1:9" x14ac:dyDescent="0.3">
      <c r="A42" s="23"/>
      <c r="B42" s="23"/>
      <c r="C42" s="23"/>
      <c r="D42" s="23"/>
      <c r="E42" s="22" t="s">
        <v>48</v>
      </c>
      <c r="F42" s="22">
        <v>-1.2238899312522</v>
      </c>
      <c r="G42" s="27"/>
      <c r="H42" s="23"/>
      <c r="I42" s="23"/>
    </row>
    <row r="43" spans="1:9" x14ac:dyDescent="0.3">
      <c r="A43" s="23"/>
      <c r="B43" s="23"/>
      <c r="C43" s="23"/>
      <c r="D43" s="23"/>
      <c r="E43" s="22" t="s">
        <v>49</v>
      </c>
      <c r="F43" s="22">
        <v>0.23972248103962401</v>
      </c>
      <c r="G43" s="27"/>
      <c r="H43" s="23"/>
      <c r="I43" s="23"/>
    </row>
    <row r="44" spans="1:9" x14ac:dyDescent="0.3">
      <c r="A44" s="23"/>
      <c r="B44" s="23"/>
      <c r="C44" s="23"/>
      <c r="D44" s="23"/>
      <c r="E44" s="22" t="s">
        <v>50</v>
      </c>
      <c r="F44" s="22">
        <v>-7.7671766410285998E-3</v>
      </c>
      <c r="G44" s="27"/>
      <c r="H44" s="23"/>
      <c r="I44" s="23"/>
    </row>
    <row r="45" spans="1:9" x14ac:dyDescent="0.3">
      <c r="A45" s="23"/>
      <c r="B45" s="23"/>
      <c r="C45" s="23"/>
      <c r="D45" s="23"/>
      <c r="E45" s="22" t="s">
        <v>51</v>
      </c>
      <c r="F45" s="22">
        <v>-0.27544916955378501</v>
      </c>
      <c r="G45" s="23"/>
      <c r="H45" s="23"/>
      <c r="I45" s="23"/>
    </row>
    <row r="46" spans="1:9" x14ac:dyDescent="0.3">
      <c r="A46" s="23"/>
      <c r="B46" s="23"/>
      <c r="C46" s="23"/>
      <c r="D46" s="23"/>
      <c r="E46" s="22" t="s">
        <v>52</v>
      </c>
      <c r="F46" s="22">
        <v>1.78605887391537</v>
      </c>
      <c r="G46" s="23"/>
      <c r="H46" s="23"/>
      <c r="I46" s="23"/>
    </row>
    <row r="47" spans="1:9" x14ac:dyDescent="0.3">
      <c r="A47" s="23"/>
      <c r="B47" s="23"/>
      <c r="C47" s="23"/>
      <c r="D47" s="23"/>
      <c r="E47" s="22" t="s">
        <v>53</v>
      </c>
      <c r="F47" s="22">
        <v>0.42492933981806602</v>
      </c>
      <c r="G47" s="23"/>
      <c r="H47" s="23"/>
      <c r="I47" s="23"/>
    </row>
    <row r="48" spans="1:9" x14ac:dyDescent="0.3">
      <c r="A48" s="23"/>
      <c r="B48" s="23"/>
      <c r="C48" s="23"/>
      <c r="D48" s="23"/>
      <c r="E48" s="22" t="s">
        <v>54</v>
      </c>
      <c r="F48" s="30">
        <v>9.4779697577648699E-6</v>
      </c>
      <c r="G48" s="23"/>
      <c r="H48" s="23"/>
      <c r="I48" s="23"/>
    </row>
    <row r="49" spans="1:9" x14ac:dyDescent="0.3">
      <c r="A49" s="23"/>
      <c r="B49" s="23"/>
      <c r="C49" s="23"/>
      <c r="D49" s="23"/>
      <c r="E49" s="22" t="s">
        <v>55</v>
      </c>
      <c r="F49" s="22">
        <v>4.2763790048616201E-3</v>
      </c>
      <c r="G49" s="23"/>
      <c r="H49" s="23"/>
      <c r="I49" s="23"/>
    </row>
    <row r="50" spans="1:9" x14ac:dyDescent="0.3">
      <c r="A50" s="23"/>
      <c r="B50" s="23"/>
      <c r="C50" s="23"/>
      <c r="D50" s="23"/>
      <c r="E50" s="22" t="s">
        <v>56</v>
      </c>
      <c r="F50" s="22">
        <v>0.27652340863751301</v>
      </c>
      <c r="G50" s="23"/>
      <c r="H50" s="23"/>
      <c r="I50" s="23"/>
    </row>
    <row r="51" spans="1:9" x14ac:dyDescent="0.3">
      <c r="A51" s="23"/>
      <c r="B51" s="23"/>
      <c r="C51" s="23"/>
      <c r="D51" s="23"/>
      <c r="E51" s="22" t="s">
        <v>57</v>
      </c>
      <c r="F51" s="22">
        <v>-2.4361064066033E-3</v>
      </c>
      <c r="G51" s="23"/>
      <c r="H51" s="23"/>
      <c r="I51" s="23"/>
    </row>
    <row r="52" spans="1:9" x14ac:dyDescent="0.3">
      <c r="A52" s="23"/>
      <c r="B52" s="23"/>
      <c r="C52" s="23"/>
      <c r="D52" s="23"/>
      <c r="E52" s="22" t="s">
        <v>58</v>
      </c>
      <c r="F52" s="22">
        <v>4.1296853799091201E-4</v>
      </c>
      <c r="G52" s="23"/>
      <c r="H52" s="23"/>
      <c r="I52" s="23"/>
    </row>
    <row r="53" spans="1:9" x14ac:dyDescent="0.3">
      <c r="A53" s="23"/>
      <c r="B53" s="23"/>
      <c r="C53" s="23"/>
      <c r="D53" s="23"/>
      <c r="E53" s="22" t="s">
        <v>59</v>
      </c>
      <c r="F53" s="22">
        <v>-1.2179690598572801E-2</v>
      </c>
      <c r="G53" s="23"/>
      <c r="H53" s="23"/>
      <c r="I53" s="23"/>
    </row>
    <row r="54" spans="1:9" x14ac:dyDescent="0.3">
      <c r="A54" s="23"/>
      <c r="B54" s="23"/>
      <c r="C54" s="23"/>
      <c r="D54" s="23"/>
      <c r="E54" s="22" t="s">
        <v>60</v>
      </c>
      <c r="F54" s="30">
        <v>9.0610202899711702E-6</v>
      </c>
      <c r="G54" s="23"/>
      <c r="H54" s="23"/>
      <c r="I54" s="23"/>
    </row>
    <row r="55" spans="1:9" x14ac:dyDescent="0.3">
      <c r="A55" s="23"/>
      <c r="B55" s="23"/>
      <c r="C55" s="23"/>
      <c r="D55" s="23"/>
      <c r="E55" s="22" t="s">
        <v>61</v>
      </c>
      <c r="F55" s="30">
        <v>-3.6877690352522502E-5</v>
      </c>
      <c r="G55" s="23"/>
      <c r="H55" s="23"/>
      <c r="I55" s="23"/>
    </row>
    <row r="56" spans="1:9" x14ac:dyDescent="0.3">
      <c r="A56" s="23"/>
      <c r="B56" s="23"/>
      <c r="C56" s="23"/>
      <c r="D56" s="23"/>
      <c r="E56" s="22" t="s">
        <v>62</v>
      </c>
      <c r="F56" s="22">
        <v>-6.7776802453979297E-3</v>
      </c>
      <c r="G56" s="23"/>
      <c r="H56" s="23"/>
      <c r="I56" s="23"/>
    </row>
    <row r="57" spans="1:9" x14ac:dyDescent="0.3">
      <c r="A57" s="23"/>
      <c r="B57" s="23"/>
      <c r="C57" s="23"/>
      <c r="D57" s="23"/>
      <c r="E57" s="22" t="s">
        <v>63</v>
      </c>
      <c r="F57" s="22">
        <v>3.1219862261704399E-2</v>
      </c>
      <c r="G57" s="23"/>
      <c r="H57" s="23"/>
      <c r="I57" s="23"/>
    </row>
    <row r="58" spans="1:9" x14ac:dyDescent="0.3">
      <c r="A58" s="23"/>
      <c r="B58" s="23"/>
      <c r="C58" s="23"/>
      <c r="D58" s="23"/>
      <c r="E58" s="22" t="s">
        <v>64</v>
      </c>
      <c r="F58" s="30">
        <v>-7.8852917989221405E-5</v>
      </c>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2" t="s">
        <v>65</v>
      </c>
      <c r="C65" s="22"/>
      <c r="D65" s="23"/>
      <c r="E65" s="23"/>
      <c r="F65" s="23"/>
      <c r="G65" s="23"/>
      <c r="H65" s="23"/>
      <c r="I65" s="23"/>
    </row>
    <row r="66" spans="1:9" x14ac:dyDescent="0.3">
      <c r="A66" s="22" t="s">
        <v>34</v>
      </c>
      <c r="B66" s="22" t="s">
        <v>80</v>
      </c>
      <c r="C66" s="22"/>
      <c r="D66" s="22" t="s">
        <v>81</v>
      </c>
      <c r="E66" s="22"/>
      <c r="F66" s="22"/>
      <c r="G66" s="23"/>
      <c r="H66" s="23"/>
      <c r="I66" s="23"/>
    </row>
    <row r="67" spans="1:9" x14ac:dyDescent="0.3">
      <c r="A67" s="22" t="s">
        <v>77</v>
      </c>
      <c r="B67" s="31">
        <v>-2.98832590040655E-2</v>
      </c>
      <c r="C67" s="22"/>
      <c r="D67" s="22">
        <f>IF(A10="NF",(B67+B68*D11+B69*D13+B70*D14+B71*D18+B72*D20+(D12/39.1)*B73+(D15/20.04)*B74+(D16/12.16)*B75+((D11-0.254695965417868)*((D15/20.04)-0.0873483583285303)*86.563144999406)+((D11-0.254695965417868)*((D16/12.16)-0.0293638848126801)*-221.548472654464)),0)</f>
        <v>0.97792989782760043</v>
      </c>
      <c r="E67" s="22"/>
      <c r="F67" s="22"/>
      <c r="G67" s="23"/>
      <c r="H67" s="23"/>
      <c r="I67" s="23"/>
    </row>
    <row r="68" spans="1:9" x14ac:dyDescent="0.3">
      <c r="A68" s="22" t="s">
        <v>67</v>
      </c>
      <c r="B68" s="31">
        <v>1.81852437024369</v>
      </c>
      <c r="C68" s="22"/>
      <c r="D68" s="22"/>
      <c r="E68" s="22"/>
      <c r="F68" s="22"/>
      <c r="G68" s="23"/>
      <c r="H68" s="23"/>
      <c r="I68" s="23"/>
    </row>
    <row r="69" spans="1:9" x14ac:dyDescent="0.3">
      <c r="A69" s="22" t="s">
        <v>68</v>
      </c>
      <c r="B69" s="31">
        <v>2.7487940617123701E-4</v>
      </c>
      <c r="C69" s="22"/>
      <c r="D69" s="22"/>
      <c r="E69" s="22"/>
      <c r="F69" s="22"/>
      <c r="G69" s="23"/>
      <c r="H69" s="23"/>
      <c r="I69" s="23"/>
    </row>
    <row r="70" spans="1:9" x14ac:dyDescent="0.3">
      <c r="A70" s="22" t="s">
        <v>69</v>
      </c>
      <c r="B70" s="31">
        <v>-3.05977264192389E-3</v>
      </c>
      <c r="C70" s="22"/>
      <c r="D70" s="22"/>
      <c r="E70" s="22"/>
      <c r="F70" s="22"/>
      <c r="G70" s="23"/>
      <c r="H70" s="23"/>
      <c r="I70" s="23"/>
    </row>
    <row r="71" spans="1:9" x14ac:dyDescent="0.3">
      <c r="A71" s="22" t="s">
        <v>70</v>
      </c>
      <c r="B71" s="31">
        <v>-6.0427793428914998E-3</v>
      </c>
      <c r="C71" s="22"/>
      <c r="D71" s="22"/>
      <c r="E71" s="22"/>
      <c r="F71" s="22"/>
      <c r="G71" s="23"/>
      <c r="H71" s="23"/>
      <c r="I71" s="23"/>
    </row>
    <row r="72" spans="1:9" x14ac:dyDescent="0.3">
      <c r="A72" s="22" t="s">
        <v>71</v>
      </c>
      <c r="B72" s="31">
        <v>2.5091747745095899E-2</v>
      </c>
      <c r="C72" s="22"/>
      <c r="D72" s="22"/>
      <c r="E72" s="22"/>
      <c r="F72" s="22"/>
      <c r="G72" s="23"/>
      <c r="H72" s="23"/>
      <c r="I72" s="23"/>
    </row>
    <row r="73" spans="1:9" x14ac:dyDescent="0.3">
      <c r="A73" s="22" t="s">
        <v>72</v>
      </c>
      <c r="B73" s="31">
        <v>-4.0661938539957898</v>
      </c>
      <c r="C73" s="22"/>
      <c r="D73" s="22"/>
      <c r="E73" s="22"/>
      <c r="F73" s="22"/>
      <c r="G73" s="23"/>
      <c r="H73" s="23"/>
      <c r="I73" s="23"/>
    </row>
    <row r="74" spans="1:9" x14ac:dyDescent="0.3">
      <c r="A74" s="22" t="s">
        <v>73</v>
      </c>
      <c r="B74" s="31">
        <v>1.8082271214504499</v>
      </c>
      <c r="C74" s="22"/>
      <c r="D74" s="22"/>
      <c r="E74" s="22"/>
      <c r="F74" s="22"/>
      <c r="G74" s="23"/>
      <c r="H74" s="23"/>
      <c r="I74" s="23"/>
    </row>
    <row r="75" spans="1:9" x14ac:dyDescent="0.3">
      <c r="A75" s="22" t="s">
        <v>74</v>
      </c>
      <c r="B75" s="31">
        <v>9.7666025577104207</v>
      </c>
      <c r="C75" s="22"/>
      <c r="D75" s="22"/>
      <c r="E75" s="22"/>
      <c r="F75" s="22"/>
      <c r="G75" s="23"/>
      <c r="H75" s="23"/>
      <c r="I75" s="23"/>
    </row>
    <row r="76" spans="1:9" x14ac:dyDescent="0.3">
      <c r="A76" s="22" t="s">
        <v>75</v>
      </c>
      <c r="B76" s="31" t="s">
        <v>78</v>
      </c>
      <c r="C76" s="22"/>
      <c r="D76" s="22"/>
      <c r="E76" s="22"/>
      <c r="F76" s="22"/>
      <c r="G76" s="23"/>
      <c r="H76" s="23"/>
      <c r="I76" s="23"/>
    </row>
    <row r="77" spans="1:9" x14ac:dyDescent="0.3">
      <c r="A77" s="22" t="s">
        <v>76</v>
      </c>
      <c r="B77" s="31" t="s">
        <v>79</v>
      </c>
      <c r="C77" s="22"/>
      <c r="D77" s="22"/>
      <c r="E77" s="22"/>
      <c r="F77" s="22"/>
      <c r="G77" s="23"/>
      <c r="H77" s="23"/>
      <c r="I77" s="23"/>
    </row>
    <row r="78" spans="1:9" x14ac:dyDescent="0.3">
      <c r="A78" s="23"/>
      <c r="B78" s="32"/>
      <c r="C78" s="23"/>
      <c r="D78" s="23"/>
      <c r="E78" s="23"/>
      <c r="F78" s="23"/>
      <c r="G78" s="23"/>
      <c r="H78" s="23"/>
      <c r="I78" s="23"/>
    </row>
    <row r="79" spans="1:9" x14ac:dyDescent="0.3">
      <c r="A79" s="23"/>
      <c r="B79" s="23"/>
      <c r="C79" s="23"/>
      <c r="D79" s="23"/>
      <c r="E79" s="23"/>
      <c r="F79" s="23"/>
      <c r="G79" s="23"/>
      <c r="H79" s="23"/>
      <c r="I79" s="23"/>
    </row>
    <row r="80" spans="1:9" x14ac:dyDescent="0.3">
      <c r="A80" s="23"/>
      <c r="B80" s="23"/>
      <c r="C80" s="23"/>
      <c r="D80" s="23"/>
      <c r="E80" s="23"/>
      <c r="F80" s="23"/>
      <c r="G80" s="23"/>
      <c r="H80" s="23"/>
      <c r="I80" s="23"/>
    </row>
    <row r="81" spans="1:9" x14ac:dyDescent="0.3">
      <c r="A81" s="22"/>
      <c r="B81" s="22" t="s">
        <v>66</v>
      </c>
      <c r="C81" s="22"/>
      <c r="D81" s="22"/>
      <c r="E81" s="22"/>
      <c r="F81" s="22"/>
      <c r="G81" s="23"/>
      <c r="H81" s="23"/>
      <c r="I81" s="23"/>
    </row>
    <row r="82" spans="1:9" x14ac:dyDescent="0.3">
      <c r="A82" s="22" t="s">
        <v>34</v>
      </c>
      <c r="B82" s="22" t="s">
        <v>80</v>
      </c>
      <c r="C82" s="22"/>
      <c r="D82" s="22" t="s">
        <v>81</v>
      </c>
      <c r="E82" s="22"/>
      <c r="F82" s="22"/>
      <c r="G82" s="23"/>
      <c r="H82" s="23"/>
      <c r="I82" s="23"/>
    </row>
    <row r="83" spans="1:9" x14ac:dyDescent="0.3">
      <c r="A83" s="22" t="s">
        <v>77</v>
      </c>
      <c r="B83" s="31">
        <v>-1.68862432783907</v>
      </c>
      <c r="C83" s="22"/>
      <c r="D83" s="22">
        <f>IF(A10="NF",(B83+B84*D11+B85*D13+B86*D14+B87*D18+B88*D20+(D12/39.1)*B89+(D15/20.04)*B90+(D16/12.16)*B91+(D11-0.254695965417868)*(((D15/20.04)-0.0873483583285303)*-7.3498004038469)+(D11-0.254695965417868)*(((D16/12.16)-0.0293638848126801)*-102.292324166221)+B94*D10),0)</f>
        <v>0.94885144831249479</v>
      </c>
      <c r="E83" s="22"/>
      <c r="F83" s="22"/>
      <c r="G83" s="23"/>
      <c r="H83" s="23"/>
      <c r="I83" s="23"/>
    </row>
    <row r="84" spans="1:9" x14ac:dyDescent="0.3">
      <c r="A84" s="22" t="s">
        <v>67</v>
      </c>
      <c r="B84" s="31">
        <v>-0.36983676829561402</v>
      </c>
      <c r="C84" s="22"/>
      <c r="D84" s="22"/>
      <c r="E84" s="22"/>
      <c r="F84" s="22"/>
      <c r="G84" s="23"/>
      <c r="H84" s="23"/>
      <c r="I84" s="23"/>
    </row>
    <row r="85" spans="1:9" x14ac:dyDescent="0.3">
      <c r="A85" s="22" t="s">
        <v>68</v>
      </c>
      <c r="B85" s="31">
        <v>2.5848690254938501E-5</v>
      </c>
      <c r="C85" s="22"/>
      <c r="D85" s="22"/>
      <c r="E85" s="22"/>
      <c r="F85" s="22"/>
      <c r="G85" s="23"/>
      <c r="H85" s="23"/>
      <c r="I85" s="23"/>
    </row>
    <row r="86" spans="1:9" x14ac:dyDescent="0.3">
      <c r="A86" s="22" t="s">
        <v>69</v>
      </c>
      <c r="B86" s="31">
        <v>-7.9186168958166308E-3</v>
      </c>
      <c r="C86" s="22"/>
      <c r="D86" s="22"/>
      <c r="E86" s="22"/>
      <c r="F86" s="22"/>
      <c r="G86" s="23"/>
      <c r="H86" s="23"/>
      <c r="I86" s="23"/>
    </row>
    <row r="87" spans="1:9" x14ac:dyDescent="0.3">
      <c r="A87" s="22" t="s">
        <v>70</v>
      </c>
      <c r="B87" s="31">
        <v>-1.30526749985901E-3</v>
      </c>
      <c r="C87" s="22"/>
      <c r="D87" s="22"/>
      <c r="E87" s="22"/>
      <c r="F87" s="22"/>
      <c r="G87" s="23"/>
      <c r="H87" s="23"/>
      <c r="I87" s="23"/>
    </row>
    <row r="88" spans="1:9" x14ac:dyDescent="0.3">
      <c r="A88" s="22" t="s">
        <v>71</v>
      </c>
      <c r="B88" s="31">
        <v>3.4522731757830299E-2</v>
      </c>
      <c r="C88" s="22"/>
      <c r="D88" s="22"/>
      <c r="E88" s="22"/>
      <c r="F88" s="22"/>
      <c r="G88" s="23"/>
      <c r="H88" s="23"/>
      <c r="I88" s="23"/>
    </row>
    <row r="89" spans="1:9" x14ac:dyDescent="0.3">
      <c r="A89" s="22" t="s">
        <v>72</v>
      </c>
      <c r="B89" s="31">
        <v>0.94847074655413399</v>
      </c>
      <c r="C89" s="22"/>
      <c r="D89" s="22"/>
      <c r="E89" s="22"/>
      <c r="F89" s="22"/>
      <c r="G89" s="23"/>
      <c r="H89" s="23"/>
      <c r="I89" s="23"/>
    </row>
    <row r="90" spans="1:9" x14ac:dyDescent="0.3">
      <c r="A90" s="22" t="s">
        <v>73</v>
      </c>
      <c r="B90" s="31">
        <v>-0.19462280123769399</v>
      </c>
      <c r="C90" s="22"/>
      <c r="D90" s="22"/>
      <c r="E90" s="22"/>
      <c r="F90" s="22"/>
      <c r="G90" s="23"/>
      <c r="H90" s="23"/>
      <c r="I90" s="23"/>
    </row>
    <row r="91" spans="1:9" x14ac:dyDescent="0.3">
      <c r="A91" s="22" t="s">
        <v>74</v>
      </c>
      <c r="B91" s="31">
        <v>6.50582445851499</v>
      </c>
      <c r="C91" s="22"/>
      <c r="D91" s="22"/>
      <c r="E91" s="22"/>
      <c r="F91" s="22"/>
      <c r="G91" s="23"/>
      <c r="H91" s="23"/>
      <c r="I91" s="23"/>
    </row>
    <row r="92" spans="1:9" x14ac:dyDescent="0.3">
      <c r="A92" s="22" t="s">
        <v>75</v>
      </c>
      <c r="B92" s="31" t="s">
        <v>82</v>
      </c>
      <c r="C92" s="22"/>
      <c r="D92" s="22"/>
      <c r="E92" s="22"/>
      <c r="F92" s="22"/>
      <c r="G92" s="23"/>
      <c r="H92" s="23"/>
      <c r="I92" s="23"/>
    </row>
    <row r="93" spans="1:9" x14ac:dyDescent="0.3">
      <c r="A93" s="22" t="s">
        <v>76</v>
      </c>
      <c r="B93" s="31" t="s">
        <v>83</v>
      </c>
      <c r="C93" s="22"/>
      <c r="D93" s="22"/>
      <c r="E93" s="22"/>
      <c r="F93" s="22"/>
      <c r="G93" s="23"/>
      <c r="H93" s="23"/>
      <c r="I93" s="23"/>
    </row>
    <row r="94" spans="1:9" x14ac:dyDescent="0.3">
      <c r="A94" s="22" t="s">
        <v>84</v>
      </c>
      <c r="B94" s="22">
        <v>0.76691779467307797</v>
      </c>
      <c r="C94" s="22"/>
      <c r="D94" s="22"/>
      <c r="E94" s="22"/>
      <c r="F94" s="22"/>
      <c r="G94" s="23"/>
      <c r="H94" s="23"/>
      <c r="I94" s="23"/>
    </row>
    <row r="95" spans="1:9" x14ac:dyDescent="0.3">
      <c r="A95" s="22"/>
      <c r="B95" s="22"/>
      <c r="C95" s="22"/>
      <c r="D95" s="22"/>
      <c r="E95" s="22"/>
      <c r="F95" s="22"/>
      <c r="G95" s="23"/>
      <c r="H95" s="23"/>
      <c r="I95" s="23"/>
    </row>
    <row r="96" spans="1:9" x14ac:dyDescent="0.3">
      <c r="A96" s="23"/>
      <c r="B96" s="23"/>
      <c r="C96" s="23"/>
      <c r="D96" s="23"/>
      <c r="E96" s="23"/>
      <c r="F96" s="23"/>
      <c r="G96" s="23"/>
      <c r="H96" s="23"/>
      <c r="I96" s="23"/>
    </row>
    <row r="97" spans="1:9" x14ac:dyDescent="0.3">
      <c r="A97" s="23"/>
      <c r="B97" s="23"/>
      <c r="C97" s="23"/>
      <c r="D97" s="23"/>
      <c r="E97" s="23"/>
      <c r="F97" s="23"/>
      <c r="G97" s="23"/>
      <c r="H97" s="23"/>
      <c r="I97" s="23"/>
    </row>
    <row r="98" spans="1:9" x14ac:dyDescent="0.3">
      <c r="A98" s="23"/>
      <c r="B98" s="23"/>
      <c r="C98" s="23"/>
      <c r="D98" s="23"/>
      <c r="E98" s="23"/>
      <c r="F98" s="23"/>
      <c r="G98" s="23"/>
      <c r="H98" s="23"/>
      <c r="I98" s="23"/>
    </row>
    <row r="99" spans="1:9" x14ac:dyDescent="0.3">
      <c r="A99" s="23"/>
      <c r="B99" s="23"/>
      <c r="C99" s="23"/>
      <c r="D99" s="23"/>
      <c r="E99" s="23"/>
      <c r="F99" s="23"/>
      <c r="G99" s="23"/>
      <c r="H99" s="23"/>
      <c r="I99" s="23"/>
    </row>
  </sheetData>
  <sheetProtection password="C6D8" sheet="1" objects="1" scenarios="1"/>
  <pageMargins left="0.75" right="0.75" top="1" bottom="1" header="0.5" footer="0.5"/>
  <pageSetup orientation="portrait" horizontalDpi="1200"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Model</vt:lpstr>
      <vt:lpstr>Calulations </vt:lpstr>
    </vt:vector>
  </TitlesOfParts>
  <Company>UCDAVIS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Emilio A. Laca</dc:creator>
  <cp:lastModifiedBy>Marie Harter</cp:lastModifiedBy>
  <dcterms:created xsi:type="dcterms:W3CDTF">2012-04-20T20:54:23Z</dcterms:created>
  <dcterms:modified xsi:type="dcterms:W3CDTF">2013-04-30T18:46:37Z</dcterms:modified>
</cp:coreProperties>
</file>